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Drawings!$C$2:$O$161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25" i="159" l="1"/>
  <c r="AH33" i="159"/>
  <c r="AH41" i="159"/>
  <c r="AH49" i="159"/>
  <c r="AH57" i="159"/>
  <c r="AH65" i="159"/>
  <c r="AH73" i="159"/>
  <c r="AH81" i="159"/>
  <c r="AH89" i="159"/>
  <c r="AH97" i="159"/>
  <c r="AH105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27" i="159"/>
  <c r="AH35" i="159"/>
  <c r="AH43" i="159"/>
  <c r="AH51" i="159"/>
  <c r="AH59" i="159"/>
  <c r="AH67" i="159"/>
  <c r="AH83" i="159"/>
  <c r="AH99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AH16" i="159" s="1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21" i="159" l="1"/>
  <c r="AH20" i="159"/>
  <c r="AH19" i="159"/>
  <c r="AH18" i="159"/>
  <c r="M26" i="160"/>
  <c r="AH17" i="159"/>
  <c r="AH15" i="159"/>
  <c r="AH14" i="159"/>
  <c r="AH13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<sst xmlns="http://schemas.openxmlformats.org/spreadsheetml/2006/main" count="2000" uniqueCount="450">
  <si>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</si>
  <si>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</si>
  <si>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</si>
  <si>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</si>
  <si>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</si>
  <si>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</si>
  <si>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</si>
  <si>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</si>
  <si>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</si>
  <si>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</si>
  <si>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</si>
  <si>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</si>
  <si>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</si>
  <si>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</si>
  <si>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</si>
  <si>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</si>
  <si>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</si>
  <si>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</si>
  <si>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</si>
  <si>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</si>
  <si>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</si>
  <si>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</si>
  <si>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</si>
  <si>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</si>
  <si>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</si>
  <si>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</si>
  <si>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</si>
  <si>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</si>
  <si>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</si>
  <si>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</si>
  <si>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</si>
  <si>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</si>
  <si>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</si>
  <si>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</si>
  <si>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</si>
  <si>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</si>
  <si>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</si>
  <si>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</si>
  <si>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</si>
  <si>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</si>
  <si>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</si>
  <si>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</si>
  <si>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</si>
  <si>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</si>
  <si>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</si>
  <si>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</si>
  <si>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</si>
  <si>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</si>
  <si>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</si>
  <si>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</si>
  <si>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</si>
  <si>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</si>
  <si>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</si>
  <si>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</si>
  <si>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</si>
  <si>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</si>
  <si>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</si>
  <si>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</si>
  <si>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</si>
  <si>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</si>
  <si>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</si>
  <si>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</si>
  <si>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</si>
  <si>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</si>
  <si>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</si>
  <si>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</si>
  <si>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</si>
  <si>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</si>
  <si>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</si>
  <si>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</si>
  <si>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</si>
  <si>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</si>
  <si>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</si>
  <si>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</si>
  <si>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</si>
  <si>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</si>
  <si>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</si>
  <si>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</si>
  <si>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</si>
  <si>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</si>
  <si>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</si>
  <si>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</si>
  <si>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</si>
  <si>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</si>
  <si>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</si>
  <si>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</si>
  <si>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</si>
  <si>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</si>
  <si>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</si>
  <si>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</si>
  <si>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</si>
  <si>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</si>
  <si>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</si>
  <si>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</si>
  <si>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</si>
  <si>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</si>
  <si>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</si>
  <si>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</si>
  <si>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</si>
  <si>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</si>
  <si>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</si>
  <si>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</si>
  <si>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</si>
  <si>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</si>
  <si>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</si>
  <si>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</si>
  <si>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</si>
  <si>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</si>
  <si>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</si>
  <si>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</si>
  <si>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</si>
  <si>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</si>
  <si>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</si>
  <si>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</si>
  <si>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</si>
  <si>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</si>
  <si>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</si>
  <si>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</si>
  <si>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</si>
  <si>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</si>
  <si>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</si>
  <si>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</si>
  <si>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</si>
  <si>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</si>
  <si>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</si>
  <si>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</si>
  <si>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</si>
  <si>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</si>
  <si>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</si>
  <si>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</si>
  <si>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</si>
  <si>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</si>
  <si>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</si>
  <si>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</si>
  <si>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</si>
  <si>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</si>
  <si>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</si>
  <si>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</si>
  <si>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</si>
  <si>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</si>
  <si>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</si>
  <si>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</si>
  <si>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</si>
  <si>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</si>
  <si>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</si>
  <si>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</si>
  <si>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</si>
  <si>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</si>
  <si>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</si>
  <si>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</si>
  <si>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</si>
  <si>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</si>
  <si>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</si>
  <si>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</si>
  <si>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</si>
  <si>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</si>
  <si>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</si>
  <si>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</si>
  <si>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</si>
  <si>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</si>
  <si>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</si>
  <si>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</si>
  <si>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</si>
  <si>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</si>
  <si>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</si>
  <si>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</si>
  <si>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</si>
  <si>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</si>
  <si>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</si>
  <si>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</si>
  <si>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</si>
  <si>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</si>
  <si>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</si>
  <si>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</si>
  <si>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</si>
  <si>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</si>
  <si>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</si>
  <si>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</si>
  <si>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</si>
  <si>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</si>
  <si>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</si>
  <si>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</si>
  <si>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</si>
  <si>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</si>
  <si>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</si>
  <si>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</si>
  <si>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</si>
  <si>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</si>
  <si>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</si>
  <si>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</si>
  <si>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</si>
  <si>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</si>
  <si>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</si>
  <si>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</si>
  <si>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</si>
  <si>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</si>
  <si>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</si>
  <si>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</si>
  <si>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</si>
  <si>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</si>
  <si>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</si>
  <si>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</si>
  <si>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</si>
  <si>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</si>
  <si>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</si>
  <si>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</si>
  <si>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</si>
  <si>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</si>
  <si>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</si>
  <si>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</si>
  <si>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</si>
  <si>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</si>
  <si>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</si>
  <si>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</si>
  <si>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</si>
  <si>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</si>
  <si>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</si>
  <si>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</si>
  <si>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</si>
  <si>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</si>
  <si>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</si>
  <si>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</si>
  <si>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</si>
  <si>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</si>
  <si>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</si>
  <si>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</si>
  <si>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</si>
  <si>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</si>
  <si>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</si>
  <si>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</si>
  <si>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</si>
  <si>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</si>
  <si>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</si>
  <si>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</si>
  <si>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</si>
  <si>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</si>
  <si>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</si>
  <si>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</si>
  <si>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</si>
  <si>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</si>
  <si>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</si>
  <si>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</si>
  <si>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</si>
  <si>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</si>
  <si>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</si>
  <si>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</si>
  <si>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</si>
  <si>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</si>
  <si>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</si>
  <si>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</si>
  <si>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</si>
  <si>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</si>
  <si>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</si>
  <si>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</si>
  <si>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</si>
  <si>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</si>
  <si>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</si>
  <si>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</si>
  <si>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</si>
  <si>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</si>
  <si>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</si>
  <si>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</si>
  <si>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</si>
  <si>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</si>
  <si>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</si>
  <si>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</si>
  <si>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</si>
  <si>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</si>
  <si>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</si>
  <si>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</si>
  <si>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</si>
  <si>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</si>
  <si>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</si>
  <si>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</si>
  <si>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</si>
  <si>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</si>
  <si>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</si>
  <si>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</si>
  <si>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</si>
  <si>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</si>
  <si>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</si>
  <si>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</si>
  <si>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</si>
  <si>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</si>
  <si>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</si>
  <si>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</si>
  <si>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</si>
  <si>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</si>
  <si>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</si>
  <si>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</si>
  <si>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</si>
  <si>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</si>
  <si>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</si>
  <si>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</si>
  <si>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</si>
  <si>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</si>
  <si>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</si>
  <si>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</si>
  <si>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</si>
  <si>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</si>
  <si>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</si>
  <si>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</si>
  <si>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</si>
  <si>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</si>
  <si>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</si>
  <si>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</si>
  <si>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</si>
  <si>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</si>
  <si>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</si>
  <si>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</si>
  <si>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</si>
  <si>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</si>
  <si>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</si>
  <si>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</si>
  <si>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</si>
  <si>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</si>
  <si>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</si>
  <si>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</si>
  <si>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</si>
  <si>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</si>
  <si>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</si>
  <si>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</si>
  <si>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</si>
  <si>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</si>
  <si>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</si>
  <si>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</si>
  <si>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</si>
  <si>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</si>
  <si>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</si>
  <si>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</si>
  <si>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</si>
  <si>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</si>
  <si>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</si>
  <si>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</si>
  <si>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</si>
  <si>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</si>
  <si>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</si>
  <si>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</si>
  <si>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</si>
  <si>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</si>
  <si>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</si>
  <si>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</si>
  <si>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</si>
  <si>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</si>
  <si>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</si>
  <si>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</si>
  <si>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</si>
  <si>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</si>
  <si>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</si>
  <si>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</si>
  <si>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</si>
  <si>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</si>
  <si>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</si>
  <si>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</si>
  <si>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</si>
  <si>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</si>
  <si>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</si>
  <si>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</si>
  <si>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</si>
  <si>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</si>
  <si>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</si>
  <si>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</si>
  <si>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</si>
  <si>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</si>
  <si>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</si>
  <si>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</si>
  <si>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</si>
  <si>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</si>
  <si>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</si>
  <si>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</si>
  <si>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</si>
  <si>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</si>
  <si>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</si>
  <si>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</si>
  <si>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</si>
  <si>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</si>
  <si>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</si>
  <si>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</si>
  <si>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</si>
  <si>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</si>
  <si>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</si>
  <si>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</si>
  <si>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</si>
  <si>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</si>
  <si>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</si>
  <si>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</si>
  <si>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</si>
  <si>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</si>
  <si>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</si>
  <si>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</si>
  <si>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</si>
  <si>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</si>
  <si>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</si>
  <si>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</si>
  <si>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</si>
  <si>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</si>
  <si>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</si>
  <si>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</si>
  <si>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</si>
  <si>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</si>
  <si>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</si>
  <si>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</si>
  <si>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</si>
  <si>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</si>
  <si>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</si>
  <si>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</si>
  <si>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</si>
  <si>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</si>
  <si>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</si>
  <si>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</si>
  <si>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</si>
  <si>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</si>
  <si>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</si>
  <si>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</si>
  <si>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</si>
  <si>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</si>
  <si>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</si>
  <si>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</si>
  <si>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</si>
  <si>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</si>
  <si>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Eterna PS Group Reality Limited</t>
  </si>
  <si>
    <t>Chennai</t>
  </si>
  <si>
    <t>Powder Coating</t>
  </si>
  <si>
    <t>1.7Kpa</t>
  </si>
  <si>
    <t>ABPL-DE-19.20-2151-OP-1</t>
  </si>
  <si>
    <t>W1</t>
  </si>
  <si>
    <t>M15000</t>
  </si>
  <si>
    <t>FRENCH CASEMENT WINDOW</t>
  </si>
  <si>
    <t>8MM</t>
  </si>
  <si>
    <t>NO</t>
  </si>
  <si>
    <t>NA</t>
  </si>
  <si>
    <t>W2</t>
  </si>
  <si>
    <t>W3</t>
  </si>
  <si>
    <t>SIDE HUNG WINDOW</t>
  </si>
  <si>
    <t>W4</t>
  </si>
  <si>
    <t>FRENCH CASEMENT WINDOW WITH FIXED GLASS</t>
  </si>
  <si>
    <t>W5</t>
  </si>
  <si>
    <t>W6</t>
  </si>
  <si>
    <t>W7</t>
  </si>
  <si>
    <t>W8</t>
  </si>
  <si>
    <t>FIXED GLASS</t>
  </si>
  <si>
    <t>W9</t>
  </si>
  <si>
    <t>W10</t>
  </si>
  <si>
    <t>2 SIDE HUNG WINDOWS WITH 4 FIXED GLASS</t>
  </si>
  <si>
    <t>W11</t>
  </si>
  <si>
    <t>W12</t>
  </si>
  <si>
    <t>FRENCH CASEMENT WINDOW WITH BOTTOM FIXED</t>
  </si>
  <si>
    <t>W13</t>
  </si>
  <si>
    <t>W14</t>
  </si>
  <si>
    <t>8mm :- 8mm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</si>
</sst>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1478973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231912</xdr:colOff>
      <xdr:row>8</xdr:row>
      <xdr:rowOff>231913</xdr:rowOff>
    </xdr:from>
    <xdr:to>
      <xdr:col>6</xdr:col>
      <xdr:colOff>281609</xdr:colOff>
      <xdr:row>16</xdr:row>
      <xdr:rowOff>189194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2" y="1706217"/>
          <a:ext cx="2029240" cy="24751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231912</xdr:colOff>
      <xdr:row>19</xdr:row>
      <xdr:rowOff>182217</xdr:rowOff>
    </xdr:from>
    <xdr:to>
      <xdr:col>6</xdr:col>
      <xdr:colOff>281609</xdr:colOff>
      <xdr:row>27</xdr:row>
      <xdr:rowOff>139498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2" y="4969565"/>
          <a:ext cx="2029240" cy="24751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579783</xdr:colOff>
      <xdr:row>30</xdr:row>
      <xdr:rowOff>306455</xdr:rowOff>
    </xdr:from>
    <xdr:to>
      <xdr:col>5</xdr:col>
      <xdr:colOff>1755914</xdr:colOff>
      <xdr:row>38</xdr:row>
      <xdr:rowOff>42917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3" y="8406846"/>
          <a:ext cx="1176131" cy="225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588065</xdr:colOff>
      <xdr:row>41</xdr:row>
      <xdr:rowOff>124239</xdr:rowOff>
    </xdr:from>
    <xdr:to>
      <xdr:col>7</xdr:col>
      <xdr:colOff>157370</xdr:colOff>
      <xdr:row>49</xdr:row>
      <xdr:rowOff>116454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6" y="11537674"/>
          <a:ext cx="2633870" cy="2510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612912</xdr:colOff>
      <xdr:row>52</xdr:row>
      <xdr:rowOff>248478</xdr:rowOff>
    </xdr:from>
    <xdr:to>
      <xdr:col>6</xdr:col>
      <xdr:colOff>240196</xdr:colOff>
      <xdr:row>60</xdr:row>
      <xdr:rowOff>34951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3" y="14974956"/>
          <a:ext cx="2302566" cy="2304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438977</xdr:colOff>
      <xdr:row>63</xdr:row>
      <xdr:rowOff>240196</xdr:rowOff>
    </xdr:from>
    <xdr:to>
      <xdr:col>5</xdr:col>
      <xdr:colOff>1971260</xdr:colOff>
      <xdr:row>70</xdr:row>
      <xdr:rowOff>145992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7" y="18279718"/>
          <a:ext cx="1532283" cy="2108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75</xdr:row>
      <xdr:rowOff>265042</xdr:rowOff>
    </xdr:from>
    <xdr:to>
      <xdr:col>6</xdr:col>
      <xdr:colOff>91109</xdr:colOff>
      <xdr:row>81</xdr:row>
      <xdr:rowOff>66260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21932346"/>
          <a:ext cx="1689653" cy="1689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115957</xdr:colOff>
      <xdr:row>87</xdr:row>
      <xdr:rowOff>16566</xdr:rowOff>
    </xdr:from>
    <xdr:to>
      <xdr:col>6</xdr:col>
      <xdr:colOff>323022</xdr:colOff>
      <xdr:row>91</xdr:row>
      <xdr:rowOff>99392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7" y="25311653"/>
          <a:ext cx="2186608" cy="1341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695738</xdr:colOff>
      <xdr:row>96</xdr:row>
      <xdr:rowOff>298174</xdr:rowOff>
    </xdr:from>
    <xdr:to>
      <xdr:col>5</xdr:col>
      <xdr:colOff>1929847</xdr:colOff>
      <xdr:row>104</xdr:row>
      <xdr:rowOff>134217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99" y="28276826"/>
          <a:ext cx="1929848" cy="2353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472107</xdr:colOff>
      <xdr:row>107</xdr:row>
      <xdr:rowOff>82826</xdr:rowOff>
    </xdr:from>
    <xdr:to>
      <xdr:col>7</xdr:col>
      <xdr:colOff>190499</xdr:colOff>
      <xdr:row>115</xdr:row>
      <xdr:rowOff>202991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8" y="31374522"/>
          <a:ext cx="2782957" cy="2638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513522</xdr:colOff>
      <xdr:row>119</xdr:row>
      <xdr:rowOff>74544</xdr:rowOff>
    </xdr:from>
    <xdr:to>
      <xdr:col>7</xdr:col>
      <xdr:colOff>124240</xdr:colOff>
      <xdr:row>126</xdr:row>
      <xdr:rowOff>6506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3" y="34994022"/>
          <a:ext cx="2675283" cy="213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140803</xdr:colOff>
      <xdr:row>129</xdr:row>
      <xdr:rowOff>66259</xdr:rowOff>
    </xdr:from>
    <xdr:to>
      <xdr:col>6</xdr:col>
      <xdr:colOff>21314</xdr:colOff>
      <xdr:row>137</xdr:row>
      <xdr:rowOff>262449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8803" y="37984042"/>
          <a:ext cx="1860054" cy="27141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513521</xdr:colOff>
      <xdr:row>140</xdr:row>
      <xdr:rowOff>182217</xdr:rowOff>
    </xdr:from>
    <xdr:to>
      <xdr:col>6</xdr:col>
      <xdr:colOff>140805</xdr:colOff>
      <xdr:row>147</xdr:row>
      <xdr:rowOff>283429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2" y="41413043"/>
          <a:ext cx="2302566" cy="2304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66261</xdr:colOff>
      <xdr:row>151</xdr:row>
      <xdr:rowOff>165652</xdr:rowOff>
    </xdr:from>
    <xdr:to>
      <xdr:col>5</xdr:col>
      <xdr:colOff>1855305</xdr:colOff>
      <xdr:row>158</xdr:row>
      <xdr:rowOff>200551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1" y="44709522"/>
          <a:ext cx="1789044" cy="22380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161" sqref="C2:O16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ABPL-DE-19.20-2151-OP-1</v>
      </c>
      <c r="O2" s="538"/>
      <c r="P2" s="219" t="s">
        <v>257</v>
      </c>
    </row>
    <row r="3" spans="2:16">
      <c r="B3" s="218"/>
      <c r="C3" s="537" t="s">
        <v>126</v>
      </c>
      <c r="D3" s="537"/>
      <c r="E3" s="537"/>
      <c r="F3" s="538" t="str">
        <f>QUOTATION!F7</f>
        <v>Eterna PS Group Reality Limited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43686</v>
      </c>
      <c r="O3" s="545"/>
      <c r="P3" s="219" t="s">
        <v>256</v>
      </c>
    </row>
    <row r="4" spans="2:16">
      <c r="B4" s="218"/>
      <c r="C4" s="537" t="s">
        <v>127</v>
      </c>
      <c r="D4" s="537"/>
      <c r="E4" s="537"/>
      <c r="F4" s="285" t="str">
        <f>QUOTATION!F8</f>
        <v>Chennai</v>
      </c>
      <c r="G4" s="537"/>
      <c r="H4" s="537"/>
      <c r="I4" s="539" t="s">
        <v>180</v>
      </c>
      <c r="J4" s="539"/>
      <c r="K4" s="538" t="str">
        <f>QUOTATION!I8</f>
        <v>1.7Kpa</v>
      </c>
      <c r="L4" s="538"/>
      <c r="M4" s="284" t="s">
        <v>105</v>
      </c>
      <c r="N4" s="286" t="str">
        <f>QUOTATION!M8</f>
        <v>R0</v>
      </c>
      <c r="O4" s="287">
        <f>QUOTATION!N8</f>
        <v>43686</v>
      </c>
    </row>
    <row r="5" spans="2:16">
      <c r="B5" s="218"/>
      <c r="C5" s="537" t="s">
        <v>169</v>
      </c>
      <c r="D5" s="537"/>
      <c r="E5" s="537"/>
      <c r="F5" s="538" t="str">
        <f>QUOTATION!F9</f>
        <v>Mr. Raju Savasi : 9840355091</v>
      </c>
      <c r="G5" s="538"/>
      <c r="H5" s="538"/>
      <c r="I5" s="538"/>
      <c r="J5" s="538"/>
      <c r="K5" s="538"/>
      <c r="L5" s="538"/>
      <c r="M5" s="284" t="s">
        <v>179</v>
      </c>
      <c r="N5" s="538" t="str">
        <f>QUOTATION!M9</f>
        <v>Bal Kumari</v>
      </c>
      <c r="O5" s="538"/>
    </row>
    <row r="6" spans="2:16">
      <c r="B6" s="218"/>
      <c r="C6" s="537" t="s">
        <v>177</v>
      </c>
      <c r="D6" s="537"/>
      <c r="E6" s="537"/>
      <c r="F6" s="285" t="str">
        <f>QUOTATION!F10</f>
        <v>Powder Coating</v>
      </c>
      <c r="G6" s="537"/>
      <c r="H6" s="537"/>
      <c r="I6" s="539" t="s">
        <v>178</v>
      </c>
      <c r="J6" s="539"/>
      <c r="K6" s="538" t="str">
        <f>QUOTATION!I10</f>
        <v>White</v>
      </c>
      <c r="L6" s="538"/>
      <c r="M6" s="320" t="s">
        <v>374</v>
      </c>
      <c r="N6" s="546">
        <f>'BD Team'!J5</f>
        <v>0</v>
      </c>
      <c r="O6" s="547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36" t="s">
        <v>254</v>
      </c>
      <c r="D8" s="537"/>
      <c r="E8" s="286" t="str">
        <f>'BD Team'!B9</f>
        <v>W1</v>
      </c>
      <c r="F8" s="288" t="s">
        <v>255</v>
      </c>
      <c r="G8" s="538" t="str">
        <f>'BD Team'!D9</f>
        <v>FRENCH CASEMENT WINDOW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NA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247</v>
      </c>
      <c r="M10" s="537"/>
      <c r="N10" s="538" t="str">
        <f>$F$6</f>
        <v>Powder Coating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178</v>
      </c>
      <c r="M11" s="537"/>
      <c r="N11" s="538" t="str">
        <f>$K$6</f>
        <v>White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248</v>
      </c>
      <c r="M12" s="537"/>
      <c r="N12" s="543" t="s">
        <v>256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249</v>
      </c>
      <c r="M13" s="537"/>
      <c r="N13" s="538" t="str">
        <f>CONCATENATE('BD Team'!H9," X ",'BD Team'!I9)</f>
        <v>1220 X 1525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250</v>
      </c>
      <c r="M14" s="537"/>
      <c r="N14" s="541">
        <f>'BD Team'!J9</f>
        <v>20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251</v>
      </c>
      <c r="M15" s="537"/>
      <c r="N15" s="538" t="str">
        <f>'BD Team'!C9</f>
        <v>M15000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252</v>
      </c>
      <c r="M16" s="537"/>
      <c r="N16" s="538" t="str">
        <f>'BD Team'!E9</f>
        <v>8MM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253</v>
      </c>
      <c r="M17" s="537"/>
      <c r="N17" s="538" t="str">
        <f>'BD Team'!F9</f>
        <v>NO</v>
      </c>
      <c r="O17" s="538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254</v>
      </c>
      <c r="D19" s="537"/>
      <c r="E19" s="286" t="str">
        <f>'BD Team'!B10</f>
        <v>W2</v>
      </c>
      <c r="F19" s="288" t="s">
        <v>255</v>
      </c>
      <c r="G19" s="538" t="str">
        <f>'BD Team'!D10</f>
        <v>FRENCH CASEMENT WINDOW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 t="str">
        <f>'BD Team'!G10</f>
        <v>NA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247</v>
      </c>
      <c r="M21" s="537"/>
      <c r="N21" s="538" t="str">
        <f>$F$6</f>
        <v>Powder Coating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178</v>
      </c>
      <c r="M22" s="537"/>
      <c r="N22" s="538" t="str">
        <f>$K$6</f>
        <v>White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248</v>
      </c>
      <c r="M23" s="537"/>
      <c r="N23" s="540" t="s">
        <v>256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249</v>
      </c>
      <c r="M24" s="537"/>
      <c r="N24" s="538" t="str">
        <f>CONCATENATE('BD Team'!H10," X ",'BD Team'!I10)</f>
        <v>1220 X 1525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250</v>
      </c>
      <c r="M25" s="537"/>
      <c r="N25" s="541">
        <f>'BD Team'!J10</f>
        <v>2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251</v>
      </c>
      <c r="M26" s="537"/>
      <c r="N26" s="538" t="str">
        <f>'BD Team'!C10</f>
        <v>M15000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252</v>
      </c>
      <c r="M27" s="537"/>
      <c r="N27" s="538" t="str">
        <f>'BD Team'!E10</f>
        <v>8MM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253</v>
      </c>
      <c r="M28" s="537"/>
      <c r="N28" s="538" t="str">
        <f>'BD Team'!F10</f>
        <v>NO</v>
      </c>
      <c r="O28" s="538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254</v>
      </c>
      <c r="D30" s="537"/>
      <c r="E30" s="286" t="str">
        <f>'BD Team'!B11</f>
        <v>W3</v>
      </c>
      <c r="F30" s="288" t="s">
        <v>255</v>
      </c>
      <c r="G30" s="538" t="str">
        <f>'BD Team'!D11</f>
        <v>SIDE HUNG WINDOW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 t="str">
        <f>'BD Team'!G11</f>
        <v>NA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247</v>
      </c>
      <c r="M32" s="537"/>
      <c r="N32" s="538" t="str">
        <f>$F$6</f>
        <v>Powder Coating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178</v>
      </c>
      <c r="M33" s="537"/>
      <c r="N33" s="538" t="str">
        <f>$K$6</f>
        <v>White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248</v>
      </c>
      <c r="M34" s="537"/>
      <c r="N34" s="540" t="s">
        <v>256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249</v>
      </c>
      <c r="M35" s="537"/>
      <c r="N35" s="538" t="str">
        <f>CONCATENATE('BD Team'!H11," X ",'BD Team'!I11)</f>
        <v>690 X 1525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250</v>
      </c>
      <c r="M36" s="537"/>
      <c r="N36" s="541">
        <f>'BD Team'!J11</f>
        <v>2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251</v>
      </c>
      <c r="M37" s="537"/>
      <c r="N37" s="538" t="str">
        <f>'BD Team'!C11</f>
        <v>M15000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252</v>
      </c>
      <c r="M38" s="537"/>
      <c r="N38" s="538" t="str">
        <f>'BD Team'!E11</f>
        <v>8MM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253</v>
      </c>
      <c r="M39" s="537"/>
      <c r="N39" s="538" t="str">
        <f>'BD Team'!F11</f>
        <v>NO</v>
      </c>
      <c r="O39" s="538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36" t="s">
        <v>254</v>
      </c>
      <c r="D41" s="537"/>
      <c r="E41" s="286" t="str">
        <f>'BD Team'!B12</f>
        <v>W4</v>
      </c>
      <c r="F41" s="288" t="s">
        <v>255</v>
      </c>
      <c r="G41" s="538" t="str">
        <f>'BD Team'!D12</f>
        <v>FRENCH CASEMENT WINDOW WITH FIXED GLASS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 t="str">
        <f>'BD Team'!G12</f>
        <v>NA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247</v>
      </c>
      <c r="M43" s="537"/>
      <c r="N43" s="538" t="str">
        <f>$F$6</f>
        <v>Powder Coating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178</v>
      </c>
      <c r="M44" s="537"/>
      <c r="N44" s="538" t="str">
        <f>$K$6</f>
        <v>White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248</v>
      </c>
      <c r="M45" s="537"/>
      <c r="N45" s="540" t="s">
        <v>256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249</v>
      </c>
      <c r="M46" s="537"/>
      <c r="N46" s="538" t="str">
        <f>CONCATENATE('BD Team'!H12," X ",'BD Team'!I12)</f>
        <v>1830 X 1525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250</v>
      </c>
      <c r="M47" s="537"/>
      <c r="N47" s="541">
        <f>'BD Team'!J12</f>
        <v>2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251</v>
      </c>
      <c r="M48" s="537"/>
      <c r="N48" s="538" t="str">
        <f>'BD Team'!C12</f>
        <v>M15000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252</v>
      </c>
      <c r="M49" s="537"/>
      <c r="N49" s="538" t="str">
        <f>'BD Team'!E12</f>
        <v>8MM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253</v>
      </c>
      <c r="M50" s="537"/>
      <c r="N50" s="538" t="str">
        <f>'BD Team'!F12</f>
        <v>NO</v>
      </c>
      <c r="O50" s="538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254</v>
      </c>
      <c r="D52" s="537"/>
      <c r="E52" s="286" t="str">
        <f>'BD Team'!B13</f>
        <v>W5</v>
      </c>
      <c r="F52" s="288" t="s">
        <v>255</v>
      </c>
      <c r="G52" s="538" t="str">
        <f>'BD Team'!D13</f>
        <v>FRENCH CASEMENT WINDOW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 t="str">
        <f>'BD Team'!G13</f>
        <v>NA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247</v>
      </c>
      <c r="M54" s="537"/>
      <c r="N54" s="538" t="str">
        <f>$F$6</f>
        <v>Powder Coating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178</v>
      </c>
      <c r="M55" s="537"/>
      <c r="N55" s="538" t="str">
        <f>$K$6</f>
        <v>White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248</v>
      </c>
      <c r="M56" s="537"/>
      <c r="N56" s="540" t="s">
        <v>256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249</v>
      </c>
      <c r="M57" s="537"/>
      <c r="N57" s="538" t="str">
        <f>CONCATENATE('BD Team'!H13," X ",'BD Team'!I13)</f>
        <v>1220 X 1220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250</v>
      </c>
      <c r="M58" s="537"/>
      <c r="N58" s="541">
        <f>'BD Team'!J13</f>
        <v>4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251</v>
      </c>
      <c r="M59" s="537"/>
      <c r="N59" s="538" t="str">
        <f>'BD Team'!C13</f>
        <v>M15000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252</v>
      </c>
      <c r="M60" s="537"/>
      <c r="N60" s="538" t="str">
        <f>'BD Team'!E13</f>
        <v>8MM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253</v>
      </c>
      <c r="M61" s="537"/>
      <c r="N61" s="538" t="str">
        <f>'BD Team'!F13</f>
        <v>NO</v>
      </c>
      <c r="O61" s="538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36" t="s">
        <v>254</v>
      </c>
      <c r="D63" s="537"/>
      <c r="E63" s="286" t="str">
        <f>'BD Team'!B14</f>
        <v>W6</v>
      </c>
      <c r="F63" s="288" t="s">
        <v>255</v>
      </c>
      <c r="G63" s="538" t="str">
        <f>'BD Team'!D14</f>
        <v>SIDE HUNG WINDOW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 t="str">
        <f>'BD Team'!G14</f>
        <v>NA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247</v>
      </c>
      <c r="M65" s="537"/>
      <c r="N65" s="538" t="str">
        <f>$F$6</f>
        <v>Powder Coating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178</v>
      </c>
      <c r="M66" s="537"/>
      <c r="N66" s="538" t="str">
        <f>$K$6</f>
        <v>White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248</v>
      </c>
      <c r="M67" s="537"/>
      <c r="N67" s="540" t="s">
        <v>256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249</v>
      </c>
      <c r="M68" s="537"/>
      <c r="N68" s="538" t="str">
        <f>CONCATENATE('BD Team'!H14," X ",'BD Team'!I14)</f>
        <v>610 X 915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250</v>
      </c>
      <c r="M69" s="537"/>
      <c r="N69" s="541">
        <f>'BD Team'!J14</f>
        <v>18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251</v>
      </c>
      <c r="M70" s="537"/>
      <c r="N70" s="538" t="str">
        <f>'BD Team'!C14</f>
        <v>M15000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252</v>
      </c>
      <c r="M71" s="537"/>
      <c r="N71" s="538" t="str">
        <f>'BD Team'!E14</f>
        <v>8MM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253</v>
      </c>
      <c r="M72" s="537"/>
      <c r="N72" s="538" t="str">
        <f>'BD Team'!F14</f>
        <v>NO</v>
      </c>
      <c r="O72" s="538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6" t="s">
        <v>254</v>
      </c>
      <c r="D74" s="537"/>
      <c r="E74" s="286" t="str">
        <f>'BD Team'!B15</f>
        <v>W7</v>
      </c>
      <c r="F74" s="288" t="s">
        <v>255</v>
      </c>
      <c r="G74" s="538" t="str">
        <f>'BD Team'!D15</f>
        <v>SIDE HUNG WINDOW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 t="str">
        <f>'BD Team'!G15</f>
        <v>NA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247</v>
      </c>
      <c r="M76" s="537"/>
      <c r="N76" s="538" t="str">
        <f>$F$6</f>
        <v>Powder Coating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178</v>
      </c>
      <c r="M77" s="537"/>
      <c r="N77" s="538" t="str">
        <f>$K$6</f>
        <v>White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248</v>
      </c>
      <c r="M78" s="537"/>
      <c r="N78" s="540" t="s">
        <v>256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249</v>
      </c>
      <c r="M79" s="537"/>
      <c r="N79" s="538" t="str">
        <f>CONCATENATE('BD Team'!H15," X ",'BD Team'!I15)</f>
        <v>610 X 610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250</v>
      </c>
      <c r="M80" s="537"/>
      <c r="N80" s="541">
        <f>'BD Team'!J15</f>
        <v>3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251</v>
      </c>
      <c r="M81" s="537"/>
      <c r="N81" s="538" t="str">
        <f>'BD Team'!C15</f>
        <v>M15000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252</v>
      </c>
      <c r="M82" s="537"/>
      <c r="N82" s="538" t="str">
        <f>'BD Team'!E15</f>
        <v>8MM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253</v>
      </c>
      <c r="M83" s="537"/>
      <c r="N83" s="538" t="str">
        <f>'BD Team'!F15</f>
        <v>NO</v>
      </c>
      <c r="O83" s="538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36" t="s">
        <v>254</v>
      </c>
      <c r="D85" s="537"/>
      <c r="E85" s="286" t="str">
        <f>'BD Team'!B16</f>
        <v>W8</v>
      </c>
      <c r="F85" s="288" t="s">
        <v>255</v>
      </c>
      <c r="G85" s="538" t="str">
        <f>'BD Team'!D16</f>
        <v>FIXED GLASS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 t="str">
        <f>'BD Team'!G16</f>
        <v>NA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247</v>
      </c>
      <c r="M87" s="537"/>
      <c r="N87" s="538" t="str">
        <f>$F$6</f>
        <v>Powder Coating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178</v>
      </c>
      <c r="M88" s="537"/>
      <c r="N88" s="538" t="str">
        <f>$K$6</f>
        <v>White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248</v>
      </c>
      <c r="M89" s="537"/>
      <c r="N89" s="540" t="s">
        <v>256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249</v>
      </c>
      <c r="M90" s="537"/>
      <c r="N90" s="538" t="str">
        <f>CONCATENATE('BD Team'!H16," X ",'BD Team'!I16)</f>
        <v>915 X 460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250</v>
      </c>
      <c r="M91" s="537"/>
      <c r="N91" s="541">
        <f>'BD Team'!J16</f>
        <v>3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251</v>
      </c>
      <c r="M92" s="537"/>
      <c r="N92" s="538" t="str">
        <f>'BD Team'!C16</f>
        <v>M15000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252</v>
      </c>
      <c r="M93" s="537"/>
      <c r="N93" s="538" t="str">
        <f>'BD Team'!E16</f>
        <v>8MM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253</v>
      </c>
      <c r="M94" s="537"/>
      <c r="N94" s="538" t="str">
        <f>'BD Team'!F16</f>
        <v>NO</v>
      </c>
      <c r="O94" s="538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36" t="s">
        <v>254</v>
      </c>
      <c r="D96" s="537"/>
      <c r="E96" s="286" t="str">
        <f>'BD Team'!B17</f>
        <v>W9</v>
      </c>
      <c r="F96" s="288" t="s">
        <v>255</v>
      </c>
      <c r="G96" s="538" t="str">
        <f>'BD Team'!D17</f>
        <v>FRENCH CASEMENT WINDOW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 t="str">
        <f>'BD Team'!G17</f>
        <v>NA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247</v>
      </c>
      <c r="M98" s="537"/>
      <c r="N98" s="538" t="str">
        <f>$F$6</f>
        <v>Powder Coating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178</v>
      </c>
      <c r="M99" s="537"/>
      <c r="N99" s="538" t="str">
        <f>$K$6</f>
        <v>White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248</v>
      </c>
      <c r="M100" s="537"/>
      <c r="N100" s="540" t="s">
        <v>256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249</v>
      </c>
      <c r="M101" s="537"/>
      <c r="N101" s="538" t="str">
        <f>CONCATENATE('BD Team'!H17," X ",'BD Team'!I17)</f>
        <v>1220 X 1525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250</v>
      </c>
      <c r="M102" s="537"/>
      <c r="N102" s="541">
        <f>'BD Team'!J17</f>
        <v>3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251</v>
      </c>
      <c r="M103" s="537"/>
      <c r="N103" s="538" t="str">
        <f>'BD Team'!C17</f>
        <v>M15000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252</v>
      </c>
      <c r="M104" s="537"/>
      <c r="N104" s="538" t="str">
        <f>'BD Team'!E17</f>
        <v>8MM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253</v>
      </c>
      <c r="M105" s="537"/>
      <c r="N105" s="538" t="str">
        <f>'BD Team'!F17</f>
        <v>NO</v>
      </c>
      <c r="O105" s="538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36" t="s">
        <v>254</v>
      </c>
      <c r="D107" s="537"/>
      <c r="E107" s="286" t="str">
        <f>'BD Team'!B18</f>
        <v>W10</v>
      </c>
      <c r="F107" s="288" t="s">
        <v>255</v>
      </c>
      <c r="G107" s="538" t="str">
        <f>'BD Team'!D18</f>
        <v>2 SIDE HUNG WINDOWS WITH 4 FIXED GLASS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 t="str">
        <f>'BD Team'!G18</f>
        <v>NA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247</v>
      </c>
      <c r="M109" s="537"/>
      <c r="N109" s="538" t="str">
        <f>$F$6</f>
        <v>Powder Coating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178</v>
      </c>
      <c r="M110" s="537"/>
      <c r="N110" s="538" t="str">
        <f>$K$6</f>
        <v>White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248</v>
      </c>
      <c r="M111" s="537"/>
      <c r="N111" s="540" t="s">
        <v>256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249</v>
      </c>
      <c r="M112" s="537"/>
      <c r="N112" s="538" t="str">
        <f>CONCATENATE('BD Team'!H18," X ",'BD Team'!I18)</f>
        <v>2440 X 2290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250</v>
      </c>
      <c r="M113" s="537"/>
      <c r="N113" s="541">
        <f>'BD Team'!J18</f>
        <v>3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251</v>
      </c>
      <c r="M114" s="537"/>
      <c r="N114" s="538" t="str">
        <f>'BD Team'!C18</f>
        <v>M15000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252</v>
      </c>
      <c r="M115" s="537"/>
      <c r="N115" s="538" t="str">
        <f>'BD Team'!E18</f>
        <v>8MM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253</v>
      </c>
      <c r="M116" s="537"/>
      <c r="N116" s="538" t="str">
        <f>'BD Team'!F18</f>
        <v>NO</v>
      </c>
      <c r="O116" s="538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36" t="s">
        <v>254</v>
      </c>
      <c r="D118" s="537"/>
      <c r="E118" s="286" t="str">
        <f>'BD Team'!B19</f>
        <v>W11</v>
      </c>
      <c r="F118" s="288" t="s">
        <v>255</v>
      </c>
      <c r="G118" s="538" t="str">
        <f>'BD Team'!D19</f>
        <v>FRENCH CASEMENT WINDOW WITH FIXED GLASS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 t="str">
        <f>'BD Team'!G19</f>
        <v>NA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247</v>
      </c>
      <c r="M120" s="537"/>
      <c r="N120" s="538" t="str">
        <f>$F$6</f>
        <v>Powder Coating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178</v>
      </c>
      <c r="M121" s="537"/>
      <c r="N121" s="538" t="str">
        <f>$K$6</f>
        <v>White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248</v>
      </c>
      <c r="M122" s="537"/>
      <c r="N122" s="540" t="s">
        <v>256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249</v>
      </c>
      <c r="M123" s="537"/>
      <c r="N123" s="538" t="str">
        <f>CONCATENATE('BD Team'!H19," X ",'BD Team'!I19)</f>
        <v>1830 X 1220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250</v>
      </c>
      <c r="M124" s="537"/>
      <c r="N124" s="541">
        <f>'BD Team'!J19</f>
        <v>2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251</v>
      </c>
      <c r="M125" s="537"/>
      <c r="N125" s="538" t="str">
        <f>'BD Team'!C19</f>
        <v>M15000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252</v>
      </c>
      <c r="M126" s="537"/>
      <c r="N126" s="538" t="str">
        <f>'BD Team'!E19</f>
        <v>8MM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253</v>
      </c>
      <c r="M127" s="537"/>
      <c r="N127" s="538" t="str">
        <f>'BD Team'!F19</f>
        <v>NO</v>
      </c>
      <c r="O127" s="538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36" t="s">
        <v>254</v>
      </c>
      <c r="D129" s="537"/>
      <c r="E129" s="286" t="str">
        <f>'BD Team'!B20</f>
        <v>W12</v>
      </c>
      <c r="F129" s="288" t="s">
        <v>255</v>
      </c>
      <c r="G129" s="538" t="str">
        <f>'BD Team'!D20</f>
        <v>FRENCH CASEMENT WINDOW WITH BOTTOM FIXED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 t="str">
        <f>'BD Team'!G20</f>
        <v>NA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247</v>
      </c>
      <c r="M131" s="537"/>
      <c r="N131" s="538" t="str">
        <f>$F$6</f>
        <v>Powder Coating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178</v>
      </c>
      <c r="M132" s="537"/>
      <c r="N132" s="538" t="str">
        <f>$K$6</f>
        <v>White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248</v>
      </c>
      <c r="M133" s="537"/>
      <c r="N133" s="540" t="s">
        <v>256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249</v>
      </c>
      <c r="M134" s="537"/>
      <c r="N134" s="538" t="str">
        <f>CONCATENATE('BD Team'!H20," X ",'BD Team'!I20)</f>
        <v>1220 X 2135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250</v>
      </c>
      <c r="M135" s="537"/>
      <c r="N135" s="541">
        <f>'BD Team'!J20</f>
        <v>1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251</v>
      </c>
      <c r="M136" s="537"/>
      <c r="N136" s="538" t="str">
        <f>'BD Team'!C20</f>
        <v>M15000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252</v>
      </c>
      <c r="M137" s="537"/>
      <c r="N137" s="538" t="str">
        <f>'BD Team'!E20</f>
        <v>8MM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253</v>
      </c>
      <c r="M138" s="537"/>
      <c r="N138" s="538" t="str">
        <f>'BD Team'!F20</f>
        <v>NO</v>
      </c>
      <c r="O138" s="538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36" t="s">
        <v>254</v>
      </c>
      <c r="D140" s="537"/>
      <c r="E140" s="286" t="str">
        <f>'BD Team'!B21</f>
        <v>W13</v>
      </c>
      <c r="F140" s="288" t="s">
        <v>255</v>
      </c>
      <c r="G140" s="538" t="str">
        <f>'BD Team'!D21</f>
        <v>FRENCH CASEMENT WINDOW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 t="str">
        <f>'BD Team'!G21</f>
        <v>NA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247</v>
      </c>
      <c r="M142" s="537"/>
      <c r="N142" s="538" t="str">
        <f>$F$6</f>
        <v>Powder Coating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178</v>
      </c>
      <c r="M143" s="537"/>
      <c r="N143" s="538" t="str">
        <f>$K$6</f>
        <v>White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248</v>
      </c>
      <c r="M144" s="537"/>
      <c r="N144" s="540" t="s">
        <v>256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249</v>
      </c>
      <c r="M145" s="537"/>
      <c r="N145" s="538" t="str">
        <f>CONCATENATE('BD Team'!H21," X ",'BD Team'!I21)</f>
        <v>1220 X 1220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250</v>
      </c>
      <c r="M146" s="537"/>
      <c r="N146" s="541">
        <f>'BD Team'!J21</f>
        <v>1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251</v>
      </c>
      <c r="M147" s="537"/>
      <c r="N147" s="538" t="str">
        <f>'BD Team'!C21</f>
        <v>M15000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252</v>
      </c>
      <c r="M148" s="537"/>
      <c r="N148" s="538" t="str">
        <f>'BD Team'!E21</f>
        <v>8MM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253</v>
      </c>
      <c r="M149" s="537"/>
      <c r="N149" s="538" t="str">
        <f>'BD Team'!F21</f>
        <v>NO</v>
      </c>
      <c r="O149" s="538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36" t="s">
        <v>254</v>
      </c>
      <c r="D151" s="537"/>
      <c r="E151" s="286" t="str">
        <f>'BD Team'!B22</f>
        <v>W14</v>
      </c>
      <c r="F151" s="288" t="s">
        <v>255</v>
      </c>
      <c r="G151" s="538" t="str">
        <f>'BD Team'!D22</f>
        <v>SIDE HUNG WINDOW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 t="str">
        <f>'BD Team'!G22</f>
        <v>NA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247</v>
      </c>
      <c r="M153" s="537"/>
      <c r="N153" s="538" t="str">
        <f>$F$6</f>
        <v>Powder Coating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178</v>
      </c>
      <c r="M154" s="537"/>
      <c r="N154" s="538" t="str">
        <f>$K$6</f>
        <v>White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248</v>
      </c>
      <c r="M155" s="537"/>
      <c r="N155" s="540" t="s">
        <v>256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249</v>
      </c>
      <c r="M156" s="537"/>
      <c r="N156" s="538" t="str">
        <f>CONCATENATE('BD Team'!H22," X ",'BD Team'!I22)</f>
        <v>915 X 1220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250</v>
      </c>
      <c r="M157" s="537"/>
      <c r="N157" s="541">
        <f>'BD Team'!J22</f>
        <v>1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251</v>
      </c>
      <c r="M158" s="537"/>
      <c r="N158" s="538" t="str">
        <f>'BD Team'!C22</f>
        <v>M15000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252</v>
      </c>
      <c r="M159" s="537"/>
      <c r="N159" s="538" t="str">
        <f>'BD Team'!E22</f>
        <v>8MM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253</v>
      </c>
      <c r="M160" s="537"/>
      <c r="N160" s="538" t="str">
        <f>'BD Team'!F22</f>
        <v>NO</v>
      </c>
      <c r="O160" s="538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36" t="s">
        <v>254</v>
      </c>
      <c r="D162" s="537"/>
      <c r="E162" s="286">
        <f>'BD Team'!B23</f>
        <v>0</v>
      </c>
      <c r="F162" s="288" t="s">
        <v>255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247</v>
      </c>
      <c r="M164" s="537"/>
      <c r="N164" s="538" t="str">
        <f>$F$6</f>
        <v>Powder Coating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178</v>
      </c>
      <c r="M165" s="537"/>
      <c r="N165" s="538" t="str">
        <f>$K$6</f>
        <v>White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248</v>
      </c>
      <c r="M166" s="537"/>
      <c r="N166" s="540" t="s">
        <v>256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249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250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251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252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253</v>
      </c>
      <c r="M171" s="537"/>
      <c r="N171" s="538">
        <f>'BD Team'!F23</f>
        <v>0</v>
      </c>
      <c r="O171" s="538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36" t="s">
        <v>254</v>
      </c>
      <c r="D173" s="537"/>
      <c r="E173" s="286">
        <f>'BD Team'!B24</f>
        <v>0</v>
      </c>
      <c r="F173" s="288" t="s">
        <v>255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247</v>
      </c>
      <c r="M175" s="537"/>
      <c r="N175" s="538" t="str">
        <f>$F$6</f>
        <v>Powder Coating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178</v>
      </c>
      <c r="M176" s="537"/>
      <c r="N176" s="538" t="str">
        <f>$K$6</f>
        <v>White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248</v>
      </c>
      <c r="M177" s="537"/>
      <c r="N177" s="540" t="s">
        <v>256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249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250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251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252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253</v>
      </c>
      <c r="M182" s="537"/>
      <c r="N182" s="538">
        <f>'BD Team'!F24</f>
        <v>0</v>
      </c>
      <c r="O182" s="538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36" t="s">
        <v>254</v>
      </c>
      <c r="D184" s="537"/>
      <c r="E184" s="286">
        <f>'BD Team'!B25</f>
        <v>0</v>
      </c>
      <c r="F184" s="288" t="s">
        <v>255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247</v>
      </c>
      <c r="M186" s="537"/>
      <c r="N186" s="538" t="str">
        <f>$F$6</f>
        <v>Powder Coating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178</v>
      </c>
      <c r="M187" s="537"/>
      <c r="N187" s="538" t="str">
        <f>$K$6</f>
        <v>White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248</v>
      </c>
      <c r="M188" s="537"/>
      <c r="N188" s="540" t="s">
        <v>256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249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250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251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252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253</v>
      </c>
      <c r="M193" s="537"/>
      <c r="N193" s="538">
        <f>'BD Team'!F25</f>
        <v>0</v>
      </c>
      <c r="O193" s="538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36" t="s">
        <v>254</v>
      </c>
      <c r="D195" s="537"/>
      <c r="E195" s="286">
        <f>'BD Team'!B26</f>
        <v>0</v>
      </c>
      <c r="F195" s="288" t="s">
        <v>255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247</v>
      </c>
      <c r="M197" s="537"/>
      <c r="N197" s="538" t="str">
        <f>$F$6</f>
        <v>Powder Coating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178</v>
      </c>
      <c r="M198" s="537"/>
      <c r="N198" s="538" t="str">
        <f>$K$6</f>
        <v>White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248</v>
      </c>
      <c r="M199" s="537"/>
      <c r="N199" s="540" t="s">
        <v>256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249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250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251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252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253</v>
      </c>
      <c r="M204" s="537"/>
      <c r="N204" s="538">
        <f>'BD Team'!F26</f>
        <v>0</v>
      </c>
      <c r="O204" s="538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36" t="s">
        <v>254</v>
      </c>
      <c r="D206" s="537"/>
      <c r="E206" s="286">
        <f>'BD Team'!B27</f>
        <v>0</v>
      </c>
      <c r="F206" s="288" t="s">
        <v>255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247</v>
      </c>
      <c r="M208" s="537"/>
      <c r="N208" s="538" t="str">
        <f>$F$6</f>
        <v>Powder Coating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178</v>
      </c>
      <c r="M209" s="537"/>
      <c r="N209" s="538" t="str">
        <f>$K$6</f>
        <v>White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248</v>
      </c>
      <c r="M210" s="537"/>
      <c r="N210" s="540" t="s">
        <v>256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249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250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251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252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253</v>
      </c>
      <c r="M215" s="537"/>
      <c r="N215" s="538">
        <f>'BD Team'!F27</f>
        <v>0</v>
      </c>
      <c r="O215" s="538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36" t="s">
        <v>254</v>
      </c>
      <c r="D217" s="537"/>
      <c r="E217" s="286">
        <f>'BD Team'!B28</f>
        <v>0</v>
      </c>
      <c r="F217" s="288" t="s">
        <v>255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247</v>
      </c>
      <c r="M219" s="537"/>
      <c r="N219" s="538" t="str">
        <f>$F$6</f>
        <v>Powder Coating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178</v>
      </c>
      <c r="M220" s="537"/>
      <c r="N220" s="538" t="str">
        <f>$K$6</f>
        <v>White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248</v>
      </c>
      <c r="M221" s="537"/>
      <c r="N221" s="540" t="s">
        <v>256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249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250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251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252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253</v>
      </c>
      <c r="M226" s="537"/>
      <c r="N226" s="538">
        <f>'BD Team'!F28</f>
        <v>0</v>
      </c>
      <c r="O226" s="538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36" t="s">
        <v>254</v>
      </c>
      <c r="D228" s="537"/>
      <c r="E228" s="286">
        <f>'BD Team'!B29</f>
        <v>0</v>
      </c>
      <c r="F228" s="288" t="s">
        <v>255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247</v>
      </c>
      <c r="M230" s="537"/>
      <c r="N230" s="538" t="str">
        <f>$F$6</f>
        <v>Powder Coating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178</v>
      </c>
      <c r="M231" s="537"/>
      <c r="N231" s="538" t="str">
        <f>$K$6</f>
        <v>White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248</v>
      </c>
      <c r="M232" s="537"/>
      <c r="N232" s="540" t="s">
        <v>256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249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250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251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252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253</v>
      </c>
      <c r="M237" s="537"/>
      <c r="N237" s="538">
        <f>'BD Team'!F29</f>
        <v>0</v>
      </c>
      <c r="O237" s="538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36" t="s">
        <v>254</v>
      </c>
      <c r="D239" s="537"/>
      <c r="E239" s="286">
        <f>'BD Team'!B30</f>
        <v>0</v>
      </c>
      <c r="F239" s="288" t="s">
        <v>255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247</v>
      </c>
      <c r="M241" s="537"/>
      <c r="N241" s="538" t="str">
        <f>$F$6</f>
        <v>Powder Coating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178</v>
      </c>
      <c r="M242" s="537"/>
      <c r="N242" s="538" t="str">
        <f>$K$6</f>
        <v>White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248</v>
      </c>
      <c r="M243" s="537"/>
      <c r="N243" s="540" t="s">
        <v>256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249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250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251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252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253</v>
      </c>
      <c r="M248" s="537"/>
      <c r="N248" s="538">
        <f>'BD Team'!F30</f>
        <v>0</v>
      </c>
      <c r="O248" s="538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36" t="s">
        <v>254</v>
      </c>
      <c r="D250" s="537"/>
      <c r="E250" s="286">
        <f>'BD Team'!B31</f>
        <v>0</v>
      </c>
      <c r="F250" s="288" t="s">
        <v>255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247</v>
      </c>
      <c r="M252" s="537"/>
      <c r="N252" s="538" t="str">
        <f>$F$6</f>
        <v>Powder Coating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178</v>
      </c>
      <c r="M253" s="537"/>
      <c r="N253" s="538" t="str">
        <f>$K$6</f>
        <v>White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248</v>
      </c>
      <c r="M254" s="537"/>
      <c r="N254" s="540" t="s">
        <v>256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249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250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251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252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253</v>
      </c>
      <c r="M259" s="537"/>
      <c r="N259" s="538">
        <f>'BD Team'!F31</f>
        <v>0</v>
      </c>
      <c r="O259" s="538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36" t="s">
        <v>254</v>
      </c>
      <c r="D261" s="537"/>
      <c r="E261" s="286">
        <f>'BD Team'!B32</f>
        <v>0</v>
      </c>
      <c r="F261" s="288" t="s">
        <v>255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247</v>
      </c>
      <c r="M263" s="537"/>
      <c r="N263" s="538" t="str">
        <f>$F$6</f>
        <v>Powder Coating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178</v>
      </c>
      <c r="M264" s="537"/>
      <c r="N264" s="538" t="str">
        <f>$K$6</f>
        <v>White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248</v>
      </c>
      <c r="M265" s="537"/>
      <c r="N265" s="540" t="s">
        <v>256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249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250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251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252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253</v>
      </c>
      <c r="M270" s="537"/>
      <c r="N270" s="538">
        <f>'BD Team'!F32</f>
        <v>0</v>
      </c>
      <c r="O270" s="538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36" t="s">
        <v>254</v>
      </c>
      <c r="D272" s="537"/>
      <c r="E272" s="286">
        <f>'BD Team'!B33</f>
        <v>0</v>
      </c>
      <c r="F272" s="288" t="s">
        <v>255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247</v>
      </c>
      <c r="M274" s="537"/>
      <c r="N274" s="538" t="str">
        <f>$F$6</f>
        <v>Powder Coating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178</v>
      </c>
      <c r="M275" s="537"/>
      <c r="N275" s="538" t="str">
        <f>$K$6</f>
        <v>White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248</v>
      </c>
      <c r="M276" s="537"/>
      <c r="N276" s="540" t="s">
        <v>256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249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250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251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252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253</v>
      </c>
      <c r="M281" s="537"/>
      <c r="N281" s="538">
        <f>'BD Team'!F33</f>
        <v>0</v>
      </c>
      <c r="O281" s="538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36" t="s">
        <v>254</v>
      </c>
      <c r="D283" s="537"/>
      <c r="E283" s="286">
        <f>'BD Team'!B34</f>
        <v>0</v>
      </c>
      <c r="F283" s="288" t="s">
        <v>255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247</v>
      </c>
      <c r="M285" s="537"/>
      <c r="N285" s="538" t="str">
        <f>$F$6</f>
        <v>Powder Coating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178</v>
      </c>
      <c r="M286" s="537"/>
      <c r="N286" s="538" t="str">
        <f>$K$6</f>
        <v>White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248</v>
      </c>
      <c r="M287" s="537"/>
      <c r="N287" s="540" t="s">
        <v>256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249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250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251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252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253</v>
      </c>
      <c r="M292" s="537"/>
      <c r="N292" s="538">
        <f>'BD Team'!F34</f>
        <v>0</v>
      </c>
      <c r="O292" s="538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36" t="s">
        <v>254</v>
      </c>
      <c r="D294" s="537"/>
      <c r="E294" s="286">
        <f>'BD Team'!B35</f>
        <v>0</v>
      </c>
      <c r="F294" s="288" t="s">
        <v>255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247</v>
      </c>
      <c r="M296" s="537"/>
      <c r="N296" s="538" t="str">
        <f>$F$6</f>
        <v>Powder Coating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178</v>
      </c>
      <c r="M297" s="537"/>
      <c r="N297" s="538" t="str">
        <f>$K$6</f>
        <v>White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248</v>
      </c>
      <c r="M298" s="537"/>
      <c r="N298" s="540" t="s">
        <v>256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249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250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251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252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253</v>
      </c>
      <c r="M303" s="537"/>
      <c r="N303" s="538">
        <f>'BD Team'!F35</f>
        <v>0</v>
      </c>
      <c r="O303" s="538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36" t="s">
        <v>254</v>
      </c>
      <c r="D305" s="537"/>
      <c r="E305" s="286">
        <f>'BD Team'!B36</f>
        <v>0</v>
      </c>
      <c r="F305" s="288" t="s">
        <v>255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247</v>
      </c>
      <c r="M307" s="537"/>
      <c r="N307" s="538" t="str">
        <f>$F$6</f>
        <v>Powder Coating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178</v>
      </c>
      <c r="M308" s="537"/>
      <c r="N308" s="538" t="str">
        <f>$K$6</f>
        <v>White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248</v>
      </c>
      <c r="M309" s="537"/>
      <c r="N309" s="540" t="s">
        <v>256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249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250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251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252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253</v>
      </c>
      <c r="M314" s="537"/>
      <c r="N314" s="538">
        <f>'BD Team'!F36</f>
        <v>0</v>
      </c>
      <c r="O314" s="538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36" t="s">
        <v>254</v>
      </c>
      <c r="D316" s="537"/>
      <c r="E316" s="286">
        <f>'BD Team'!B37</f>
        <v>0</v>
      </c>
      <c r="F316" s="288" t="s">
        <v>255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247</v>
      </c>
      <c r="M318" s="537"/>
      <c r="N318" s="538" t="str">
        <f>$F$6</f>
        <v>Powder Coating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178</v>
      </c>
      <c r="M319" s="537"/>
      <c r="N319" s="538" t="str">
        <f>$K$6</f>
        <v>White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248</v>
      </c>
      <c r="M320" s="537"/>
      <c r="N320" s="540" t="s">
        <v>256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249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250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251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252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253</v>
      </c>
      <c r="M325" s="537"/>
      <c r="N325" s="538">
        <f>'BD Team'!F37</f>
        <v>0</v>
      </c>
      <c r="O325" s="538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36" t="s">
        <v>254</v>
      </c>
      <c r="D327" s="537"/>
      <c r="E327" s="286">
        <f>'BD Team'!B38</f>
        <v>0</v>
      </c>
      <c r="F327" s="288" t="s">
        <v>255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247</v>
      </c>
      <c r="M329" s="537"/>
      <c r="N329" s="538" t="str">
        <f>$F$6</f>
        <v>Powder Coating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178</v>
      </c>
      <c r="M330" s="537"/>
      <c r="N330" s="538" t="str">
        <f>$K$6</f>
        <v>White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248</v>
      </c>
      <c r="M331" s="537"/>
      <c r="N331" s="540" t="s">
        <v>256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249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250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251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252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253</v>
      </c>
      <c r="M336" s="537"/>
      <c r="N336" s="538">
        <f>'BD Team'!F38</f>
        <v>0</v>
      </c>
      <c r="O336" s="538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36" t="s">
        <v>254</v>
      </c>
      <c r="D338" s="537"/>
      <c r="E338" s="286">
        <f>'BD Team'!B39</f>
        <v>0</v>
      </c>
      <c r="F338" s="288" t="s">
        <v>255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247</v>
      </c>
      <c r="M340" s="537"/>
      <c r="N340" s="538" t="str">
        <f>$F$6</f>
        <v>Powder Coating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178</v>
      </c>
      <c r="M341" s="537"/>
      <c r="N341" s="538" t="str">
        <f>$K$6</f>
        <v>White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248</v>
      </c>
      <c r="M342" s="537"/>
      <c r="N342" s="540" t="s">
        <v>256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249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250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251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252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253</v>
      </c>
      <c r="M347" s="537"/>
      <c r="N347" s="538">
        <f>'BD Team'!F39</f>
        <v>0</v>
      </c>
      <c r="O347" s="538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36" t="s">
        <v>254</v>
      </c>
      <c r="D349" s="537"/>
      <c r="E349" s="286">
        <f>'BD Team'!B40</f>
        <v>0</v>
      </c>
      <c r="F349" s="288" t="s">
        <v>255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247</v>
      </c>
      <c r="M351" s="537"/>
      <c r="N351" s="538" t="str">
        <f>$F$6</f>
        <v>Powder Coating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178</v>
      </c>
      <c r="M352" s="537"/>
      <c r="N352" s="538" t="str">
        <f>$K$6</f>
        <v>White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248</v>
      </c>
      <c r="M353" s="537"/>
      <c r="N353" s="540" t="s">
        <v>256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249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250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251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252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253</v>
      </c>
      <c r="M358" s="537"/>
      <c r="N358" s="538">
        <f>'BD Team'!F40</f>
        <v>0</v>
      </c>
      <c r="O358" s="538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36" t="s">
        <v>254</v>
      </c>
      <c r="D360" s="537"/>
      <c r="E360" s="286">
        <f>'BD Team'!B41</f>
        <v>0</v>
      </c>
      <c r="F360" s="288" t="s">
        <v>255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247</v>
      </c>
      <c r="M362" s="537"/>
      <c r="N362" s="538" t="str">
        <f>$F$6</f>
        <v>Powder Coating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178</v>
      </c>
      <c r="M363" s="537"/>
      <c r="N363" s="538" t="str">
        <f>$K$6</f>
        <v>White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248</v>
      </c>
      <c r="M364" s="537"/>
      <c r="N364" s="540" t="s">
        <v>256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249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250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251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252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253</v>
      </c>
      <c r="M369" s="537"/>
      <c r="N369" s="538">
        <f>'BD Team'!F41</f>
        <v>0</v>
      </c>
      <c r="O369" s="538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36" t="s">
        <v>254</v>
      </c>
      <c r="D371" s="537"/>
      <c r="E371" s="286">
        <f>'BD Team'!B42</f>
        <v>0</v>
      </c>
      <c r="F371" s="288" t="s">
        <v>255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247</v>
      </c>
      <c r="M373" s="537"/>
      <c r="N373" s="538" t="str">
        <f>$F$6</f>
        <v>Powder Coating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178</v>
      </c>
      <c r="M374" s="537"/>
      <c r="N374" s="538" t="str">
        <f>$K$6</f>
        <v>White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248</v>
      </c>
      <c r="M375" s="537"/>
      <c r="N375" s="540" t="s">
        <v>256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249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250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251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252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253</v>
      </c>
      <c r="M380" s="537"/>
      <c r="N380" s="538">
        <f>'BD Team'!F42</f>
        <v>0</v>
      </c>
      <c r="O380" s="538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36" t="s">
        <v>254</v>
      </c>
      <c r="D382" s="537"/>
      <c r="E382" s="286">
        <f>'BD Team'!B43</f>
        <v>0</v>
      </c>
      <c r="F382" s="288" t="s">
        <v>255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247</v>
      </c>
      <c r="M384" s="537"/>
      <c r="N384" s="538" t="str">
        <f>$F$6</f>
        <v>Powder Coating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178</v>
      </c>
      <c r="M385" s="537"/>
      <c r="N385" s="538" t="str">
        <f>$K$6</f>
        <v>White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248</v>
      </c>
      <c r="M386" s="537"/>
      <c r="N386" s="540" t="s">
        <v>256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249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250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251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252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253</v>
      </c>
      <c r="M391" s="537"/>
      <c r="N391" s="538">
        <f>'BD Team'!F43</f>
        <v>0</v>
      </c>
      <c r="O391" s="538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36" t="s">
        <v>254</v>
      </c>
      <c r="D393" s="537"/>
      <c r="E393" s="286">
        <f>'BD Team'!B44</f>
        <v>0</v>
      </c>
      <c r="F393" s="288" t="s">
        <v>255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247</v>
      </c>
      <c r="M395" s="537"/>
      <c r="N395" s="538" t="str">
        <f>$F$6</f>
        <v>Powder Coating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178</v>
      </c>
      <c r="M396" s="537"/>
      <c r="N396" s="538" t="str">
        <f>$K$6</f>
        <v>White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248</v>
      </c>
      <c r="M397" s="537"/>
      <c r="N397" s="540" t="s">
        <v>256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249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250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251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252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253</v>
      </c>
      <c r="M402" s="537"/>
      <c r="N402" s="538">
        <f>'BD Team'!F44</f>
        <v>0</v>
      </c>
      <c r="O402" s="538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36" t="s">
        <v>254</v>
      </c>
      <c r="D404" s="537"/>
      <c r="E404" s="286">
        <f>'BD Team'!B45</f>
        <v>0</v>
      </c>
      <c r="F404" s="288" t="s">
        <v>255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247</v>
      </c>
      <c r="M406" s="537"/>
      <c r="N406" s="538" t="str">
        <f>$F$6</f>
        <v>Powder Coating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178</v>
      </c>
      <c r="M407" s="537"/>
      <c r="N407" s="538" t="str">
        <f>$K$6</f>
        <v>White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248</v>
      </c>
      <c r="M408" s="537"/>
      <c r="N408" s="540" t="s">
        <v>256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249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250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251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252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253</v>
      </c>
      <c r="M413" s="537"/>
      <c r="N413" s="538">
        <f>'BD Team'!F45</f>
        <v>0</v>
      </c>
      <c r="O413" s="538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36" t="s">
        <v>254</v>
      </c>
      <c r="D415" s="537"/>
      <c r="E415" s="286">
        <f>'BD Team'!B46</f>
        <v>0</v>
      </c>
      <c r="F415" s="288" t="s">
        <v>255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247</v>
      </c>
      <c r="M417" s="537"/>
      <c r="N417" s="538" t="str">
        <f>$F$6</f>
        <v>Powder Coating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178</v>
      </c>
      <c r="M418" s="537"/>
      <c r="N418" s="538" t="str">
        <f>$K$6</f>
        <v>White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248</v>
      </c>
      <c r="M419" s="537"/>
      <c r="N419" s="540" t="s">
        <v>256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249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250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251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252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253</v>
      </c>
      <c r="M424" s="537"/>
      <c r="N424" s="538">
        <f>'BD Team'!F46</f>
        <v>0</v>
      </c>
      <c r="O424" s="538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36" t="s">
        <v>254</v>
      </c>
      <c r="D426" s="537"/>
      <c r="E426" s="286">
        <f>'BD Team'!B47</f>
        <v>0</v>
      </c>
      <c r="F426" s="288" t="s">
        <v>255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247</v>
      </c>
      <c r="M428" s="537"/>
      <c r="N428" s="538" t="str">
        <f>$F$6</f>
        <v>Powder Coating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178</v>
      </c>
      <c r="M429" s="537"/>
      <c r="N429" s="538" t="str">
        <f>$K$6</f>
        <v>White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248</v>
      </c>
      <c r="M430" s="537"/>
      <c r="N430" s="540" t="s">
        <v>256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249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250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251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252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253</v>
      </c>
      <c r="M435" s="537"/>
      <c r="N435" s="538">
        <f>'BD Team'!F47</f>
        <v>0</v>
      </c>
      <c r="O435" s="538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36" t="s">
        <v>254</v>
      </c>
      <c r="D437" s="537"/>
      <c r="E437" s="286">
        <f>'BD Team'!B48</f>
        <v>0</v>
      </c>
      <c r="F437" s="288" t="s">
        <v>255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247</v>
      </c>
      <c r="M439" s="537"/>
      <c r="N439" s="538" t="str">
        <f>$F$6</f>
        <v>Powder Coating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178</v>
      </c>
      <c r="M440" s="537"/>
      <c r="N440" s="538" t="str">
        <f>$K$6</f>
        <v>White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248</v>
      </c>
      <c r="M441" s="537"/>
      <c r="N441" s="540" t="s">
        <v>256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249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250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251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252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253</v>
      </c>
      <c r="M446" s="537"/>
      <c r="N446" s="538">
        <f>'BD Team'!F48</f>
        <v>0</v>
      </c>
      <c r="O446" s="538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36" t="s">
        <v>254</v>
      </c>
      <c r="D448" s="537"/>
      <c r="E448" s="286">
        <f>'BD Team'!B49</f>
        <v>0</v>
      </c>
      <c r="F448" s="288" t="s">
        <v>255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247</v>
      </c>
      <c r="M450" s="537"/>
      <c r="N450" s="538" t="str">
        <f>$F$6</f>
        <v>Powder Coating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178</v>
      </c>
      <c r="M451" s="537"/>
      <c r="N451" s="538" t="str">
        <f>$K$6</f>
        <v>White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248</v>
      </c>
      <c r="M452" s="537"/>
      <c r="N452" s="540" t="s">
        <v>256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249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250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251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252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253</v>
      </c>
      <c r="M457" s="537"/>
      <c r="N457" s="538">
        <f>'BD Team'!F49</f>
        <v>0</v>
      </c>
      <c r="O457" s="538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36" t="s">
        <v>254</v>
      </c>
      <c r="D459" s="537"/>
      <c r="E459" s="286">
        <f>'BD Team'!B50</f>
        <v>0</v>
      </c>
      <c r="F459" s="288" t="s">
        <v>255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247</v>
      </c>
      <c r="M461" s="537"/>
      <c r="N461" s="538" t="str">
        <f>$F$6</f>
        <v>Powder Coating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178</v>
      </c>
      <c r="M462" s="537"/>
      <c r="N462" s="538" t="str">
        <f>$K$6</f>
        <v>White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248</v>
      </c>
      <c r="M463" s="537"/>
      <c r="N463" s="540" t="s">
        <v>256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249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250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251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252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253</v>
      </c>
      <c r="M468" s="537"/>
      <c r="N468" s="538">
        <f>'BD Team'!F50</f>
        <v>0</v>
      </c>
      <c r="O468" s="538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36" t="s">
        <v>254</v>
      </c>
      <c r="D470" s="537"/>
      <c r="E470" s="286">
        <f>'BD Team'!B51</f>
        <v>0</v>
      </c>
      <c r="F470" s="288" t="s">
        <v>255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247</v>
      </c>
      <c r="M472" s="537"/>
      <c r="N472" s="538" t="str">
        <f>$F$6</f>
        <v>Powder Coating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178</v>
      </c>
      <c r="M473" s="537"/>
      <c r="N473" s="538" t="str">
        <f>$K$6</f>
        <v>White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248</v>
      </c>
      <c r="M474" s="537"/>
      <c r="N474" s="540" t="s">
        <v>256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249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250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251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252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253</v>
      </c>
      <c r="M479" s="537"/>
      <c r="N479" s="538">
        <f>'BD Team'!F51</f>
        <v>0</v>
      </c>
      <c r="O479" s="538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36" t="s">
        <v>254</v>
      </c>
      <c r="D481" s="537"/>
      <c r="E481" s="286">
        <f>'BD Team'!B52</f>
        <v>0</v>
      </c>
      <c r="F481" s="288" t="s">
        <v>255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247</v>
      </c>
      <c r="M483" s="537"/>
      <c r="N483" s="538" t="str">
        <f>$F$6</f>
        <v>Powder Coating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178</v>
      </c>
      <c r="M484" s="537"/>
      <c r="N484" s="538" t="str">
        <f>$K$6</f>
        <v>White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248</v>
      </c>
      <c r="M485" s="537"/>
      <c r="N485" s="540" t="s">
        <v>256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249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250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251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252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253</v>
      </c>
      <c r="M490" s="537"/>
      <c r="N490" s="538">
        <f>'BD Team'!F52</f>
        <v>0</v>
      </c>
      <c r="O490" s="538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36" t="s">
        <v>254</v>
      </c>
      <c r="D492" s="537"/>
      <c r="E492" s="286">
        <f>'BD Team'!B53</f>
        <v>0</v>
      </c>
      <c r="F492" s="288" t="s">
        <v>255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247</v>
      </c>
      <c r="M494" s="537"/>
      <c r="N494" s="538" t="str">
        <f>$F$6</f>
        <v>Powder Coating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178</v>
      </c>
      <c r="M495" s="537"/>
      <c r="N495" s="538" t="str">
        <f>$K$6</f>
        <v>White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248</v>
      </c>
      <c r="M496" s="537"/>
      <c r="N496" s="540" t="s">
        <v>256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249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250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251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252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253</v>
      </c>
      <c r="M501" s="537"/>
      <c r="N501" s="538">
        <f>'BD Team'!F53</f>
        <v>0</v>
      </c>
      <c r="O501" s="538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36" t="s">
        <v>254</v>
      </c>
      <c r="D503" s="537"/>
      <c r="E503" s="286">
        <f>'BD Team'!B54</f>
        <v>0</v>
      </c>
      <c r="F503" s="288" t="s">
        <v>255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247</v>
      </c>
      <c r="M505" s="537"/>
      <c r="N505" s="538" t="str">
        <f>$F$6</f>
        <v>Powder Coating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178</v>
      </c>
      <c r="M506" s="537"/>
      <c r="N506" s="538" t="str">
        <f>$K$6</f>
        <v>White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248</v>
      </c>
      <c r="M507" s="537"/>
      <c r="N507" s="540" t="s">
        <v>256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249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250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251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252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253</v>
      </c>
      <c r="M512" s="537"/>
      <c r="N512" s="538">
        <f>'BD Team'!F54</f>
        <v>0</v>
      </c>
      <c r="O512" s="538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36" t="s">
        <v>254</v>
      </c>
      <c r="D514" s="537"/>
      <c r="E514" s="286">
        <f>'BD Team'!B55</f>
        <v>0</v>
      </c>
      <c r="F514" s="288" t="s">
        <v>255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247</v>
      </c>
      <c r="M516" s="537"/>
      <c r="N516" s="538" t="str">
        <f>$F$6</f>
        <v>Powder Coating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178</v>
      </c>
      <c r="M517" s="537"/>
      <c r="N517" s="538" t="str">
        <f>$K$6</f>
        <v>White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248</v>
      </c>
      <c r="M518" s="537"/>
      <c r="N518" s="540" t="s">
        <v>256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249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250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251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252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253</v>
      </c>
      <c r="M523" s="537"/>
      <c r="N523" s="538">
        <f>'BD Team'!F55</f>
        <v>0</v>
      </c>
      <c r="O523" s="538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36" t="s">
        <v>254</v>
      </c>
      <c r="D525" s="537"/>
      <c r="E525" s="286">
        <f>'BD Team'!B56</f>
        <v>0</v>
      </c>
      <c r="F525" s="288" t="s">
        <v>255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247</v>
      </c>
      <c r="M527" s="537"/>
      <c r="N527" s="538" t="str">
        <f>$F$6</f>
        <v>Powder Coating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178</v>
      </c>
      <c r="M528" s="537"/>
      <c r="N528" s="538" t="str">
        <f>$K$6</f>
        <v>White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248</v>
      </c>
      <c r="M529" s="537"/>
      <c r="N529" s="540" t="s">
        <v>256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249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250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251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252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253</v>
      </c>
      <c r="M534" s="537"/>
      <c r="N534" s="538">
        <f>'BD Team'!F56</f>
        <v>0</v>
      </c>
      <c r="O534" s="538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36" t="s">
        <v>254</v>
      </c>
      <c r="D536" s="537"/>
      <c r="E536" s="286">
        <f>'BD Team'!B57</f>
        <v>0</v>
      </c>
      <c r="F536" s="288" t="s">
        <v>255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247</v>
      </c>
      <c r="M538" s="537"/>
      <c r="N538" s="538" t="str">
        <f>$F$6</f>
        <v>Powder Coating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178</v>
      </c>
      <c r="M539" s="537"/>
      <c r="N539" s="538" t="str">
        <f>$K$6</f>
        <v>White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248</v>
      </c>
      <c r="M540" s="537"/>
      <c r="N540" s="540" t="s">
        <v>256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249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250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251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252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253</v>
      </c>
      <c r="M545" s="537"/>
      <c r="N545" s="538">
        <f>'BD Team'!F57</f>
        <v>0</v>
      </c>
      <c r="O545" s="538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36" t="s">
        <v>254</v>
      </c>
      <c r="D547" s="537"/>
      <c r="E547" s="286">
        <f>'BD Team'!B58</f>
        <v>0</v>
      </c>
      <c r="F547" s="288" t="s">
        <v>255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247</v>
      </c>
      <c r="M549" s="537"/>
      <c r="N549" s="538" t="str">
        <f>$F$6</f>
        <v>Powder Coating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178</v>
      </c>
      <c r="M550" s="537"/>
      <c r="N550" s="538" t="str">
        <f>$K$6</f>
        <v>White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248</v>
      </c>
      <c r="M551" s="537"/>
      <c r="N551" s="540" t="s">
        <v>256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249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250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251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252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253</v>
      </c>
      <c r="M556" s="537"/>
      <c r="N556" s="538">
        <f>'BD Team'!F58</f>
        <v>0</v>
      </c>
      <c r="O556" s="538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36" t="s">
        <v>254</v>
      </c>
      <c r="D558" s="537"/>
      <c r="E558" s="289">
        <f>'BD Team'!B59</f>
        <v>0</v>
      </c>
      <c r="F558" s="288" t="s">
        <v>255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8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247</v>
      </c>
      <c r="M560" s="537"/>
      <c r="N560" s="538" t="str">
        <f>$F$6</f>
        <v>Powder Coating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178</v>
      </c>
      <c r="M561" s="537"/>
      <c r="N561" s="538" t="str">
        <f>$K$6</f>
        <v>White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248</v>
      </c>
      <c r="M562" s="537"/>
      <c r="N562" s="540" t="s">
        <v>256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249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250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251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252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253</v>
      </c>
      <c r="M567" s="537"/>
      <c r="N567" s="541">
        <f>'BD Team'!F59</f>
        <v>0</v>
      </c>
      <c r="O567" s="538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36" t="s">
        <v>254</v>
      </c>
      <c r="D569" s="537"/>
      <c r="E569" s="289">
        <f>'BD Team'!B60</f>
        <v>0</v>
      </c>
      <c r="F569" s="288" t="s">
        <v>255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8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247</v>
      </c>
      <c r="M571" s="537"/>
      <c r="N571" s="538" t="str">
        <f>$F$6</f>
        <v>Powder Coating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178</v>
      </c>
      <c r="M572" s="537"/>
      <c r="N572" s="538" t="str">
        <f>$K$6</f>
        <v>White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248</v>
      </c>
      <c r="M573" s="537"/>
      <c r="N573" s="540" t="s">
        <v>256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249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250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251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252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253</v>
      </c>
      <c r="M578" s="537"/>
      <c r="N578" s="541">
        <f>'BD Team'!F60</f>
        <v>0</v>
      </c>
      <c r="O578" s="538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36" t="s">
        <v>254</v>
      </c>
      <c r="D580" s="537"/>
      <c r="E580" s="289">
        <f>'BD Team'!B61</f>
        <v>0</v>
      </c>
      <c r="F580" s="288" t="s">
        <v>255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8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247</v>
      </c>
      <c r="M582" s="537"/>
      <c r="N582" s="538" t="str">
        <f>$F$6</f>
        <v>Powder Coating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178</v>
      </c>
      <c r="M583" s="537"/>
      <c r="N583" s="538" t="str">
        <f>$K$6</f>
        <v>White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248</v>
      </c>
      <c r="M584" s="537"/>
      <c r="N584" s="540" t="s">
        <v>256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249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250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251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252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253</v>
      </c>
      <c r="M589" s="537"/>
      <c r="N589" s="541">
        <f>'BD Team'!F61</f>
        <v>0</v>
      </c>
      <c r="O589" s="538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36" t="s">
        <v>254</v>
      </c>
      <c r="D591" s="537"/>
      <c r="E591" s="289">
        <f>'BD Team'!B62</f>
        <v>0</v>
      </c>
      <c r="F591" s="288" t="s">
        <v>255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8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247</v>
      </c>
      <c r="M593" s="537"/>
      <c r="N593" s="538" t="str">
        <f>$F$6</f>
        <v>Powder Coating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178</v>
      </c>
      <c r="M594" s="537"/>
      <c r="N594" s="538" t="str">
        <f>$K$6</f>
        <v>White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248</v>
      </c>
      <c r="M595" s="537"/>
      <c r="N595" s="540" t="s">
        <v>256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249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250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251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252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253</v>
      </c>
      <c r="M600" s="537"/>
      <c r="N600" s="541">
        <f>'BD Team'!F62</f>
        <v>0</v>
      </c>
      <c r="O600" s="538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36" t="s">
        <v>254</v>
      </c>
      <c r="D602" s="537"/>
      <c r="E602" s="289">
        <f>'BD Team'!B63</f>
        <v>0</v>
      </c>
      <c r="F602" s="288" t="s">
        <v>255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8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247</v>
      </c>
      <c r="M604" s="537"/>
      <c r="N604" s="538" t="str">
        <f>$F$6</f>
        <v>Powder Coating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178</v>
      </c>
      <c r="M605" s="537"/>
      <c r="N605" s="538" t="str">
        <f>$K$6</f>
        <v>White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248</v>
      </c>
      <c r="M606" s="537"/>
      <c r="N606" s="540" t="s">
        <v>256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249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250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251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252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253</v>
      </c>
      <c r="M611" s="537"/>
      <c r="N611" s="541">
        <f>'BD Team'!F63</f>
        <v>0</v>
      </c>
      <c r="O611" s="538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36" t="s">
        <v>254</v>
      </c>
      <c r="D613" s="537"/>
      <c r="E613" s="289">
        <f>'BD Team'!B64</f>
        <v>0</v>
      </c>
      <c r="F613" s="288" t="s">
        <v>255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8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247</v>
      </c>
      <c r="M615" s="537"/>
      <c r="N615" s="538" t="str">
        <f>$F$6</f>
        <v>Powder Coating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178</v>
      </c>
      <c r="M616" s="537"/>
      <c r="N616" s="538" t="str">
        <f>$K$6</f>
        <v>White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248</v>
      </c>
      <c r="M617" s="537"/>
      <c r="N617" s="540" t="s">
        <v>256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249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250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251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252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253</v>
      </c>
      <c r="M622" s="537"/>
      <c r="N622" s="541">
        <f>'BD Team'!F64</f>
        <v>0</v>
      </c>
      <c r="O622" s="538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36" t="s">
        <v>254</v>
      </c>
      <c r="D624" s="537"/>
      <c r="E624" s="289">
        <f>'BD Team'!B65</f>
        <v>0</v>
      </c>
      <c r="F624" s="288" t="s">
        <v>255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8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247</v>
      </c>
      <c r="M626" s="537"/>
      <c r="N626" s="538" t="str">
        <f>$F$6</f>
        <v>Powder Coating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178</v>
      </c>
      <c r="M627" s="537"/>
      <c r="N627" s="538" t="str">
        <f>$K$6</f>
        <v>White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248</v>
      </c>
      <c r="M628" s="537"/>
      <c r="N628" s="540" t="s">
        <v>256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249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250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251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252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253</v>
      </c>
      <c r="M633" s="537"/>
      <c r="N633" s="541">
        <f>'BD Team'!F65</f>
        <v>0</v>
      </c>
      <c r="O633" s="538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36" t="s">
        <v>254</v>
      </c>
      <c r="D635" s="537"/>
      <c r="E635" s="289">
        <f>'BD Team'!B66</f>
        <v>0</v>
      </c>
      <c r="F635" s="288" t="s">
        <v>255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8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247</v>
      </c>
      <c r="M637" s="537"/>
      <c r="N637" s="538" t="str">
        <f>$F$6</f>
        <v>Powder Coating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178</v>
      </c>
      <c r="M638" s="537"/>
      <c r="N638" s="538" t="str">
        <f>$K$6</f>
        <v>White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248</v>
      </c>
      <c r="M639" s="537"/>
      <c r="N639" s="540" t="s">
        <v>256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249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250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251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252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253</v>
      </c>
      <c r="M644" s="537"/>
      <c r="N644" s="541">
        <f>'BD Team'!F66</f>
        <v>0</v>
      </c>
      <c r="O644" s="538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36" t="s">
        <v>254</v>
      </c>
      <c r="D646" s="537"/>
      <c r="E646" s="289">
        <f>'BD Team'!B67</f>
        <v>0</v>
      </c>
      <c r="F646" s="288" t="s">
        <v>255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8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247</v>
      </c>
      <c r="M648" s="537"/>
      <c r="N648" s="538" t="str">
        <f>$F$6</f>
        <v>Powder Coating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178</v>
      </c>
      <c r="M649" s="537"/>
      <c r="N649" s="538" t="str">
        <f>$K$6</f>
        <v>White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248</v>
      </c>
      <c r="M650" s="537"/>
      <c r="N650" s="540" t="s">
        <v>256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249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250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251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252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253</v>
      </c>
      <c r="M655" s="537"/>
      <c r="N655" s="541">
        <f>'BD Team'!F67</f>
        <v>0</v>
      </c>
      <c r="O655" s="538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36" t="s">
        <v>254</v>
      </c>
      <c r="D657" s="537"/>
      <c r="E657" s="289">
        <f>'BD Team'!B68</f>
        <v>0</v>
      </c>
      <c r="F657" s="288" t="s">
        <v>255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8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247</v>
      </c>
      <c r="M659" s="537"/>
      <c r="N659" s="538" t="str">
        <f>$F$6</f>
        <v>Powder Coating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178</v>
      </c>
      <c r="M660" s="537"/>
      <c r="N660" s="538" t="str">
        <f>$K$6</f>
        <v>White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248</v>
      </c>
      <c r="M661" s="537"/>
      <c r="N661" s="540" t="s">
        <v>256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249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250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251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252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253</v>
      </c>
      <c r="M666" s="537"/>
      <c r="N666" s="541">
        <f>'BD Team'!F68</f>
        <v>0</v>
      </c>
      <c r="O666" s="538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36" t="s">
        <v>254</v>
      </c>
      <c r="D668" s="537"/>
      <c r="E668" s="289">
        <f>'BD Team'!B69</f>
        <v>0</v>
      </c>
      <c r="F668" s="288" t="s">
        <v>255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8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247</v>
      </c>
      <c r="M670" s="537"/>
      <c r="N670" s="538" t="str">
        <f>$F$6</f>
        <v>Powder Coating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178</v>
      </c>
      <c r="M671" s="537"/>
      <c r="N671" s="538" t="str">
        <f>$K$6</f>
        <v>White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248</v>
      </c>
      <c r="M672" s="537"/>
      <c r="N672" s="540" t="s">
        <v>256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249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250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251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252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253</v>
      </c>
      <c r="M677" s="537"/>
      <c r="N677" s="541">
        <f>'BD Team'!F69</f>
        <v>0</v>
      </c>
      <c r="O677" s="538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36" t="s">
        <v>254</v>
      </c>
      <c r="D679" s="537"/>
      <c r="E679" s="289">
        <f>'BD Team'!B70</f>
        <v>0</v>
      </c>
      <c r="F679" s="288" t="s">
        <v>255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8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247</v>
      </c>
      <c r="M681" s="537"/>
      <c r="N681" s="538" t="str">
        <f>$F$6</f>
        <v>Powder Coating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178</v>
      </c>
      <c r="M682" s="537"/>
      <c r="N682" s="538" t="str">
        <f>$K$6</f>
        <v>White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248</v>
      </c>
      <c r="M683" s="537"/>
      <c r="N683" s="540" t="s">
        <v>256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249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250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251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252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253</v>
      </c>
      <c r="M688" s="537"/>
      <c r="N688" s="541">
        <f>'BD Team'!F70</f>
        <v>0</v>
      </c>
      <c r="O688" s="538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36" t="s">
        <v>254</v>
      </c>
      <c r="D690" s="537"/>
      <c r="E690" s="289">
        <f>'BD Team'!B71</f>
        <v>0</v>
      </c>
      <c r="F690" s="288" t="s">
        <v>255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8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247</v>
      </c>
      <c r="M692" s="537"/>
      <c r="N692" s="538" t="str">
        <f>$F$6</f>
        <v>Powder Coating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178</v>
      </c>
      <c r="M693" s="537"/>
      <c r="N693" s="538" t="str">
        <f>$K$6</f>
        <v>White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248</v>
      </c>
      <c r="M694" s="537"/>
      <c r="N694" s="540" t="s">
        <v>256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249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250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251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252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253</v>
      </c>
      <c r="M699" s="537"/>
      <c r="N699" s="541">
        <f>'BD Team'!F71</f>
        <v>0</v>
      </c>
      <c r="O699" s="538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36" t="s">
        <v>254</v>
      </c>
      <c r="D701" s="537"/>
      <c r="E701" s="289">
        <f>'BD Team'!B72</f>
        <v>0</v>
      </c>
      <c r="F701" s="288" t="s">
        <v>255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8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247</v>
      </c>
      <c r="M703" s="537"/>
      <c r="N703" s="538" t="str">
        <f>$F$6</f>
        <v>Powder Coating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178</v>
      </c>
      <c r="M704" s="537"/>
      <c r="N704" s="538" t="str">
        <f>$K$6</f>
        <v>White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248</v>
      </c>
      <c r="M705" s="537"/>
      <c r="N705" s="540" t="s">
        <v>256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249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250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251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252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253</v>
      </c>
      <c r="M710" s="537"/>
      <c r="N710" s="541">
        <f>'BD Team'!F72</f>
        <v>0</v>
      </c>
      <c r="O710" s="538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36" t="s">
        <v>254</v>
      </c>
      <c r="D712" s="537"/>
      <c r="E712" s="289">
        <f>'BD Team'!B73</f>
        <v>0</v>
      </c>
      <c r="F712" s="288" t="s">
        <v>255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8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247</v>
      </c>
      <c r="M714" s="537"/>
      <c r="N714" s="538" t="str">
        <f>$F$6</f>
        <v>Powder Coating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178</v>
      </c>
      <c r="M715" s="537"/>
      <c r="N715" s="538" t="str">
        <f>$K$6</f>
        <v>White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248</v>
      </c>
      <c r="M716" s="537"/>
      <c r="N716" s="540" t="s">
        <v>256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249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250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251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252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253</v>
      </c>
      <c r="M721" s="537"/>
      <c r="N721" s="541">
        <f>'BD Team'!F73</f>
        <v>0</v>
      </c>
      <c r="O721" s="538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36" t="s">
        <v>254</v>
      </c>
      <c r="D723" s="537"/>
      <c r="E723" s="289">
        <f>'BD Team'!B74</f>
        <v>0</v>
      </c>
      <c r="F723" s="288" t="s">
        <v>255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8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247</v>
      </c>
      <c r="M725" s="537"/>
      <c r="N725" s="538" t="str">
        <f>$F$6</f>
        <v>Powder Coating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178</v>
      </c>
      <c r="M726" s="537"/>
      <c r="N726" s="538" t="str">
        <f>$K$6</f>
        <v>White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248</v>
      </c>
      <c r="M727" s="537"/>
      <c r="N727" s="540" t="s">
        <v>256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249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250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251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252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253</v>
      </c>
      <c r="M732" s="537"/>
      <c r="N732" s="541">
        <f>'BD Team'!F74</f>
        <v>0</v>
      </c>
      <c r="O732" s="538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36" t="s">
        <v>254</v>
      </c>
      <c r="D734" s="537"/>
      <c r="E734" s="289">
        <f>'BD Team'!B75</f>
        <v>0</v>
      </c>
      <c r="F734" s="288" t="s">
        <v>255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8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247</v>
      </c>
      <c r="M736" s="537"/>
      <c r="N736" s="538" t="str">
        <f>$F$6</f>
        <v>Powder Coating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178</v>
      </c>
      <c r="M737" s="537"/>
      <c r="N737" s="538" t="str">
        <f>$K$6</f>
        <v>White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248</v>
      </c>
      <c r="M738" s="537"/>
      <c r="N738" s="540" t="s">
        <v>256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249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250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251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252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253</v>
      </c>
      <c r="M743" s="537"/>
      <c r="N743" s="541">
        <f>'BD Team'!F75</f>
        <v>0</v>
      </c>
      <c r="O743" s="538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36" t="s">
        <v>254</v>
      </c>
      <c r="D745" s="537"/>
      <c r="E745" s="289">
        <f>'BD Team'!B76</f>
        <v>0</v>
      </c>
      <c r="F745" s="288" t="s">
        <v>255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8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247</v>
      </c>
      <c r="M747" s="537"/>
      <c r="N747" s="538" t="str">
        <f>$F$6</f>
        <v>Powder Coating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178</v>
      </c>
      <c r="M748" s="537"/>
      <c r="N748" s="538" t="str">
        <f>$K$6</f>
        <v>White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248</v>
      </c>
      <c r="M749" s="537"/>
      <c r="N749" s="540" t="s">
        <v>256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249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250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251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252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253</v>
      </c>
      <c r="M754" s="537"/>
      <c r="N754" s="541">
        <f>'BD Team'!F76</f>
        <v>0</v>
      </c>
      <c r="O754" s="538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36" t="s">
        <v>254</v>
      </c>
      <c r="D756" s="537"/>
      <c r="E756" s="289">
        <f>'BD Team'!B77</f>
        <v>0</v>
      </c>
      <c r="F756" s="288" t="s">
        <v>255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8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247</v>
      </c>
      <c r="M758" s="537"/>
      <c r="N758" s="538" t="str">
        <f>$F$6</f>
        <v>Powder Coating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178</v>
      </c>
      <c r="M759" s="537"/>
      <c r="N759" s="538" t="str">
        <f>$K$6</f>
        <v>White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248</v>
      </c>
      <c r="M760" s="537"/>
      <c r="N760" s="540" t="s">
        <v>256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249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250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251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252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253</v>
      </c>
      <c r="M765" s="537"/>
      <c r="N765" s="541">
        <f>'BD Team'!F77</f>
        <v>0</v>
      </c>
      <c r="O765" s="538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36" t="s">
        <v>254</v>
      </c>
      <c r="D767" s="537"/>
      <c r="E767" s="289">
        <f>'BD Team'!B78</f>
        <v>0</v>
      </c>
      <c r="F767" s="288" t="s">
        <v>255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8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247</v>
      </c>
      <c r="M769" s="537"/>
      <c r="N769" s="538" t="str">
        <f>$F$6</f>
        <v>Powder Coating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178</v>
      </c>
      <c r="M770" s="537"/>
      <c r="N770" s="538" t="str">
        <f>$K$6</f>
        <v>White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248</v>
      </c>
      <c r="M771" s="537"/>
      <c r="N771" s="540" t="s">
        <v>256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249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250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251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252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253</v>
      </c>
      <c r="M776" s="537"/>
      <c r="N776" s="541">
        <f>'BD Team'!F78</f>
        <v>0</v>
      </c>
      <c r="O776" s="538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36" t="s">
        <v>254</v>
      </c>
      <c r="D778" s="537"/>
      <c r="E778" s="289">
        <f>'BD Team'!B79</f>
        <v>0</v>
      </c>
      <c r="F778" s="288" t="s">
        <v>255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8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247</v>
      </c>
      <c r="M780" s="537"/>
      <c r="N780" s="538" t="str">
        <f>$F$6</f>
        <v>Powder Coating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178</v>
      </c>
      <c r="M781" s="537"/>
      <c r="N781" s="538" t="str">
        <f>$K$6</f>
        <v>White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248</v>
      </c>
      <c r="M782" s="537"/>
      <c r="N782" s="540" t="s">
        <v>256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249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250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251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252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253</v>
      </c>
      <c r="M787" s="537"/>
      <c r="N787" s="541">
        <f>'BD Team'!F79</f>
        <v>0</v>
      </c>
      <c r="O787" s="538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36" t="s">
        <v>254</v>
      </c>
      <c r="D789" s="537"/>
      <c r="E789" s="289">
        <f>'BD Team'!B80</f>
        <v>0</v>
      </c>
      <c r="F789" s="288" t="s">
        <v>255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8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247</v>
      </c>
      <c r="M791" s="537"/>
      <c r="N791" s="538" t="str">
        <f>$F$6</f>
        <v>Powder Coating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178</v>
      </c>
      <c r="M792" s="537"/>
      <c r="N792" s="538" t="str">
        <f>$K$6</f>
        <v>White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248</v>
      </c>
      <c r="M793" s="537"/>
      <c r="N793" s="540" t="s">
        <v>256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249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250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251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252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253</v>
      </c>
      <c r="M798" s="537"/>
      <c r="N798" s="541">
        <f>'BD Team'!F80</f>
        <v>0</v>
      </c>
      <c r="O798" s="538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36" t="s">
        <v>254</v>
      </c>
      <c r="D800" s="537"/>
      <c r="E800" s="289">
        <f>'BD Team'!B81</f>
        <v>0</v>
      </c>
      <c r="F800" s="288" t="s">
        <v>255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8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247</v>
      </c>
      <c r="M802" s="537"/>
      <c r="N802" s="538" t="str">
        <f>$F$6</f>
        <v>Powder Coating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178</v>
      </c>
      <c r="M803" s="537"/>
      <c r="N803" s="538" t="str">
        <f>$K$6</f>
        <v>White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248</v>
      </c>
      <c r="M804" s="537"/>
      <c r="N804" s="540" t="s">
        <v>256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249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250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251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252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253</v>
      </c>
      <c r="M809" s="537"/>
      <c r="N809" s="541">
        <f>'BD Team'!F81</f>
        <v>0</v>
      </c>
      <c r="O809" s="538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36" t="s">
        <v>254</v>
      </c>
      <c r="D811" s="537"/>
      <c r="E811" s="289">
        <f>'BD Team'!B82</f>
        <v>0</v>
      </c>
      <c r="F811" s="288" t="s">
        <v>255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8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247</v>
      </c>
      <c r="M813" s="537"/>
      <c r="N813" s="538" t="str">
        <f>$F$6</f>
        <v>Powder Coating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178</v>
      </c>
      <c r="M814" s="537"/>
      <c r="N814" s="538" t="str">
        <f>$K$6</f>
        <v>White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248</v>
      </c>
      <c r="M815" s="537"/>
      <c r="N815" s="540" t="s">
        <v>256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249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250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251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252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253</v>
      </c>
      <c r="M820" s="537"/>
      <c r="N820" s="541">
        <f>'BD Team'!F82</f>
        <v>0</v>
      </c>
      <c r="O820" s="538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36" t="s">
        <v>254</v>
      </c>
      <c r="D822" s="537"/>
      <c r="E822" s="289">
        <f>'BD Team'!B83</f>
        <v>0</v>
      </c>
      <c r="F822" s="288" t="s">
        <v>255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8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247</v>
      </c>
      <c r="M824" s="537"/>
      <c r="N824" s="538" t="str">
        <f>$F$6</f>
        <v>Powder Coating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178</v>
      </c>
      <c r="M825" s="537"/>
      <c r="N825" s="538" t="str">
        <f>$K$6</f>
        <v>White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248</v>
      </c>
      <c r="M826" s="537"/>
      <c r="N826" s="540" t="s">
        <v>256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249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250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251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252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253</v>
      </c>
      <c r="M831" s="537"/>
      <c r="N831" s="541">
        <f>'BD Team'!F83</f>
        <v>0</v>
      </c>
      <c r="O831" s="538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36" t="s">
        <v>254</v>
      </c>
      <c r="D833" s="537"/>
      <c r="E833" s="289">
        <f>'BD Team'!B84</f>
        <v>0</v>
      </c>
      <c r="F833" s="288" t="s">
        <v>255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8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247</v>
      </c>
      <c r="M835" s="537"/>
      <c r="N835" s="538" t="str">
        <f>$F$6</f>
        <v>Powder Coating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178</v>
      </c>
      <c r="M836" s="537"/>
      <c r="N836" s="538" t="str">
        <f>$K$6</f>
        <v>White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248</v>
      </c>
      <c r="M837" s="537"/>
      <c r="N837" s="540" t="s">
        <v>256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249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250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251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252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253</v>
      </c>
      <c r="M842" s="537"/>
      <c r="N842" s="541">
        <f>'BD Team'!F84</f>
        <v>0</v>
      </c>
      <c r="O842" s="538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36" t="s">
        <v>254</v>
      </c>
      <c r="D844" s="537"/>
      <c r="E844" s="289">
        <f>'BD Team'!B85</f>
        <v>0</v>
      </c>
      <c r="F844" s="288" t="s">
        <v>255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8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247</v>
      </c>
      <c r="M846" s="537"/>
      <c r="N846" s="538" t="str">
        <f>$F$6</f>
        <v>Powder Coating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178</v>
      </c>
      <c r="M847" s="537"/>
      <c r="N847" s="538" t="str">
        <f>$K$6</f>
        <v>White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248</v>
      </c>
      <c r="M848" s="537"/>
      <c r="N848" s="540" t="s">
        <v>256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249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250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251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252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253</v>
      </c>
      <c r="M853" s="537"/>
      <c r="N853" s="541">
        <f>'BD Team'!F85</f>
        <v>0</v>
      </c>
      <c r="O853" s="538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36" t="s">
        <v>254</v>
      </c>
      <c r="D855" s="537"/>
      <c r="E855" s="289">
        <f>'BD Team'!B86</f>
        <v>0</v>
      </c>
      <c r="F855" s="288" t="s">
        <v>255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8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247</v>
      </c>
      <c r="M857" s="537"/>
      <c r="N857" s="538" t="str">
        <f>$F$6</f>
        <v>Powder Coating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178</v>
      </c>
      <c r="M858" s="537"/>
      <c r="N858" s="538" t="str">
        <f>$K$6</f>
        <v>White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248</v>
      </c>
      <c r="M859" s="537"/>
      <c r="N859" s="540" t="s">
        <v>256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249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250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251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252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253</v>
      </c>
      <c r="M864" s="537"/>
      <c r="N864" s="541">
        <f>'BD Team'!F86</f>
        <v>0</v>
      </c>
      <c r="O864" s="538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36" t="s">
        <v>254</v>
      </c>
      <c r="D866" s="537"/>
      <c r="E866" s="289">
        <f>'BD Team'!B87</f>
        <v>0</v>
      </c>
      <c r="F866" s="288" t="s">
        <v>255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8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247</v>
      </c>
      <c r="M868" s="537"/>
      <c r="N868" s="538" t="str">
        <f>$F$6</f>
        <v>Powder Coating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178</v>
      </c>
      <c r="M869" s="537"/>
      <c r="N869" s="538" t="str">
        <f>$K$6</f>
        <v>White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248</v>
      </c>
      <c r="M870" s="537"/>
      <c r="N870" s="540" t="s">
        <v>256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249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250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251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252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253</v>
      </c>
      <c r="M875" s="537"/>
      <c r="N875" s="541">
        <f>'BD Team'!F87</f>
        <v>0</v>
      </c>
      <c r="O875" s="538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36" t="s">
        <v>254</v>
      </c>
      <c r="D877" s="537"/>
      <c r="E877" s="289">
        <f>'BD Team'!B88</f>
        <v>0</v>
      </c>
      <c r="F877" s="288" t="s">
        <v>255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8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247</v>
      </c>
      <c r="M879" s="537"/>
      <c r="N879" s="538" t="str">
        <f>$F$6</f>
        <v>Powder Coating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178</v>
      </c>
      <c r="M880" s="537"/>
      <c r="N880" s="538" t="str">
        <f>$K$6</f>
        <v>White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248</v>
      </c>
      <c r="M881" s="537"/>
      <c r="N881" s="540" t="s">
        <v>256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249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250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251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252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253</v>
      </c>
      <c r="M886" s="537"/>
      <c r="N886" s="541">
        <f>'BD Team'!F88</f>
        <v>0</v>
      </c>
      <c r="O886" s="538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36" t="s">
        <v>254</v>
      </c>
      <c r="D888" s="537"/>
      <c r="E888" s="289">
        <f>'BD Team'!B89</f>
        <v>0</v>
      </c>
      <c r="F888" s="288" t="s">
        <v>255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8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247</v>
      </c>
      <c r="M890" s="537"/>
      <c r="N890" s="538" t="str">
        <f>$F$6</f>
        <v>Powder Coating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178</v>
      </c>
      <c r="M891" s="537"/>
      <c r="N891" s="538" t="str">
        <f>$K$6</f>
        <v>White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248</v>
      </c>
      <c r="M892" s="537"/>
      <c r="N892" s="540" t="s">
        <v>256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249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250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251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252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253</v>
      </c>
      <c r="M897" s="537"/>
      <c r="N897" s="541">
        <f>'BD Team'!F89</f>
        <v>0</v>
      </c>
      <c r="O897" s="538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36" t="s">
        <v>254</v>
      </c>
      <c r="D899" s="537"/>
      <c r="E899" s="289">
        <f>'BD Team'!B90</f>
        <v>0</v>
      </c>
      <c r="F899" s="288" t="s">
        <v>255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8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247</v>
      </c>
      <c r="M901" s="537"/>
      <c r="N901" s="538" t="str">
        <f>$F$6</f>
        <v>Powder Coating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178</v>
      </c>
      <c r="M902" s="537"/>
      <c r="N902" s="538" t="str">
        <f>$K$6</f>
        <v>White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248</v>
      </c>
      <c r="M903" s="537"/>
      <c r="N903" s="540" t="s">
        <v>256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249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250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251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252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253</v>
      </c>
      <c r="M908" s="537"/>
      <c r="N908" s="541">
        <f>'BD Team'!F90</f>
        <v>0</v>
      </c>
      <c r="O908" s="538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36" t="s">
        <v>254</v>
      </c>
      <c r="D910" s="537"/>
      <c r="E910" s="289">
        <f>'BD Team'!B91</f>
        <v>0</v>
      </c>
      <c r="F910" s="288" t="s">
        <v>255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8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247</v>
      </c>
      <c r="M912" s="537"/>
      <c r="N912" s="538" t="str">
        <f>$F$6</f>
        <v>Powder Coating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178</v>
      </c>
      <c r="M913" s="537"/>
      <c r="N913" s="538" t="str">
        <f>$K$6</f>
        <v>White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248</v>
      </c>
      <c r="M914" s="537"/>
      <c r="N914" s="540" t="s">
        <v>256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249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250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251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252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253</v>
      </c>
      <c r="M919" s="537"/>
      <c r="N919" s="541">
        <f>'BD Team'!F91</f>
        <v>0</v>
      </c>
      <c r="O919" s="538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36" t="s">
        <v>254</v>
      </c>
      <c r="D921" s="537"/>
      <c r="E921" s="289">
        <f>'BD Team'!B92</f>
        <v>0</v>
      </c>
      <c r="F921" s="288" t="s">
        <v>255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8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247</v>
      </c>
      <c r="M923" s="537"/>
      <c r="N923" s="538" t="str">
        <f>$F$6</f>
        <v>Powder Coating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178</v>
      </c>
      <c r="M924" s="537"/>
      <c r="N924" s="538" t="str">
        <f>$K$6</f>
        <v>White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248</v>
      </c>
      <c r="M925" s="537"/>
      <c r="N925" s="540" t="s">
        <v>256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249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250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251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252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253</v>
      </c>
      <c r="M930" s="537"/>
      <c r="N930" s="541">
        <f>'BD Team'!F92</f>
        <v>0</v>
      </c>
      <c r="O930" s="538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36" t="s">
        <v>254</v>
      </c>
      <c r="D932" s="537"/>
      <c r="E932" s="289">
        <f>'BD Team'!B93</f>
        <v>0</v>
      </c>
      <c r="F932" s="288" t="s">
        <v>255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8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247</v>
      </c>
      <c r="M934" s="537"/>
      <c r="N934" s="538" t="str">
        <f>$F$6</f>
        <v>Powder Coating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178</v>
      </c>
      <c r="M935" s="537"/>
      <c r="N935" s="538" t="str">
        <f>$K$6</f>
        <v>White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248</v>
      </c>
      <c r="M936" s="537"/>
      <c r="N936" s="540" t="s">
        <v>256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249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250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251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252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253</v>
      </c>
      <c r="M941" s="537"/>
      <c r="N941" s="541">
        <f>'BD Team'!F93</f>
        <v>0</v>
      </c>
      <c r="O941" s="538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36" t="s">
        <v>254</v>
      </c>
      <c r="D943" s="537"/>
      <c r="E943" s="289">
        <f>'BD Team'!B94</f>
        <v>0</v>
      </c>
      <c r="F943" s="288" t="s">
        <v>255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8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247</v>
      </c>
      <c r="M945" s="537"/>
      <c r="N945" s="538" t="str">
        <f>$F$6</f>
        <v>Powder Coating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178</v>
      </c>
      <c r="M946" s="537"/>
      <c r="N946" s="538" t="str">
        <f>$K$6</f>
        <v>White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248</v>
      </c>
      <c r="M947" s="537"/>
      <c r="N947" s="540" t="s">
        <v>256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249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250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251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252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253</v>
      </c>
      <c r="M952" s="537"/>
      <c r="N952" s="541">
        <f>'BD Team'!F94</f>
        <v>0</v>
      </c>
      <c r="O952" s="538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36" t="s">
        <v>254</v>
      </c>
      <c r="D954" s="537"/>
      <c r="E954" s="289">
        <f>'BD Team'!B95</f>
        <v>0</v>
      </c>
      <c r="F954" s="288" t="s">
        <v>255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8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247</v>
      </c>
      <c r="M956" s="537"/>
      <c r="N956" s="538" t="str">
        <f>$F$6</f>
        <v>Powder Coating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178</v>
      </c>
      <c r="M957" s="537"/>
      <c r="N957" s="538" t="str">
        <f>$K$6</f>
        <v>White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248</v>
      </c>
      <c r="M958" s="537"/>
      <c r="N958" s="540" t="s">
        <v>256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249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250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251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252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253</v>
      </c>
      <c r="M963" s="537"/>
      <c r="N963" s="541">
        <f>'BD Team'!F95</f>
        <v>0</v>
      </c>
      <c r="O963" s="538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36" t="s">
        <v>254</v>
      </c>
      <c r="D965" s="537"/>
      <c r="E965" s="289">
        <f>'BD Team'!B96</f>
        <v>0</v>
      </c>
      <c r="F965" s="288" t="s">
        <v>255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8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247</v>
      </c>
      <c r="M967" s="537"/>
      <c r="N967" s="538" t="str">
        <f>$F$6</f>
        <v>Powder Coating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178</v>
      </c>
      <c r="M968" s="537"/>
      <c r="N968" s="538" t="str">
        <f>$K$6</f>
        <v>White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248</v>
      </c>
      <c r="M969" s="537"/>
      <c r="N969" s="540" t="s">
        <v>256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249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250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251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252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253</v>
      </c>
      <c r="M974" s="537"/>
      <c r="N974" s="541">
        <f>'BD Team'!F96</f>
        <v>0</v>
      </c>
      <c r="O974" s="538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36" t="s">
        <v>254</v>
      </c>
      <c r="D976" s="537"/>
      <c r="E976" s="289">
        <f>'BD Team'!B97</f>
        <v>0</v>
      </c>
      <c r="F976" s="288" t="s">
        <v>255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8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247</v>
      </c>
      <c r="M978" s="537"/>
      <c r="N978" s="538" t="str">
        <f>$F$6</f>
        <v>Powder Coating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178</v>
      </c>
      <c r="M979" s="537"/>
      <c r="N979" s="538" t="str">
        <f>$K$6</f>
        <v>White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248</v>
      </c>
      <c r="M980" s="537"/>
      <c r="N980" s="540" t="s">
        <v>256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249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250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251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252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253</v>
      </c>
      <c r="M985" s="537"/>
      <c r="N985" s="541">
        <f>'BD Team'!F97</f>
        <v>0</v>
      </c>
      <c r="O985" s="538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36" t="s">
        <v>254</v>
      </c>
      <c r="D987" s="537"/>
      <c r="E987" s="289">
        <f>'BD Team'!B98</f>
        <v>0</v>
      </c>
      <c r="F987" s="288" t="s">
        <v>255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8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247</v>
      </c>
      <c r="M989" s="537"/>
      <c r="N989" s="538" t="str">
        <f>$F$6</f>
        <v>Powder Coating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178</v>
      </c>
      <c r="M990" s="537"/>
      <c r="N990" s="538" t="str">
        <f>$K$6</f>
        <v>White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248</v>
      </c>
      <c r="M991" s="537"/>
      <c r="N991" s="540" t="s">
        <v>256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249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250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251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252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253</v>
      </c>
      <c r="M996" s="537"/>
      <c r="N996" s="541">
        <f>'BD Team'!F98</f>
        <v>0</v>
      </c>
      <c r="O996" s="538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36" t="s">
        <v>254</v>
      </c>
      <c r="D998" s="537"/>
      <c r="E998" s="289">
        <f>'BD Team'!B99</f>
        <v>0</v>
      </c>
      <c r="F998" s="288" t="s">
        <v>255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8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247</v>
      </c>
      <c r="M1000" s="537"/>
      <c r="N1000" s="538" t="str">
        <f>$F$6</f>
        <v>Powder Coating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178</v>
      </c>
      <c r="M1001" s="537"/>
      <c r="N1001" s="538" t="str">
        <f>$K$6</f>
        <v>White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248</v>
      </c>
      <c r="M1002" s="537"/>
      <c r="N1002" s="540" t="s">
        <v>256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249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250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251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252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253</v>
      </c>
      <c r="M1007" s="537"/>
      <c r="N1007" s="541">
        <f>'BD Team'!F99</f>
        <v>0</v>
      </c>
      <c r="O1007" s="538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36" t="s">
        <v>254</v>
      </c>
      <c r="D1009" s="537"/>
      <c r="E1009" s="289">
        <f>'BD Team'!B100</f>
        <v>0</v>
      </c>
      <c r="F1009" s="288" t="s">
        <v>255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8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247</v>
      </c>
      <c r="M1011" s="537"/>
      <c r="N1011" s="538" t="str">
        <f>$F$6</f>
        <v>Powder Coating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178</v>
      </c>
      <c r="M1012" s="537"/>
      <c r="N1012" s="538" t="str">
        <f>$K$6</f>
        <v>White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248</v>
      </c>
      <c r="M1013" s="537"/>
      <c r="N1013" s="540" t="s">
        <v>256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249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250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251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252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253</v>
      </c>
      <c r="M1018" s="537"/>
      <c r="N1018" s="541">
        <f>'BD Team'!F100</f>
        <v>0</v>
      </c>
      <c r="O1018" s="538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36" t="s">
        <v>254</v>
      </c>
      <c r="D1020" s="537"/>
      <c r="E1020" s="289">
        <f>'BD Team'!B101</f>
        <v>0</v>
      </c>
      <c r="F1020" s="288" t="s">
        <v>255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8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247</v>
      </c>
      <c r="M1022" s="537"/>
      <c r="N1022" s="538" t="str">
        <f>$F$6</f>
        <v>Powder Coating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178</v>
      </c>
      <c r="M1023" s="537"/>
      <c r="N1023" s="538" t="str">
        <f>$K$6</f>
        <v>White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248</v>
      </c>
      <c r="M1024" s="537"/>
      <c r="N1024" s="540" t="s">
        <v>256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249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250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251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252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253</v>
      </c>
      <c r="M1029" s="537"/>
      <c r="N1029" s="541">
        <f>'BD Team'!F101</f>
        <v>0</v>
      </c>
      <c r="O1029" s="538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36" t="s">
        <v>254</v>
      </c>
      <c r="D1031" s="537"/>
      <c r="E1031" s="289">
        <f>'BD Team'!B102</f>
        <v>0</v>
      </c>
      <c r="F1031" s="288" t="s">
        <v>255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8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247</v>
      </c>
      <c r="M1033" s="537"/>
      <c r="N1033" s="538" t="str">
        <f>$F$6</f>
        <v>Powder Coating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178</v>
      </c>
      <c r="M1034" s="537"/>
      <c r="N1034" s="538" t="str">
        <f>$K$6</f>
        <v>White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248</v>
      </c>
      <c r="M1035" s="537"/>
      <c r="N1035" s="540" t="s">
        <v>256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249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250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251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252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253</v>
      </c>
      <c r="M1040" s="537"/>
      <c r="N1040" s="541">
        <f>'BD Team'!F102</f>
        <v>0</v>
      </c>
      <c r="O1040" s="538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36" t="s">
        <v>254</v>
      </c>
      <c r="D1042" s="537"/>
      <c r="E1042" s="289">
        <f>'BD Team'!B103</f>
        <v>0</v>
      </c>
      <c r="F1042" s="288" t="s">
        <v>255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8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247</v>
      </c>
      <c r="M1044" s="537"/>
      <c r="N1044" s="538" t="str">
        <f>$F$6</f>
        <v>Powder Coating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178</v>
      </c>
      <c r="M1045" s="537"/>
      <c r="N1045" s="538" t="str">
        <f>$K$6</f>
        <v>White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248</v>
      </c>
      <c r="M1046" s="537"/>
      <c r="N1046" s="540" t="s">
        <v>256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249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250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251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252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253</v>
      </c>
      <c r="M1051" s="537"/>
      <c r="N1051" s="541">
        <f>'BD Team'!F103</f>
        <v>0</v>
      </c>
      <c r="O1051" s="538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36" t="s">
        <v>254</v>
      </c>
      <c r="D1053" s="537"/>
      <c r="E1053" s="289">
        <f>'BD Team'!B104</f>
        <v>0</v>
      </c>
      <c r="F1053" s="288" t="s">
        <v>255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8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247</v>
      </c>
      <c r="M1055" s="537"/>
      <c r="N1055" s="538" t="str">
        <f>$F$6</f>
        <v>Powder Coating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178</v>
      </c>
      <c r="M1056" s="537"/>
      <c r="N1056" s="538" t="str">
        <f>$K$6</f>
        <v>White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248</v>
      </c>
      <c r="M1057" s="537"/>
      <c r="N1057" s="540" t="s">
        <v>256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249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250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251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252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253</v>
      </c>
      <c r="M1062" s="537"/>
      <c r="N1062" s="541">
        <f>'BD Team'!F104</f>
        <v>0</v>
      </c>
      <c r="O1062" s="538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36" t="s">
        <v>254</v>
      </c>
      <c r="D1064" s="537"/>
      <c r="E1064" s="289">
        <f>'BD Team'!B105</f>
        <v>0</v>
      </c>
      <c r="F1064" s="288" t="s">
        <v>255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8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247</v>
      </c>
      <c r="M1066" s="537"/>
      <c r="N1066" s="538" t="str">
        <f>$F$6</f>
        <v>Powder Coating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178</v>
      </c>
      <c r="M1067" s="537"/>
      <c r="N1067" s="538" t="str">
        <f>$K$6</f>
        <v>White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248</v>
      </c>
      <c r="M1068" s="537"/>
      <c r="N1068" s="540" t="s">
        <v>256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249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250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251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252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253</v>
      </c>
      <c r="M1073" s="537"/>
      <c r="N1073" s="541">
        <f>'BD Team'!F105</f>
        <v>0</v>
      </c>
      <c r="O1073" s="538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36" t="s">
        <v>254</v>
      </c>
      <c r="D1075" s="537"/>
      <c r="E1075" s="289">
        <f>'BD Team'!B106</f>
        <v>0</v>
      </c>
      <c r="F1075" s="288" t="s">
        <v>255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8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247</v>
      </c>
      <c r="M1077" s="537"/>
      <c r="N1077" s="538" t="str">
        <f>$F$6</f>
        <v>Powder Coating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178</v>
      </c>
      <c r="M1078" s="537"/>
      <c r="N1078" s="538" t="str">
        <f>$K$6</f>
        <v>White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248</v>
      </c>
      <c r="M1079" s="537"/>
      <c r="N1079" s="540" t="s">
        <v>256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249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250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251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252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253</v>
      </c>
      <c r="M1084" s="537"/>
      <c r="N1084" s="541">
        <f>'BD Team'!F106</f>
        <v>0</v>
      </c>
      <c r="O1084" s="538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36" t="s">
        <v>254</v>
      </c>
      <c r="D1086" s="537"/>
      <c r="E1086" s="289">
        <f>'BD Team'!B107</f>
        <v>0</v>
      </c>
      <c r="F1086" s="288" t="s">
        <v>255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8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247</v>
      </c>
      <c r="M1088" s="537"/>
      <c r="N1088" s="538" t="str">
        <f>$F$6</f>
        <v>Powder Coating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178</v>
      </c>
      <c r="M1089" s="537"/>
      <c r="N1089" s="538" t="str">
        <f>$K$6</f>
        <v>White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248</v>
      </c>
      <c r="M1090" s="537"/>
      <c r="N1090" s="540" t="s">
        <v>256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249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250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251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252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253</v>
      </c>
      <c r="M1095" s="537"/>
      <c r="N1095" s="541">
        <f>'BD Team'!F107</f>
        <v>0</v>
      </c>
      <c r="O1095" s="538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36" t="s">
        <v>254</v>
      </c>
      <c r="D1097" s="537"/>
      <c r="E1097" s="289">
        <f>'BD Team'!B108</f>
        <v>0</v>
      </c>
      <c r="F1097" s="288" t="s">
        <v>255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8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247</v>
      </c>
      <c r="M1099" s="537"/>
      <c r="N1099" s="538" t="str">
        <f>$F$6</f>
        <v>Powder Coating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178</v>
      </c>
      <c r="M1100" s="537"/>
      <c r="N1100" s="538" t="str">
        <f>$K$6</f>
        <v>White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248</v>
      </c>
      <c r="M1101" s="537"/>
      <c r="N1101" s="540" t="s">
        <v>256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249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250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251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252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253</v>
      </c>
      <c r="M1106" s="537"/>
      <c r="N1106" s="541">
        <f>'BD Team'!F108</f>
        <v>0</v>
      </c>
      <c r="O1106" s="538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263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1020</v>
      </c>
    </row>
    <row r="5" spans="3:5">
      <c r="C5" s="236" t="s">
        <v>396</v>
      </c>
      <c r="D5" s="236" t="s">
        <v>394</v>
      </c>
      <c r="E5" s="309">
        <f>ROUND(Pricing!U104,0.1)/40</f>
        <v>30.6</v>
      </c>
    </row>
    <row r="6" spans="3:5">
      <c r="C6" s="236" t="s">
        <v>83</v>
      </c>
      <c r="D6" s="236" t="s">
        <v>393</v>
      </c>
      <c r="E6" s="309">
        <f>ROUND(Pricing!V104,0.1)</f>
        <v>64</v>
      </c>
    </row>
    <row r="7" spans="3:5">
      <c r="C7" s="236" t="s">
        <v>400</v>
      </c>
      <c r="D7" s="236" t="s">
        <v>392</v>
      </c>
      <c r="E7" s="309">
        <f>ROUND(Pricing!W104,0.1)</f>
        <v>1020</v>
      </c>
    </row>
    <row r="8" spans="3:5">
      <c r="C8" s="236" t="s">
        <v>397</v>
      </c>
      <c r="D8" s="236" t="s">
        <v>392</v>
      </c>
      <c r="E8" s="309">
        <f>ROUND(Pricing!X104,0.1)</f>
        <v>2040</v>
      </c>
    </row>
    <row r="9" spans="3:5">
      <c r="C9" t="s">
        <v>223</v>
      </c>
      <c r="D9" s="236" t="s">
        <v>395</v>
      </c>
      <c r="E9" s="309">
        <f>ROUND(Pricing!Y104,0.1)</f>
        <v>612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5"/>
  <sheetViews>
    <sheetView topLeftCell="A2" workbookViewId="0">
      <selection activeCell="D34" sqref="D34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FRENCH CASEMENT WINDOW</v>
      </c>
      <c r="D2" s="318" t="str">
        <f>'BD Team'!E9</f>
        <v>8MM</v>
      </c>
      <c r="E2" s="318" t="str">
        <f>'BD Team'!G9</f>
        <v>NA</v>
      </c>
      <c r="F2" s="318" t="str">
        <f>'BD Team'!F9</f>
        <v>NO</v>
      </c>
      <c r="I2" s="318">
        <f>'BD Team'!H9</f>
        <v>1220</v>
      </c>
      <c r="J2" s="318">
        <f>'BD Team'!I9</f>
        <v>1525</v>
      </c>
      <c r="K2" s="318">
        <f>'BD Team'!J9</f>
        <v>20</v>
      </c>
      <c r="L2" s="319">
        <f>'BD Team'!K9</f>
        <v>200.01</v>
      </c>
      <c r="M2" s="318">
        <f>Pricing!O4</f>
        <v>1322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FRENCH CASEMENT WINDOW</v>
      </c>
      <c r="D3" s="318" t="str">
        <f>'BD Team'!E10</f>
        <v>8MM</v>
      </c>
      <c r="E3" s="318" t="str">
        <f>'BD Team'!G10</f>
        <v>NA</v>
      </c>
      <c r="F3" s="318" t="str">
        <f>'BD Team'!F10</f>
        <v>NO</v>
      </c>
      <c r="I3" s="318">
        <f>'BD Team'!H10</f>
        <v>1220</v>
      </c>
      <c r="J3" s="318">
        <f>'BD Team'!I10</f>
        <v>1525</v>
      </c>
      <c r="K3" s="318">
        <f>'BD Team'!J10</f>
        <v>2</v>
      </c>
      <c r="L3" s="319">
        <f>'BD Team'!K10</f>
        <v>200.01</v>
      </c>
      <c r="M3" s="318">
        <f>Pricing!O5</f>
        <v>1322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>SIDE HUNG WINDOW</v>
      </c>
      <c r="D4" s="318" t="str">
        <f>'BD Team'!E11</f>
        <v>8MM</v>
      </c>
      <c r="E4" s="318" t="str">
        <f>'BD Team'!G11</f>
        <v>NA</v>
      </c>
      <c r="F4" s="318" t="str">
        <f>'BD Team'!F11</f>
        <v>NO</v>
      </c>
      <c r="I4" s="318">
        <f>'BD Team'!H11</f>
        <v>690</v>
      </c>
      <c r="J4" s="318">
        <f>'BD Team'!I11</f>
        <v>1525</v>
      </c>
      <c r="K4" s="318">
        <f>'BD Team'!J11</f>
        <v>2</v>
      </c>
      <c r="L4" s="319">
        <f>'BD Team'!K11</f>
        <v>118.77</v>
      </c>
      <c r="M4" s="318">
        <f>Pricing!O6</f>
        <v>1322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M15000</v>
      </c>
      <c r="C5" s="318" t="str">
        <f>'BD Team'!D12</f>
        <v>FRENCH CASEMENT WINDOW WITH FIXED GLASS</v>
      </c>
      <c r="D5" s="318" t="str">
        <f>'BD Team'!E12</f>
        <v>8MM</v>
      </c>
      <c r="E5" s="318" t="str">
        <f>'BD Team'!G12</f>
        <v>NA</v>
      </c>
      <c r="F5" s="318" t="str">
        <f>'BD Team'!F12</f>
        <v>NO</v>
      </c>
      <c r="I5" s="318">
        <f>'BD Team'!H12</f>
        <v>1830</v>
      </c>
      <c r="J5" s="318">
        <f>'BD Team'!I12</f>
        <v>1525</v>
      </c>
      <c r="K5" s="318">
        <f>'BD Team'!J12</f>
        <v>2</v>
      </c>
      <c r="L5" s="319">
        <f>'BD Team'!K12</f>
        <v>253.01</v>
      </c>
      <c r="M5" s="318">
        <f>Pricing!O7</f>
        <v>1322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M15000</v>
      </c>
      <c r="C6" s="318" t="str">
        <f>'BD Team'!D13</f>
        <v>FRENCH CASEMENT WINDOW</v>
      </c>
      <c r="D6" s="318" t="str">
        <f>'BD Team'!E13</f>
        <v>8MM</v>
      </c>
      <c r="E6" s="318" t="str">
        <f>'BD Team'!G13</f>
        <v>NA</v>
      </c>
      <c r="F6" s="318" t="str">
        <f>'BD Team'!F13</f>
        <v>NO</v>
      </c>
      <c r="I6" s="318">
        <f>'BD Team'!H13</f>
        <v>1220</v>
      </c>
      <c r="J6" s="318">
        <f>'BD Team'!I13</f>
        <v>1220</v>
      </c>
      <c r="K6" s="318">
        <f>'BD Team'!J13</f>
        <v>4</v>
      </c>
      <c r="L6" s="319">
        <f>'BD Team'!K13</f>
        <v>176.26</v>
      </c>
      <c r="M6" s="318">
        <f>Pricing!O8</f>
        <v>1322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M15000</v>
      </c>
      <c r="C7" s="318" t="str">
        <f>'BD Team'!D14</f>
        <v>SIDE HUNG WINDOW</v>
      </c>
      <c r="D7" s="318" t="str">
        <f>'BD Team'!E14</f>
        <v>8MM</v>
      </c>
      <c r="E7" s="318" t="str">
        <f>'BD Team'!G14</f>
        <v>NA</v>
      </c>
      <c r="F7" s="318" t="str">
        <f>'BD Team'!F14</f>
        <v>NO</v>
      </c>
      <c r="I7" s="318">
        <f>'BD Team'!H14</f>
        <v>610</v>
      </c>
      <c r="J7" s="318">
        <f>'BD Team'!I14</f>
        <v>915</v>
      </c>
      <c r="K7" s="318">
        <f>'BD Team'!J14</f>
        <v>18</v>
      </c>
      <c r="L7" s="319">
        <f>'BD Team'!K14</f>
        <v>95.22</v>
      </c>
      <c r="M7" s="318">
        <f>Pricing!O9</f>
        <v>1322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M15000</v>
      </c>
      <c r="C8" s="318" t="str">
        <f>'BD Team'!D15</f>
        <v>SIDE HUNG WINDOW</v>
      </c>
      <c r="D8" s="318" t="str">
        <f>'BD Team'!E15</f>
        <v>8MM</v>
      </c>
      <c r="E8" s="318" t="str">
        <f>'BD Team'!G15</f>
        <v>NA</v>
      </c>
      <c r="F8" s="318" t="str">
        <f>'BD Team'!F15</f>
        <v>NO</v>
      </c>
      <c r="I8" s="318">
        <f>'BD Team'!H15</f>
        <v>610</v>
      </c>
      <c r="J8" s="318">
        <f>'BD Team'!I15</f>
        <v>610</v>
      </c>
      <c r="K8" s="318">
        <f>'BD Team'!J15</f>
        <v>3</v>
      </c>
      <c r="L8" s="319">
        <f>'BD Team'!K15</f>
        <v>87.46</v>
      </c>
      <c r="M8" s="318">
        <f>Pricing!O10</f>
        <v>1322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M15000</v>
      </c>
      <c r="C9" s="318" t="str">
        <f>'BD Team'!D16</f>
        <v>FIXED GLASS</v>
      </c>
      <c r="D9" s="318" t="str">
        <f>'BD Team'!E16</f>
        <v>8MM</v>
      </c>
      <c r="E9" s="318" t="str">
        <f>'BD Team'!G16</f>
        <v>NA</v>
      </c>
      <c r="F9" s="318" t="str">
        <f>'BD Team'!F16</f>
        <v>NO</v>
      </c>
      <c r="I9" s="318">
        <f>'BD Team'!H16</f>
        <v>915</v>
      </c>
      <c r="J9" s="318">
        <f>'BD Team'!I16</f>
        <v>460</v>
      </c>
      <c r="K9" s="318">
        <f>'BD Team'!J16</f>
        <v>3</v>
      </c>
      <c r="L9" s="319">
        <f>'BD Team'!K16</f>
        <v>24.45</v>
      </c>
      <c r="M9" s="318">
        <f>Pricing!O11</f>
        <v>1322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M15000</v>
      </c>
      <c r="C10" s="318" t="str">
        <f>'BD Team'!D17</f>
        <v>FRENCH CASEMENT WINDOW</v>
      </c>
      <c r="D10" s="318" t="str">
        <f>'BD Team'!E17</f>
        <v>8MM</v>
      </c>
      <c r="E10" s="318" t="str">
        <f>'BD Team'!G17</f>
        <v>NA</v>
      </c>
      <c r="F10" s="318" t="str">
        <f>'BD Team'!F17</f>
        <v>NO</v>
      </c>
      <c r="I10" s="318">
        <f>'BD Team'!H17</f>
        <v>1220</v>
      </c>
      <c r="J10" s="318">
        <f>'BD Team'!I17</f>
        <v>1525</v>
      </c>
      <c r="K10" s="318">
        <f>'BD Team'!J17</f>
        <v>3</v>
      </c>
      <c r="L10" s="319">
        <f>'BD Team'!K17</f>
        <v>200.01</v>
      </c>
      <c r="M10" s="318">
        <f>Pricing!O12</f>
        <v>1322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W10</v>
      </c>
      <c r="B11" s="318" t="str">
        <f>'BD Team'!C18</f>
        <v>M15000</v>
      </c>
      <c r="C11" s="318" t="str">
        <f>'BD Team'!D18</f>
        <v>2 SIDE HUNG WINDOWS WITH 4 FIXED GLASS</v>
      </c>
      <c r="D11" s="318" t="str">
        <f>'BD Team'!E18</f>
        <v>8MM</v>
      </c>
      <c r="E11" s="318" t="str">
        <f>'BD Team'!G18</f>
        <v>NA</v>
      </c>
      <c r="F11" s="318" t="str">
        <f>'BD Team'!F18</f>
        <v>NO</v>
      </c>
      <c r="I11" s="318">
        <f>'BD Team'!H18</f>
        <v>2440</v>
      </c>
      <c r="J11" s="318">
        <f>'BD Team'!I18</f>
        <v>2290</v>
      </c>
      <c r="K11" s="318">
        <f>'BD Team'!J18</f>
        <v>3</v>
      </c>
      <c r="L11" s="319">
        <f>'BD Team'!K18</f>
        <v>367.94</v>
      </c>
      <c r="M11" s="318">
        <f>Pricing!O13</f>
        <v>1322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W11</v>
      </c>
      <c r="B12" s="318" t="str">
        <f>'BD Team'!C19</f>
        <v>M15000</v>
      </c>
      <c r="C12" s="318" t="str">
        <f>'BD Team'!D19</f>
        <v>FRENCH CASEMENT WINDOW WITH FIXED GLASS</v>
      </c>
      <c r="D12" s="318" t="str">
        <f>'BD Team'!E19</f>
        <v>8MM</v>
      </c>
      <c r="E12" s="318" t="str">
        <f>'BD Team'!G19</f>
        <v>NA</v>
      </c>
      <c r="F12" s="318" t="str">
        <f>'BD Team'!F19</f>
        <v>NO</v>
      </c>
      <c r="I12" s="318">
        <f>'BD Team'!H19</f>
        <v>1830</v>
      </c>
      <c r="J12" s="318">
        <f>'BD Team'!I19</f>
        <v>1220</v>
      </c>
      <c r="K12" s="318">
        <f>'BD Team'!J19</f>
        <v>2</v>
      </c>
      <c r="L12" s="319">
        <f>'BD Team'!K19</f>
        <v>223.97</v>
      </c>
      <c r="M12" s="318">
        <f>Pricing!O14</f>
        <v>1322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</v>
      </c>
      <c r="B13" s="318" t="str">
        <f>'BD Team'!C20</f>
        <v>M15000</v>
      </c>
      <c r="C13" s="318" t="str">
        <f>'BD Team'!D20</f>
        <v>FRENCH CASEMENT WINDOW WITH BOTTOM FIXED</v>
      </c>
      <c r="D13" s="318" t="str">
        <f>'BD Team'!E20</f>
        <v>8MM</v>
      </c>
      <c r="E13" s="318" t="str">
        <f>'BD Team'!G20</f>
        <v>NA</v>
      </c>
      <c r="F13" s="318" t="str">
        <f>'BD Team'!F20</f>
        <v>NO</v>
      </c>
      <c r="I13" s="318">
        <f>'BD Team'!H20</f>
        <v>1220</v>
      </c>
      <c r="J13" s="318">
        <f>'BD Team'!I20</f>
        <v>2135</v>
      </c>
      <c r="K13" s="318">
        <f>'BD Team'!J20</f>
        <v>1</v>
      </c>
      <c r="L13" s="319">
        <f>'BD Team'!K20</f>
        <v>219.68</v>
      </c>
      <c r="M13" s="318">
        <f>Pricing!O15</f>
        <v>1322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W13</v>
      </c>
      <c r="B14" s="318" t="str">
        <f>'BD Team'!C21</f>
        <v>M15000</v>
      </c>
      <c r="C14" s="318" t="str">
        <f>'BD Team'!D21</f>
        <v>FRENCH CASEMENT WINDOW</v>
      </c>
      <c r="D14" s="318" t="str">
        <f>'BD Team'!E21</f>
        <v>8MM</v>
      </c>
      <c r="E14" s="318" t="str">
        <f>'BD Team'!G21</f>
        <v>NA</v>
      </c>
      <c r="F14" s="318" t="str">
        <f>'BD Team'!F21</f>
        <v>NO</v>
      </c>
      <c r="I14" s="318">
        <f>'BD Team'!H21</f>
        <v>1220</v>
      </c>
      <c r="J14" s="318">
        <f>'BD Team'!I21</f>
        <v>1220</v>
      </c>
      <c r="K14" s="318">
        <f>'BD Team'!J21</f>
        <v>1</v>
      </c>
      <c r="L14" s="319">
        <f>'BD Team'!K21</f>
        <v>176.26</v>
      </c>
      <c r="M14" s="318">
        <f>Pricing!O16</f>
        <v>1322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W14</v>
      </c>
      <c r="B15" s="318" t="str">
        <f>'BD Team'!C22</f>
        <v>M15000</v>
      </c>
      <c r="C15" s="318" t="str">
        <f>'BD Team'!D22</f>
        <v>SIDE HUNG WINDOW</v>
      </c>
      <c r="D15" s="318" t="str">
        <f>'BD Team'!E22</f>
        <v>8MM</v>
      </c>
      <c r="E15" s="318" t="str">
        <f>'BD Team'!G22</f>
        <v>NA</v>
      </c>
      <c r="F15" s="318" t="str">
        <f>'BD Team'!F22</f>
        <v>NO</v>
      </c>
      <c r="I15" s="318">
        <f>'BD Team'!H22</f>
        <v>915</v>
      </c>
      <c r="J15" s="318">
        <f>'BD Team'!I22</f>
        <v>1220</v>
      </c>
      <c r="K15" s="318">
        <f>'BD Team'!J22</f>
        <v>1</v>
      </c>
      <c r="L15" s="319">
        <f>'BD Team'!K22</f>
        <v>112.04</v>
      </c>
      <c r="M15" s="318">
        <f>Pricing!O17</f>
        <v>1322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23" sqref="G2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420</v>
      </c>
      <c r="F2" s="137"/>
      <c r="G2" s="163"/>
      <c r="H2" s="323" t="s">
        <v>185</v>
      </c>
      <c r="I2" s="324"/>
      <c r="J2" s="165" t="s">
        <v>424</v>
      </c>
      <c r="K2" s="167"/>
      <c r="L2" s="104" t="s">
        <v>208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421</v>
      </c>
      <c r="F3" s="136" t="s">
        <v>183</v>
      </c>
      <c r="G3" s="162" t="s">
        <v>423</v>
      </c>
      <c r="H3" s="323" t="s">
        <v>186</v>
      </c>
      <c r="I3" s="324"/>
      <c r="J3" s="166">
        <v>43686</v>
      </c>
      <c r="K3" s="167"/>
      <c r="L3" s="104" t="s">
        <v>258</v>
      </c>
      <c r="M3" s="104" t="s">
        <v>382</v>
      </c>
    </row>
    <row r="4" spans="1:13" s="104" customFormat="1" ht="18">
      <c r="A4" s="322" t="s">
        <v>169</v>
      </c>
      <c r="B4" s="322"/>
      <c r="C4" s="322"/>
      <c r="D4" s="322"/>
      <c r="E4" s="162" t="s">
        <v>386</v>
      </c>
      <c r="F4" s="135"/>
      <c r="G4" s="164"/>
      <c r="H4" s="323" t="s">
        <v>187</v>
      </c>
      <c r="I4" s="324"/>
      <c r="J4" s="165" t="s">
        <v>403</v>
      </c>
      <c r="K4" s="167"/>
      <c r="L4" s="104" t="s">
        <v>259</v>
      </c>
      <c r="M4" s="104" t="s">
        <v>383</v>
      </c>
    </row>
    <row r="5" spans="1:13" s="104" customFormat="1">
      <c r="A5" s="322" t="s">
        <v>177</v>
      </c>
      <c r="B5" s="322"/>
      <c r="C5" s="322"/>
      <c r="D5" s="322"/>
      <c r="E5" s="162" t="s">
        <v>422</v>
      </c>
      <c r="F5" s="136" t="s">
        <v>184</v>
      </c>
      <c r="G5" s="162" t="s">
        <v>262</v>
      </c>
      <c r="H5" s="323" t="s">
        <v>375</v>
      </c>
      <c r="I5" s="324"/>
      <c r="J5" s="165"/>
      <c r="K5" s="167"/>
      <c r="L5" s="104" t="s">
        <v>260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428</v>
      </c>
      <c r="F9" s="113" t="s">
        <v>429</v>
      </c>
      <c r="G9" s="113" t="s">
        <v>430</v>
      </c>
      <c r="H9" s="113">
        <v>1220</v>
      </c>
      <c r="I9" s="113">
        <v>1525</v>
      </c>
      <c r="J9" s="113">
        <v>20</v>
      </c>
      <c r="K9" s="123">
        <v>200.01</v>
      </c>
    </row>
    <row r="10" spans="1:13" ht="20.100000000000001" customHeight="1">
      <c r="A10" s="113">
        <v>2</v>
      </c>
      <c r="B10" s="113" t="s">
        <v>431</v>
      </c>
      <c r="C10" s="113" t="s">
        <v>426</v>
      </c>
      <c r="D10" s="113" t="s">
        <v>427</v>
      </c>
      <c r="E10" s="113" t="s">
        <v>428</v>
      </c>
      <c r="F10" s="113" t="s">
        <v>429</v>
      </c>
      <c r="G10" s="113" t="s">
        <v>430</v>
      </c>
      <c r="H10" s="113">
        <v>1220</v>
      </c>
      <c r="I10" s="113">
        <v>1525</v>
      </c>
      <c r="J10" s="113">
        <v>2</v>
      </c>
      <c r="K10" s="123">
        <v>200.01</v>
      </c>
      <c r="L10" s="47" t="s">
        <v>283</v>
      </c>
    </row>
    <row r="11" spans="1:13" ht="20.100000000000001" customHeight="1">
      <c r="A11" s="113">
        <v>3</v>
      </c>
      <c r="B11" s="113" t="s">
        <v>432</v>
      </c>
      <c r="C11" s="113" t="s">
        <v>426</v>
      </c>
      <c r="D11" s="113" t="s">
        <v>433</v>
      </c>
      <c r="E11" s="113" t="s">
        <v>428</v>
      </c>
      <c r="F11" s="113" t="s">
        <v>429</v>
      </c>
      <c r="G11" s="113" t="s">
        <v>430</v>
      </c>
      <c r="H11" s="113">
        <v>690</v>
      </c>
      <c r="I11" s="113">
        <v>1525</v>
      </c>
      <c r="J11" s="113">
        <v>2</v>
      </c>
      <c r="K11" s="123">
        <v>118.77</v>
      </c>
      <c r="L11" s="47" t="s">
        <v>282</v>
      </c>
    </row>
    <row r="12" spans="1:13" ht="20.100000000000001" customHeight="1">
      <c r="A12" s="113">
        <v>4</v>
      </c>
      <c r="B12" s="113" t="s">
        <v>434</v>
      </c>
      <c r="C12" s="113" t="s">
        <v>426</v>
      </c>
      <c r="D12" s="113" t="s">
        <v>435</v>
      </c>
      <c r="E12" s="113" t="s">
        <v>428</v>
      </c>
      <c r="F12" s="113" t="s">
        <v>429</v>
      </c>
      <c r="G12" s="113" t="s">
        <v>430</v>
      </c>
      <c r="H12" s="113">
        <v>1830</v>
      </c>
      <c r="I12" s="113">
        <v>1525</v>
      </c>
      <c r="J12" s="113">
        <v>2</v>
      </c>
      <c r="K12" s="123">
        <v>253.01</v>
      </c>
      <c r="L12" s="47" t="s">
        <v>366</v>
      </c>
    </row>
    <row r="13" spans="1:13" ht="20.100000000000001" customHeight="1">
      <c r="A13" s="113">
        <v>5</v>
      </c>
      <c r="B13" s="113" t="s">
        <v>436</v>
      </c>
      <c r="C13" s="113" t="s">
        <v>426</v>
      </c>
      <c r="D13" s="113" t="s">
        <v>427</v>
      </c>
      <c r="E13" s="113" t="s">
        <v>428</v>
      </c>
      <c r="F13" s="113" t="s">
        <v>429</v>
      </c>
      <c r="G13" s="113" t="s">
        <v>430</v>
      </c>
      <c r="H13" s="113">
        <v>1220</v>
      </c>
      <c r="I13" s="113">
        <v>1220</v>
      </c>
      <c r="J13" s="113">
        <v>4</v>
      </c>
      <c r="K13" s="123">
        <v>176.26</v>
      </c>
      <c r="L13" s="47" t="s">
        <v>367</v>
      </c>
    </row>
    <row r="14" spans="1:13">
      <c r="A14" s="113">
        <v>6</v>
      </c>
      <c r="B14" s="113" t="s">
        <v>437</v>
      </c>
      <c r="C14" s="113" t="s">
        <v>426</v>
      </c>
      <c r="D14" s="113" t="s">
        <v>433</v>
      </c>
      <c r="E14" s="113" t="s">
        <v>428</v>
      </c>
      <c r="F14" s="113" t="s">
        <v>429</v>
      </c>
      <c r="G14" s="113" t="s">
        <v>430</v>
      </c>
      <c r="H14" s="113">
        <v>610</v>
      </c>
      <c r="I14" s="113">
        <v>915</v>
      </c>
      <c r="J14" s="113">
        <v>18</v>
      </c>
      <c r="K14" s="123">
        <v>95.22</v>
      </c>
      <c r="L14" s="47" t="s">
        <v>368</v>
      </c>
    </row>
    <row r="15" spans="1:13" ht="20.100000000000001" customHeight="1">
      <c r="A15" s="113">
        <v>7</v>
      </c>
      <c r="B15" s="113" t="s">
        <v>438</v>
      </c>
      <c r="C15" s="113" t="s">
        <v>426</v>
      </c>
      <c r="D15" s="113" t="s">
        <v>433</v>
      </c>
      <c r="E15" s="113" t="s">
        <v>428</v>
      </c>
      <c r="F15" s="113" t="s">
        <v>429</v>
      </c>
      <c r="G15" s="113" t="s">
        <v>430</v>
      </c>
      <c r="H15" s="113">
        <v>610</v>
      </c>
      <c r="I15" s="113">
        <v>610</v>
      </c>
      <c r="J15" s="113">
        <v>3</v>
      </c>
      <c r="K15" s="123">
        <v>87.46</v>
      </c>
      <c r="L15" s="47" t="s">
        <v>369</v>
      </c>
    </row>
    <row r="16" spans="1:13" ht="20.100000000000001" customHeight="1">
      <c r="A16" s="113">
        <v>8</v>
      </c>
      <c r="B16" s="113" t="s">
        <v>439</v>
      </c>
      <c r="C16" s="113" t="s">
        <v>426</v>
      </c>
      <c r="D16" s="113" t="s">
        <v>440</v>
      </c>
      <c r="E16" s="113" t="s">
        <v>428</v>
      </c>
      <c r="F16" s="113" t="s">
        <v>429</v>
      </c>
      <c r="G16" s="113" t="s">
        <v>430</v>
      </c>
      <c r="H16" s="113">
        <v>915</v>
      </c>
      <c r="I16" s="113">
        <v>460</v>
      </c>
      <c r="J16" s="113">
        <v>3</v>
      </c>
      <c r="K16" s="123">
        <v>24.45</v>
      </c>
      <c r="L16" s="47" t="s">
        <v>370</v>
      </c>
    </row>
    <row r="17" spans="1:13" ht="20.100000000000001" customHeight="1">
      <c r="A17" s="113">
        <v>9</v>
      </c>
      <c r="B17" s="113" t="s">
        <v>441</v>
      </c>
      <c r="C17" s="113" t="s">
        <v>426</v>
      </c>
      <c r="D17" s="113" t="s">
        <v>427</v>
      </c>
      <c r="E17" s="113" t="s">
        <v>428</v>
      </c>
      <c r="F17" s="113" t="s">
        <v>429</v>
      </c>
      <c r="G17" s="113" t="s">
        <v>430</v>
      </c>
      <c r="H17" s="113">
        <v>1220</v>
      </c>
      <c r="I17" s="113">
        <v>1525</v>
      </c>
      <c r="J17" s="113">
        <v>3</v>
      </c>
      <c r="K17" s="123">
        <v>200.01</v>
      </c>
      <c r="L17" s="47" t="s">
        <v>371</v>
      </c>
    </row>
    <row r="18" spans="1:13" ht="20.100000000000001" customHeight="1">
      <c r="A18" s="113">
        <v>10</v>
      </c>
      <c r="B18" s="113" t="s">
        <v>442</v>
      </c>
      <c r="C18" s="113" t="s">
        <v>426</v>
      </c>
      <c r="D18" s="113" t="s">
        <v>443</v>
      </c>
      <c r="E18" s="113" t="s">
        <v>428</v>
      </c>
      <c r="F18" s="113" t="s">
        <v>429</v>
      </c>
      <c r="G18" s="113" t="s">
        <v>430</v>
      </c>
      <c r="H18" s="113">
        <v>2440</v>
      </c>
      <c r="I18" s="113">
        <v>2290</v>
      </c>
      <c r="J18" s="113">
        <v>3</v>
      </c>
      <c r="K18" s="123">
        <v>367.94</v>
      </c>
      <c r="L18" s="47" t="s">
        <v>372</v>
      </c>
    </row>
    <row r="19" spans="1:13" ht="20.100000000000001" customHeight="1">
      <c r="A19" s="113">
        <v>11</v>
      </c>
      <c r="B19" s="113" t="s">
        <v>444</v>
      </c>
      <c r="C19" s="113" t="s">
        <v>426</v>
      </c>
      <c r="D19" s="113" t="s">
        <v>435</v>
      </c>
      <c r="E19" s="113" t="s">
        <v>428</v>
      </c>
      <c r="F19" s="113" t="s">
        <v>429</v>
      </c>
      <c r="G19" s="113" t="s">
        <v>430</v>
      </c>
      <c r="H19" s="113">
        <v>1830</v>
      </c>
      <c r="I19" s="113">
        <v>1220</v>
      </c>
      <c r="J19" s="113">
        <v>2</v>
      </c>
      <c r="K19" s="123">
        <v>223.97</v>
      </c>
      <c r="L19" s="47" t="s">
        <v>373</v>
      </c>
    </row>
    <row r="20" spans="1:13">
      <c r="A20" s="113">
        <v>12</v>
      </c>
      <c r="B20" s="113" t="s">
        <v>445</v>
      </c>
      <c r="C20" s="113" t="s">
        <v>426</v>
      </c>
      <c r="D20" s="113" t="s">
        <v>446</v>
      </c>
      <c r="E20" s="113" t="s">
        <v>428</v>
      </c>
      <c r="F20" s="113" t="s">
        <v>429</v>
      </c>
      <c r="G20" s="113" t="s">
        <v>430</v>
      </c>
      <c r="H20" s="113">
        <v>1220</v>
      </c>
      <c r="I20" s="113">
        <v>2135</v>
      </c>
      <c r="J20" s="113">
        <v>1</v>
      </c>
      <c r="K20" s="123">
        <v>219.68</v>
      </c>
      <c r="L20" s="47" t="s">
        <v>386</v>
      </c>
    </row>
    <row r="21" spans="1:13" ht="20.100000000000001" customHeight="1">
      <c r="A21" s="113">
        <v>13</v>
      </c>
      <c r="B21" s="113" t="s">
        <v>447</v>
      </c>
      <c r="C21" s="113" t="s">
        <v>426</v>
      </c>
      <c r="D21" s="113" t="s">
        <v>427</v>
      </c>
      <c r="E21" s="113" t="s">
        <v>428</v>
      </c>
      <c r="F21" s="113" t="s">
        <v>429</v>
      </c>
      <c r="G21" s="113" t="s">
        <v>430</v>
      </c>
      <c r="H21" s="113">
        <v>1220</v>
      </c>
      <c r="I21" s="113">
        <v>1220</v>
      </c>
      <c r="J21" s="113">
        <v>1</v>
      </c>
      <c r="K21" s="123">
        <v>176.26</v>
      </c>
      <c r="L21" s="47" t="s">
        <v>387</v>
      </c>
    </row>
    <row r="22" spans="1:13" ht="20.100000000000001" customHeight="1">
      <c r="A22" s="113">
        <v>14</v>
      </c>
      <c r="B22" s="113" t="s">
        <v>448</v>
      </c>
      <c r="C22" s="113" t="s">
        <v>426</v>
      </c>
      <c r="D22" s="113" t="s">
        <v>433</v>
      </c>
      <c r="E22" s="113" t="s">
        <v>428</v>
      </c>
      <c r="F22" s="113" t="s">
        <v>429</v>
      </c>
      <c r="G22" s="113" t="s">
        <v>430</v>
      </c>
      <c r="H22" s="113">
        <v>915</v>
      </c>
      <c r="I22" s="113">
        <v>1220</v>
      </c>
      <c r="J22" s="113">
        <v>1</v>
      </c>
      <c r="K22" s="123">
        <v>112.04</v>
      </c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14" sqref="O1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FRENCH CASEMENT WINDOW</v>
      </c>
      <c r="E4" s="118" t="str">
        <f>'BD Team'!F9</f>
        <v>NO</v>
      </c>
      <c r="F4" s="121" t="str">
        <f>'BD Team'!G9</f>
        <v>NA</v>
      </c>
      <c r="G4" s="118">
        <f>'BD Team'!H9</f>
        <v>1220</v>
      </c>
      <c r="H4" s="118">
        <f>'BD Team'!I9</f>
        <v>1525</v>
      </c>
      <c r="I4" s="118">
        <f>'BD Team'!J9</f>
        <v>20</v>
      </c>
      <c r="J4" s="103">
        <f t="shared" ref="J4:J53" si="0">G4*H4*I4*10.764/1000000</f>
        <v>400.52843999999999</v>
      </c>
      <c r="K4" s="172">
        <f>'BD Team'!K9</f>
        <v>200.01</v>
      </c>
      <c r="L4" s="171">
        <f>K4*I4</f>
        <v>4000.2</v>
      </c>
      <c r="M4" s="170">
        <f>L4*'Changable Values'!$D$4</f>
        <v>332016.59999999998</v>
      </c>
      <c r="N4" s="170" t="str">
        <f>'BD Team'!E9</f>
        <v>8MM</v>
      </c>
      <c r="O4" s="172">
        <v>1322</v>
      </c>
      <c r="P4" s="241"/>
      <c r="Q4" s="173"/>
      <c r="R4" s="185"/>
      <c r="S4" s="312"/>
      <c r="T4" s="313">
        <f>(G4+H4)*I4*2/300</f>
        <v>366</v>
      </c>
      <c r="U4" s="313">
        <f>SUM(G4:H4)*I4*2*4/1000</f>
        <v>439.2</v>
      </c>
      <c r="V4" s="313">
        <f>SUM(G4:H4)*I4*5*5*4/(1000*240)</f>
        <v>22.875</v>
      </c>
      <c r="W4" s="313">
        <f>T4</f>
        <v>366</v>
      </c>
      <c r="X4" s="313">
        <f>W4*2</f>
        <v>732</v>
      </c>
      <c r="Y4" s="313">
        <f>SUM(G4:H4)*I4*4/1000</f>
        <v>219.6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FRENCH CASEMENT WINDOW</v>
      </c>
      <c r="E5" s="118" t="str">
        <f>'BD Team'!F10</f>
        <v>NO</v>
      </c>
      <c r="F5" s="121" t="str">
        <f>'BD Team'!G10</f>
        <v>NA</v>
      </c>
      <c r="G5" s="118">
        <f>'BD Team'!H10</f>
        <v>1220</v>
      </c>
      <c r="H5" s="118">
        <f>'BD Team'!I10</f>
        <v>1525</v>
      </c>
      <c r="I5" s="118">
        <f>'BD Team'!J10</f>
        <v>2</v>
      </c>
      <c r="J5" s="103">
        <f t="shared" si="0"/>
        <v>40.052844</v>
      </c>
      <c r="K5" s="172">
        <f>'BD Team'!K10</f>
        <v>200.01</v>
      </c>
      <c r="L5" s="171">
        <f t="shared" ref="L5:L53" si="1">K5*I5</f>
        <v>400.02</v>
      </c>
      <c r="M5" s="170">
        <f>L5*'Changable Values'!$D$4</f>
        <v>33201.659999999996</v>
      </c>
      <c r="N5" s="170" t="str">
        <f>'BD Team'!E10</f>
        <v>8MM</v>
      </c>
      <c r="O5" s="172">
        <v>1322</v>
      </c>
      <c r="P5" s="241"/>
      <c r="Q5" s="173"/>
      <c r="R5" s="185"/>
      <c r="S5" s="312"/>
      <c r="T5" s="313">
        <f t="shared" ref="T5:T68" si="2">(G5+H5)*I5*2/300</f>
        <v>36.6</v>
      </c>
      <c r="U5" s="313">
        <f t="shared" ref="U5:U68" si="3">SUM(G5:H5)*I5*2*4/1000</f>
        <v>43.92</v>
      </c>
      <c r="V5" s="313">
        <f t="shared" ref="V5:V68" si="4">SUM(G5:H5)*I5*5*5*4/(1000*240)</f>
        <v>2.2875000000000001</v>
      </c>
      <c r="W5" s="313">
        <f t="shared" ref="W5:W68" si="5">T5</f>
        <v>36.6</v>
      </c>
      <c r="X5" s="313">
        <f t="shared" ref="X5:X68" si="6">W5*2</f>
        <v>73.2</v>
      </c>
      <c r="Y5" s="313">
        <f t="shared" ref="Y5:Y68" si="7">SUM(G5:H5)*I5*4/1000</f>
        <v>21.96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SIDE HUNG WINDOW</v>
      </c>
      <c r="E6" s="118" t="str">
        <f>'BD Team'!F11</f>
        <v>NO</v>
      </c>
      <c r="F6" s="121" t="str">
        <f>'BD Team'!G11</f>
        <v>NA</v>
      </c>
      <c r="G6" s="118">
        <f>'BD Team'!H11</f>
        <v>690</v>
      </c>
      <c r="H6" s="118">
        <f>'BD Team'!I11</f>
        <v>1525</v>
      </c>
      <c r="I6" s="118">
        <f>'BD Team'!J11</f>
        <v>2</v>
      </c>
      <c r="J6" s="103">
        <f t="shared" si="0"/>
        <v>22.652837999999999</v>
      </c>
      <c r="K6" s="172">
        <f>'BD Team'!K11</f>
        <v>118.77</v>
      </c>
      <c r="L6" s="171">
        <f t="shared" si="1"/>
        <v>237.54</v>
      </c>
      <c r="M6" s="170">
        <f>L6*'Changable Values'!$D$4</f>
        <v>19715.82</v>
      </c>
      <c r="N6" s="170" t="str">
        <f>'BD Team'!E11</f>
        <v>8MM</v>
      </c>
      <c r="O6" s="172">
        <v>1322</v>
      </c>
      <c r="P6" s="241"/>
      <c r="Q6" s="173"/>
      <c r="R6" s="185"/>
      <c r="S6" s="312"/>
      <c r="T6" s="313">
        <f t="shared" si="2"/>
        <v>29.533333333333335</v>
      </c>
      <c r="U6" s="313">
        <f t="shared" si="3"/>
        <v>35.44</v>
      </c>
      <c r="V6" s="313">
        <f t="shared" si="4"/>
        <v>1.8458333333333334</v>
      </c>
      <c r="W6" s="313">
        <f t="shared" si="5"/>
        <v>29.533333333333335</v>
      </c>
      <c r="X6" s="313">
        <f t="shared" si="6"/>
        <v>59.06666666666667</v>
      </c>
      <c r="Y6" s="313">
        <f t="shared" si="7"/>
        <v>17.72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M15000</v>
      </c>
      <c r="D7" s="118" t="str">
        <f>'BD Team'!D12</f>
        <v>FRENCH CASEMENT WINDOW WITH FIXED GLASS</v>
      </c>
      <c r="E7" s="118" t="str">
        <f>'BD Team'!F12</f>
        <v>NO</v>
      </c>
      <c r="F7" s="121" t="str">
        <f>'BD Team'!G12</f>
        <v>NA</v>
      </c>
      <c r="G7" s="118">
        <f>'BD Team'!H12</f>
        <v>1830</v>
      </c>
      <c r="H7" s="118">
        <f>'BD Team'!I12</f>
        <v>1525</v>
      </c>
      <c r="I7" s="118">
        <f>'BD Team'!J12</f>
        <v>2</v>
      </c>
      <c r="J7" s="103">
        <f t="shared" si="0"/>
        <v>60.079265999999997</v>
      </c>
      <c r="K7" s="172">
        <f>'BD Team'!K12</f>
        <v>253.01</v>
      </c>
      <c r="L7" s="171">
        <f t="shared" si="1"/>
        <v>506.02</v>
      </c>
      <c r="M7" s="170">
        <f>L7*'Changable Values'!$D$4</f>
        <v>41999.659999999996</v>
      </c>
      <c r="N7" s="170" t="str">
        <f>'BD Team'!E12</f>
        <v>8MM</v>
      </c>
      <c r="O7" s="172">
        <v>1322</v>
      </c>
      <c r="P7" s="241"/>
      <c r="Q7" s="173"/>
      <c r="R7" s="185"/>
      <c r="S7" s="312"/>
      <c r="T7" s="313">
        <f t="shared" si="2"/>
        <v>44.733333333333334</v>
      </c>
      <c r="U7" s="313">
        <f t="shared" si="3"/>
        <v>53.68</v>
      </c>
      <c r="V7" s="313">
        <f t="shared" si="4"/>
        <v>2.7958333333333334</v>
      </c>
      <c r="W7" s="313">
        <f t="shared" si="5"/>
        <v>44.733333333333334</v>
      </c>
      <c r="X7" s="313">
        <f t="shared" si="6"/>
        <v>89.466666666666669</v>
      </c>
      <c r="Y7" s="313">
        <f t="shared" si="7"/>
        <v>26.84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M15000</v>
      </c>
      <c r="D8" s="118" t="str">
        <f>'BD Team'!D13</f>
        <v>FRENCH CASEMENT WINDOW</v>
      </c>
      <c r="E8" s="118" t="str">
        <f>'BD Team'!F13</f>
        <v>NO</v>
      </c>
      <c r="F8" s="121" t="str">
        <f>'BD Team'!G13</f>
        <v>NA</v>
      </c>
      <c r="G8" s="118">
        <f>'BD Team'!H13</f>
        <v>1220</v>
      </c>
      <c r="H8" s="118">
        <f>'BD Team'!I13</f>
        <v>1220</v>
      </c>
      <c r="I8" s="118">
        <f>'BD Team'!J13</f>
        <v>4</v>
      </c>
      <c r="J8" s="103">
        <f t="shared" si="0"/>
        <v>64.084550399999998</v>
      </c>
      <c r="K8" s="172">
        <f>'BD Team'!K13</f>
        <v>176.26</v>
      </c>
      <c r="L8" s="171">
        <f t="shared" si="1"/>
        <v>705.04</v>
      </c>
      <c r="M8" s="170">
        <f>L8*'Changable Values'!$D$4</f>
        <v>58518.32</v>
      </c>
      <c r="N8" s="170" t="str">
        <f>'BD Team'!E13</f>
        <v>8MM</v>
      </c>
      <c r="O8" s="172">
        <v>1322</v>
      </c>
      <c r="P8" s="241"/>
      <c r="Q8" s="173"/>
      <c r="R8" s="185"/>
      <c r="S8" s="312"/>
      <c r="T8" s="313">
        <f t="shared" si="2"/>
        <v>65.066666666666663</v>
      </c>
      <c r="U8" s="313">
        <f t="shared" si="3"/>
        <v>78.08</v>
      </c>
      <c r="V8" s="313">
        <f t="shared" si="4"/>
        <v>4.0666666666666664</v>
      </c>
      <c r="W8" s="313">
        <f t="shared" si="5"/>
        <v>65.066666666666663</v>
      </c>
      <c r="X8" s="313">
        <f t="shared" si="6"/>
        <v>130.13333333333333</v>
      </c>
      <c r="Y8" s="313">
        <f t="shared" si="7"/>
        <v>39.04</v>
      </c>
    </row>
    <row r="9" spans="1:25">
      <c r="A9" s="118">
        <f>'BD Team'!A14</f>
        <v>6</v>
      </c>
      <c r="B9" s="118" t="str">
        <f>'BD Team'!B14</f>
        <v>W6</v>
      </c>
      <c r="C9" s="118" t="str">
        <f>'BD Team'!C14</f>
        <v>M15000</v>
      </c>
      <c r="D9" s="118" t="str">
        <f>'BD Team'!D14</f>
        <v>SIDE HUNG WINDOW</v>
      </c>
      <c r="E9" s="118" t="str">
        <f>'BD Team'!F14</f>
        <v>NO</v>
      </c>
      <c r="F9" s="121" t="str">
        <f>'BD Team'!G14</f>
        <v>NA</v>
      </c>
      <c r="G9" s="118">
        <f>'BD Team'!H14</f>
        <v>610</v>
      </c>
      <c r="H9" s="118">
        <f>'BD Team'!I14</f>
        <v>915</v>
      </c>
      <c r="I9" s="118">
        <f>'BD Team'!J14</f>
        <v>18</v>
      </c>
      <c r="J9" s="103">
        <f t="shared" si="0"/>
        <v>108.1426788</v>
      </c>
      <c r="K9" s="172">
        <f>'BD Team'!K14</f>
        <v>95.22</v>
      </c>
      <c r="L9" s="171">
        <f t="shared" si="1"/>
        <v>1713.96</v>
      </c>
      <c r="M9" s="170">
        <f>L9*'Changable Values'!$D$4</f>
        <v>142258.68</v>
      </c>
      <c r="N9" s="170" t="str">
        <f>'BD Team'!E14</f>
        <v>8MM</v>
      </c>
      <c r="O9" s="172">
        <v>1322</v>
      </c>
      <c r="P9" s="241"/>
      <c r="Q9" s="173"/>
      <c r="R9" s="185"/>
      <c r="S9" s="312"/>
      <c r="T9" s="313">
        <f t="shared" si="2"/>
        <v>183</v>
      </c>
      <c r="U9" s="313">
        <f t="shared" si="3"/>
        <v>219.6</v>
      </c>
      <c r="V9" s="313">
        <f t="shared" si="4"/>
        <v>11.4375</v>
      </c>
      <c r="W9" s="313">
        <f t="shared" si="5"/>
        <v>183</v>
      </c>
      <c r="X9" s="313">
        <f t="shared" si="6"/>
        <v>366</v>
      </c>
      <c r="Y9" s="313">
        <f t="shared" si="7"/>
        <v>109.8</v>
      </c>
    </row>
    <row r="10" spans="1:25">
      <c r="A10" s="118">
        <f>'BD Team'!A15</f>
        <v>7</v>
      </c>
      <c r="B10" s="118" t="str">
        <f>'BD Team'!B15</f>
        <v>W7</v>
      </c>
      <c r="C10" s="118" t="str">
        <f>'BD Team'!C15</f>
        <v>M15000</v>
      </c>
      <c r="D10" s="118" t="str">
        <f>'BD Team'!D15</f>
        <v>SIDE HUNG WINDOW</v>
      </c>
      <c r="E10" s="118" t="str">
        <f>'BD Team'!F15</f>
        <v>NO</v>
      </c>
      <c r="F10" s="121" t="str">
        <f>'BD Team'!G15</f>
        <v>NA</v>
      </c>
      <c r="G10" s="118">
        <f>'BD Team'!H15</f>
        <v>610</v>
      </c>
      <c r="H10" s="118">
        <f>'BD Team'!I15</f>
        <v>610</v>
      </c>
      <c r="I10" s="118">
        <f>'BD Team'!J15</f>
        <v>3</v>
      </c>
      <c r="J10" s="103">
        <f t="shared" si="0"/>
        <v>12.015853199999999</v>
      </c>
      <c r="K10" s="172">
        <f>'BD Team'!K15</f>
        <v>87.46</v>
      </c>
      <c r="L10" s="171">
        <f t="shared" si="1"/>
        <v>262.38</v>
      </c>
      <c r="M10" s="170">
        <f>L10*'Changable Values'!$D$4</f>
        <v>21777.54</v>
      </c>
      <c r="N10" s="170" t="str">
        <f>'BD Team'!E15</f>
        <v>8MM</v>
      </c>
      <c r="O10" s="172">
        <v>1322</v>
      </c>
      <c r="P10" s="241"/>
      <c r="Q10" s="173"/>
      <c r="R10" s="185"/>
      <c r="S10" s="312"/>
      <c r="T10" s="313">
        <f t="shared" si="2"/>
        <v>24.4</v>
      </c>
      <c r="U10" s="313">
        <f t="shared" si="3"/>
        <v>29.28</v>
      </c>
      <c r="V10" s="313">
        <f t="shared" si="4"/>
        <v>1.5249999999999999</v>
      </c>
      <c r="W10" s="313">
        <f t="shared" si="5"/>
        <v>24.4</v>
      </c>
      <c r="X10" s="313">
        <f t="shared" si="6"/>
        <v>48.8</v>
      </c>
      <c r="Y10" s="313">
        <f t="shared" si="7"/>
        <v>14.64</v>
      </c>
    </row>
    <row r="11" spans="1:25">
      <c r="A11" s="118">
        <f>'BD Team'!A16</f>
        <v>8</v>
      </c>
      <c r="B11" s="118" t="str">
        <f>'BD Team'!B16</f>
        <v>W8</v>
      </c>
      <c r="C11" s="118" t="str">
        <f>'BD Team'!C16</f>
        <v>M15000</v>
      </c>
      <c r="D11" s="118" t="str">
        <f>'BD Team'!D16</f>
        <v>FIXED GLASS</v>
      </c>
      <c r="E11" s="118" t="str">
        <f>'BD Team'!F16</f>
        <v>NO</v>
      </c>
      <c r="F11" s="121" t="str">
        <f>'BD Team'!G16</f>
        <v>NA</v>
      </c>
      <c r="G11" s="118">
        <f>'BD Team'!H16</f>
        <v>915</v>
      </c>
      <c r="H11" s="118">
        <f>'BD Team'!I16</f>
        <v>460</v>
      </c>
      <c r="I11" s="118">
        <f>'BD Team'!J16</f>
        <v>3</v>
      </c>
      <c r="J11" s="103">
        <f t="shared" si="0"/>
        <v>13.591702799999998</v>
      </c>
      <c r="K11" s="172">
        <f>'BD Team'!K16</f>
        <v>24.45</v>
      </c>
      <c r="L11" s="171">
        <f t="shared" si="1"/>
        <v>73.349999999999994</v>
      </c>
      <c r="M11" s="170">
        <f>L11*'Changable Values'!$D$4</f>
        <v>6088.0499999999993</v>
      </c>
      <c r="N11" s="170" t="str">
        <f>'BD Team'!E16</f>
        <v>8MM</v>
      </c>
      <c r="O11" s="172">
        <v>1322</v>
      </c>
      <c r="P11" s="241"/>
      <c r="Q11" s="173"/>
      <c r="R11" s="185"/>
      <c r="S11" s="312"/>
      <c r="T11" s="313">
        <f t="shared" si="2"/>
        <v>27.5</v>
      </c>
      <c r="U11" s="313">
        <f t="shared" si="3"/>
        <v>33</v>
      </c>
      <c r="V11" s="313">
        <f t="shared" si="4"/>
        <v>1.71875</v>
      </c>
      <c r="W11" s="313">
        <f t="shared" si="5"/>
        <v>27.5</v>
      </c>
      <c r="X11" s="313">
        <f t="shared" si="6"/>
        <v>55</v>
      </c>
      <c r="Y11" s="313">
        <f t="shared" si="7"/>
        <v>16.5</v>
      </c>
    </row>
    <row r="12" spans="1:25">
      <c r="A12" s="118">
        <f>'BD Team'!A17</f>
        <v>9</v>
      </c>
      <c r="B12" s="118" t="str">
        <f>'BD Team'!B17</f>
        <v>W9</v>
      </c>
      <c r="C12" s="118" t="str">
        <f>'BD Team'!C17</f>
        <v>M15000</v>
      </c>
      <c r="D12" s="118" t="str">
        <f>'BD Team'!D17</f>
        <v>FRENCH CASEMENT WINDOW</v>
      </c>
      <c r="E12" s="118" t="str">
        <f>'BD Team'!F17</f>
        <v>NO</v>
      </c>
      <c r="F12" s="121" t="str">
        <f>'BD Team'!G17</f>
        <v>NA</v>
      </c>
      <c r="G12" s="118">
        <f>'BD Team'!H17</f>
        <v>1220</v>
      </c>
      <c r="H12" s="118">
        <f>'BD Team'!I17</f>
        <v>1525</v>
      </c>
      <c r="I12" s="118">
        <f>'BD Team'!J17</f>
        <v>3</v>
      </c>
      <c r="J12" s="103">
        <f t="shared" si="0"/>
        <v>60.079265999999997</v>
      </c>
      <c r="K12" s="172">
        <f>'BD Team'!K17</f>
        <v>200.01</v>
      </c>
      <c r="L12" s="171">
        <f t="shared" si="1"/>
        <v>600.03</v>
      </c>
      <c r="M12" s="170">
        <f>L12*'Changable Values'!$D$4</f>
        <v>49802.49</v>
      </c>
      <c r="N12" s="170" t="str">
        <f>'BD Team'!E17</f>
        <v>8MM</v>
      </c>
      <c r="O12" s="172">
        <v>1322</v>
      </c>
      <c r="P12" s="241"/>
      <c r="Q12" s="173"/>
      <c r="R12" s="185"/>
      <c r="S12" s="312"/>
      <c r="T12" s="313">
        <f t="shared" si="2"/>
        <v>54.9</v>
      </c>
      <c r="U12" s="313">
        <f t="shared" si="3"/>
        <v>65.88</v>
      </c>
      <c r="V12" s="313">
        <f t="shared" si="4"/>
        <v>3.4312499999999999</v>
      </c>
      <c r="W12" s="313">
        <f t="shared" si="5"/>
        <v>54.9</v>
      </c>
      <c r="X12" s="313">
        <f t="shared" si="6"/>
        <v>109.8</v>
      </c>
      <c r="Y12" s="313">
        <f t="shared" si="7"/>
        <v>32.94</v>
      </c>
    </row>
    <row r="13" spans="1:25">
      <c r="A13" s="118">
        <f>'BD Team'!A18</f>
        <v>10</v>
      </c>
      <c r="B13" s="118" t="str">
        <f>'BD Team'!B18</f>
        <v>W10</v>
      </c>
      <c r="C13" s="118" t="str">
        <f>'BD Team'!C18</f>
        <v>M15000</v>
      </c>
      <c r="D13" s="118" t="str">
        <f>'BD Team'!D18</f>
        <v>2 SIDE HUNG WINDOWS WITH 4 FIXED GLASS</v>
      </c>
      <c r="E13" s="118" t="str">
        <f>'BD Team'!F18</f>
        <v>NO</v>
      </c>
      <c r="F13" s="121" t="str">
        <f>'BD Team'!G18</f>
        <v>NA</v>
      </c>
      <c r="G13" s="118">
        <f>'BD Team'!H18</f>
        <v>2440</v>
      </c>
      <c r="H13" s="118">
        <f>'BD Team'!I18</f>
        <v>2290</v>
      </c>
      <c r="I13" s="118">
        <f>'BD Team'!J18</f>
        <v>3</v>
      </c>
      <c r="J13" s="103">
        <f t="shared" si="0"/>
        <v>180.43477919999998</v>
      </c>
      <c r="K13" s="172">
        <f>'BD Team'!K18</f>
        <v>367.94</v>
      </c>
      <c r="L13" s="171">
        <f t="shared" si="1"/>
        <v>1103.82</v>
      </c>
      <c r="M13" s="170">
        <f>L13*'Changable Values'!$D$4</f>
        <v>91617.06</v>
      </c>
      <c r="N13" s="170" t="str">
        <f>'BD Team'!E18</f>
        <v>8MM</v>
      </c>
      <c r="O13" s="172">
        <v>1322</v>
      </c>
      <c r="P13" s="241"/>
      <c r="Q13" s="173"/>
      <c r="R13" s="185"/>
      <c r="S13" s="312"/>
      <c r="T13" s="313">
        <f t="shared" si="2"/>
        <v>94.6</v>
      </c>
      <c r="U13" s="313">
        <f t="shared" si="3"/>
        <v>113.52</v>
      </c>
      <c r="V13" s="313">
        <f t="shared" si="4"/>
        <v>5.9124999999999996</v>
      </c>
      <c r="W13" s="313">
        <f t="shared" si="5"/>
        <v>94.6</v>
      </c>
      <c r="X13" s="313">
        <f t="shared" si="6"/>
        <v>189.2</v>
      </c>
      <c r="Y13" s="313">
        <f t="shared" si="7"/>
        <v>56.76</v>
      </c>
    </row>
    <row r="14" spans="1:25">
      <c r="A14" s="118">
        <f>'BD Team'!A19</f>
        <v>11</v>
      </c>
      <c r="B14" s="118" t="str">
        <f>'BD Team'!B19</f>
        <v>W11</v>
      </c>
      <c r="C14" s="118" t="str">
        <f>'BD Team'!C19</f>
        <v>M15000</v>
      </c>
      <c r="D14" s="118" t="str">
        <f>'BD Team'!D19</f>
        <v>FRENCH CASEMENT WINDOW WITH FIXED GLASS</v>
      </c>
      <c r="E14" s="118" t="str">
        <f>'BD Team'!F19</f>
        <v>NO</v>
      </c>
      <c r="F14" s="121" t="str">
        <f>'BD Team'!G19</f>
        <v>NA</v>
      </c>
      <c r="G14" s="118">
        <f>'BD Team'!H19</f>
        <v>1830</v>
      </c>
      <c r="H14" s="118">
        <f>'BD Team'!I19</f>
        <v>1220</v>
      </c>
      <c r="I14" s="118">
        <f>'BD Team'!J19</f>
        <v>2</v>
      </c>
      <c r="J14" s="103">
        <f t="shared" si="0"/>
        <v>48.063412799999995</v>
      </c>
      <c r="K14" s="172">
        <f>'BD Team'!K19</f>
        <v>223.97</v>
      </c>
      <c r="L14" s="171">
        <f t="shared" si="1"/>
        <v>447.94</v>
      </c>
      <c r="M14" s="170">
        <f>L14*'Changable Values'!$D$4</f>
        <v>37179.019999999997</v>
      </c>
      <c r="N14" s="170" t="str">
        <f>'BD Team'!E19</f>
        <v>8MM</v>
      </c>
      <c r="O14" s="172">
        <v>1322</v>
      </c>
      <c r="P14" s="241"/>
      <c r="Q14" s="173"/>
      <c r="R14" s="185"/>
      <c r="S14" s="312"/>
      <c r="T14" s="313">
        <f t="shared" si="2"/>
        <v>40.666666666666664</v>
      </c>
      <c r="U14" s="313">
        <f t="shared" si="3"/>
        <v>48.8</v>
      </c>
      <c r="V14" s="313">
        <f t="shared" si="4"/>
        <v>2.5416666666666665</v>
      </c>
      <c r="W14" s="313">
        <f t="shared" si="5"/>
        <v>40.666666666666664</v>
      </c>
      <c r="X14" s="313">
        <f t="shared" si="6"/>
        <v>81.333333333333329</v>
      </c>
      <c r="Y14" s="313">
        <f t="shared" si="7"/>
        <v>24.4</v>
      </c>
    </row>
    <row r="15" spans="1:25">
      <c r="A15" s="118">
        <f>'BD Team'!A20</f>
        <v>12</v>
      </c>
      <c r="B15" s="118" t="str">
        <f>'BD Team'!B20</f>
        <v>W12</v>
      </c>
      <c r="C15" s="118" t="str">
        <f>'BD Team'!C20</f>
        <v>M15000</v>
      </c>
      <c r="D15" s="118" t="str">
        <f>'BD Team'!D20</f>
        <v>FRENCH CASEMENT WINDOW WITH BOTTOM FIXED</v>
      </c>
      <c r="E15" s="118" t="str">
        <f>'BD Team'!F20</f>
        <v>NO</v>
      </c>
      <c r="F15" s="121" t="str">
        <f>'BD Team'!G20</f>
        <v>NA</v>
      </c>
      <c r="G15" s="118">
        <f>'BD Team'!H20</f>
        <v>1220</v>
      </c>
      <c r="H15" s="118">
        <f>'BD Team'!I20</f>
        <v>2135</v>
      </c>
      <c r="I15" s="118">
        <f>'BD Team'!J20</f>
        <v>1</v>
      </c>
      <c r="J15" s="103">
        <f t="shared" si="0"/>
        <v>28.036990799999998</v>
      </c>
      <c r="K15" s="172">
        <f>'BD Team'!K20</f>
        <v>219.68</v>
      </c>
      <c r="L15" s="171">
        <f t="shared" si="1"/>
        <v>219.68</v>
      </c>
      <c r="M15" s="170">
        <f>L15*'Changable Values'!$D$4</f>
        <v>18233.440000000002</v>
      </c>
      <c r="N15" s="170" t="str">
        <f>'BD Team'!E20</f>
        <v>8MM</v>
      </c>
      <c r="O15" s="172">
        <v>1322</v>
      </c>
      <c r="P15" s="241"/>
      <c r="Q15" s="173"/>
      <c r="R15" s="185"/>
      <c r="S15" s="312"/>
      <c r="T15" s="313">
        <f t="shared" si="2"/>
        <v>22.366666666666667</v>
      </c>
      <c r="U15" s="313">
        <f t="shared" si="3"/>
        <v>26.84</v>
      </c>
      <c r="V15" s="313">
        <f t="shared" si="4"/>
        <v>1.3979166666666667</v>
      </c>
      <c r="W15" s="313">
        <f t="shared" si="5"/>
        <v>22.366666666666667</v>
      </c>
      <c r="X15" s="313">
        <f t="shared" si="6"/>
        <v>44.733333333333334</v>
      </c>
      <c r="Y15" s="313">
        <f t="shared" si="7"/>
        <v>13.42</v>
      </c>
    </row>
    <row r="16" spans="1:25">
      <c r="A16" s="118">
        <f>'BD Team'!A21</f>
        <v>13</v>
      </c>
      <c r="B16" s="118" t="str">
        <f>'BD Team'!B21</f>
        <v>W13</v>
      </c>
      <c r="C16" s="118" t="str">
        <f>'BD Team'!C21</f>
        <v>M15000</v>
      </c>
      <c r="D16" s="118" t="str">
        <f>'BD Team'!D21</f>
        <v>FRENCH CASEMENT WINDOW</v>
      </c>
      <c r="E16" s="118" t="str">
        <f>'BD Team'!F21</f>
        <v>NO</v>
      </c>
      <c r="F16" s="121" t="str">
        <f>'BD Team'!G21</f>
        <v>NA</v>
      </c>
      <c r="G16" s="118">
        <f>'BD Team'!H21</f>
        <v>1220</v>
      </c>
      <c r="H16" s="118">
        <f>'BD Team'!I21</f>
        <v>1220</v>
      </c>
      <c r="I16" s="118">
        <f>'BD Team'!J21</f>
        <v>1</v>
      </c>
      <c r="J16" s="103">
        <f t="shared" si="0"/>
        <v>16.021137599999999</v>
      </c>
      <c r="K16" s="172">
        <f>'BD Team'!K21</f>
        <v>176.26</v>
      </c>
      <c r="L16" s="171">
        <f t="shared" si="1"/>
        <v>176.26</v>
      </c>
      <c r="M16" s="170">
        <f>L16*'Changable Values'!$D$4</f>
        <v>14629.58</v>
      </c>
      <c r="N16" s="170" t="str">
        <f>'BD Team'!E21</f>
        <v>8MM</v>
      </c>
      <c r="O16" s="172">
        <v>1322</v>
      </c>
      <c r="P16" s="241"/>
      <c r="Q16" s="173"/>
      <c r="R16" s="185"/>
      <c r="S16" s="312"/>
      <c r="T16" s="313">
        <f t="shared" si="2"/>
        <v>16.266666666666666</v>
      </c>
      <c r="U16" s="313">
        <f t="shared" si="3"/>
        <v>19.52</v>
      </c>
      <c r="V16" s="313">
        <f t="shared" si="4"/>
        <v>1.0166666666666666</v>
      </c>
      <c r="W16" s="313">
        <f t="shared" si="5"/>
        <v>16.266666666666666</v>
      </c>
      <c r="X16" s="313">
        <f t="shared" si="6"/>
        <v>32.533333333333331</v>
      </c>
      <c r="Y16" s="313">
        <f t="shared" si="7"/>
        <v>9.76</v>
      </c>
    </row>
    <row r="17" spans="1:25">
      <c r="A17" s="118">
        <f>'BD Team'!A22</f>
        <v>14</v>
      </c>
      <c r="B17" s="118" t="str">
        <f>'BD Team'!B22</f>
        <v>W14</v>
      </c>
      <c r="C17" s="118" t="str">
        <f>'BD Team'!C22</f>
        <v>M15000</v>
      </c>
      <c r="D17" s="118" t="str">
        <f>'BD Team'!D22</f>
        <v>SIDE HUNG WINDOW</v>
      </c>
      <c r="E17" s="118" t="str">
        <f>'BD Team'!F22</f>
        <v>NO</v>
      </c>
      <c r="F17" s="121" t="str">
        <f>'BD Team'!G22</f>
        <v>NA</v>
      </c>
      <c r="G17" s="118">
        <f>'BD Team'!H22</f>
        <v>915</v>
      </c>
      <c r="H17" s="118">
        <f>'BD Team'!I22</f>
        <v>1220</v>
      </c>
      <c r="I17" s="118">
        <f>'BD Team'!J22</f>
        <v>1</v>
      </c>
      <c r="J17" s="103">
        <f t="shared" si="0"/>
        <v>12.015853199999999</v>
      </c>
      <c r="K17" s="172">
        <f>'BD Team'!K22</f>
        <v>112.04</v>
      </c>
      <c r="L17" s="171">
        <f t="shared" si="1"/>
        <v>112.04</v>
      </c>
      <c r="M17" s="170">
        <f>L17*'Changable Values'!$D$4</f>
        <v>9299.32</v>
      </c>
      <c r="N17" s="170" t="str">
        <f>'BD Team'!E22</f>
        <v>8MM</v>
      </c>
      <c r="O17" s="172">
        <v>1322</v>
      </c>
      <c r="P17" s="241"/>
      <c r="Q17" s="173"/>
      <c r="R17" s="185"/>
      <c r="S17" s="312"/>
      <c r="T17" s="313">
        <f t="shared" si="2"/>
        <v>14.233333333333333</v>
      </c>
      <c r="U17" s="313">
        <f t="shared" si="3"/>
        <v>17.079999999999998</v>
      </c>
      <c r="V17" s="313">
        <f t="shared" si="4"/>
        <v>0.88958333333333328</v>
      </c>
      <c r="W17" s="313">
        <f t="shared" si="5"/>
        <v>14.233333333333333</v>
      </c>
      <c r="X17" s="313">
        <f t="shared" si="6"/>
        <v>28.466666666666665</v>
      </c>
      <c r="Y17" s="313">
        <f t="shared" si="7"/>
        <v>8.5399999999999991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2455.09</v>
      </c>
      <c r="L104" s="168">
        <f>SUM(L4:L103)</f>
        <v>10558.28</v>
      </c>
      <c r="M104" s="168">
        <f>SUM(M4:M103)</f>
        <v>876337.24</v>
      </c>
      <c r="T104" s="314">
        <f t="shared" ref="T104:Y104" si="16">SUM(T4:T103)</f>
        <v>1019.8666666666667</v>
      </c>
      <c r="U104" s="314">
        <f t="shared" si="16"/>
        <v>1223.8399999999997</v>
      </c>
      <c r="V104" s="314">
        <f t="shared" si="16"/>
        <v>63.741666666666667</v>
      </c>
      <c r="W104" s="314">
        <f t="shared" si="16"/>
        <v>1019.8666666666667</v>
      </c>
      <c r="X104" s="314">
        <f t="shared" si="16"/>
        <v>2039.7333333333333</v>
      </c>
      <c r="Y104" s="314">
        <f t="shared" si="16"/>
        <v>611.91999999999985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1322.2439999999999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FRENCH CASEMENT WINDOW</v>
      </c>
      <c r="D8" s="131" t="str">
        <f>Pricing!B4</f>
        <v>W1</v>
      </c>
      <c r="E8" s="132" t="str">
        <f>Pricing!N4</f>
        <v>8MM</v>
      </c>
      <c r="F8" s="68">
        <f>Pricing!G4</f>
        <v>1220</v>
      </c>
      <c r="G8" s="68">
        <f>Pricing!H4</f>
        <v>1525</v>
      </c>
      <c r="H8" s="100">
        <f t="shared" ref="H8:H57" si="0">(F8*G8)/1000000</f>
        <v>1.8605</v>
      </c>
      <c r="I8" s="70">
        <f>Pricing!I4</f>
        <v>20</v>
      </c>
      <c r="J8" s="69">
        <f t="shared" ref="J8" si="1">H8*I8</f>
        <v>37.21</v>
      </c>
      <c r="K8" s="71">
        <f t="shared" ref="K8" si="2">J8*10.764</f>
        <v>400.52843999999999</v>
      </c>
      <c r="L8" s="69"/>
      <c r="M8" s="72"/>
      <c r="N8" s="72"/>
      <c r="O8" s="72">
        <f t="shared" ref="O8:O35" si="3">N8*M8*L8/1000000</f>
        <v>0</v>
      </c>
      <c r="P8" s="73">
        <f>Pricing!M4</f>
        <v>332016.59999999998</v>
      </c>
      <c r="Q8" s="74">
        <f t="shared" ref="Q8:Q56" si="4">P8*$Q$6</f>
        <v>33201.659999999996</v>
      </c>
      <c r="R8" s="74">
        <f t="shared" ref="R8:R56" si="5">(P8+Q8)*$R$6</f>
        <v>40174.008599999994</v>
      </c>
      <c r="S8" s="74">
        <f t="shared" ref="S8:S56" si="6">(P8+Q8+R8)*$S$6</f>
        <v>2026.9613429999997</v>
      </c>
      <c r="T8" s="74">
        <f t="shared" ref="T8:T56" si="7">(P8+Q8+R8+S8)*$T$6</f>
        <v>4074.1922994299998</v>
      </c>
      <c r="U8" s="72">
        <f t="shared" ref="U8:U56" si="8">SUM(P8:T8)</f>
        <v>411493.42224242998</v>
      </c>
      <c r="V8" s="74">
        <f t="shared" ref="V8:V56" si="9">U8*$V$6</f>
        <v>6172.4013336364496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49191.62</v>
      </c>
      <c r="AE8" s="76">
        <f>((((F8+G8)*2)/305)*I8*$AE$7)</f>
        <v>9000</v>
      </c>
      <c r="AF8" s="346">
        <f>(((((F8*4)+(G8*4))/1000)*$AF$6*$AG$6)/300)*I8*$AF$7</f>
        <v>9223.1999999999989</v>
      </c>
      <c r="AG8" s="347"/>
      <c r="AH8" s="76">
        <f>(((F8+G8))*I8/1000)*8*$AH$7</f>
        <v>329.4</v>
      </c>
      <c r="AI8" s="76">
        <f t="shared" ref="AI8:AI57" si="15">(((F8+G8)*2*I8)/1000)*2*$AI$7</f>
        <v>1098</v>
      </c>
      <c r="AJ8" s="76">
        <f>J8*Pricing!Q4</f>
        <v>0</v>
      </c>
      <c r="AK8" s="76">
        <f>J8*Pricing!R4</f>
        <v>0</v>
      </c>
      <c r="AL8" s="76">
        <f t="shared" ref="AL8:AL39" si="16">J8*$AL$6</f>
        <v>40052.843999999997</v>
      </c>
      <c r="AM8" s="77">
        <f t="shared" ref="AM8:AM39" si="17">$AM$6*J8</f>
        <v>0</v>
      </c>
      <c r="AN8" s="76">
        <f t="shared" ref="AN8:AN39" si="18">$AN$6*J8</f>
        <v>32042.275199999996</v>
      </c>
      <c r="AO8" s="72">
        <f t="shared" ref="AO8:AO39" si="19">SUM(U8:V8)+SUM(AC8:AI8)-AD8</f>
        <v>437316.42357606639</v>
      </c>
      <c r="AP8" s="74">
        <f t="shared" ref="AP8:AP39" si="20">AO8*$AP$6</f>
        <v>546645.52947008295</v>
      </c>
      <c r="AQ8" s="74">
        <f t="shared" ref="AQ8:AQ56" si="21">(AO8+AP8)*$AQ$6</f>
        <v>0</v>
      </c>
      <c r="AR8" s="74">
        <f t="shared" ref="AR8:AR39" si="22">SUM(AO8:AQ8)/J8</f>
        <v>26443.481672833896</v>
      </c>
      <c r="AS8" s="72">
        <f t="shared" ref="AS8:AS39" si="23">SUM(AJ8:AQ8)+AD8+AB8</f>
        <v>1105248.6922461493</v>
      </c>
      <c r="AT8" s="72">
        <f t="shared" ref="AT8:AT39" si="24">AS8/J8</f>
        <v>29703.001672833896</v>
      </c>
      <c r="AU8" s="78">
        <f t="shared" ref="AU8:AU56" si="25">AT8/10.764</f>
        <v>2759.4761866252229</v>
      </c>
      <c r="AV8" s="79">
        <f t="shared" ref="AV8:AV39" si="26">K8/$K$109</f>
        <v>0.37580088713652043</v>
      </c>
      <c r="AW8" s="80">
        <f t="shared" ref="AW8:AW39" si="27">(U8+V8)/(J8*10.764)</f>
        <v>1042.7869331228176</v>
      </c>
      <c r="AX8" s="81">
        <f t="shared" ref="AX8:AX39" si="28">SUM(W8:AN8,AP8)/(J8*10.764)</f>
        <v>1716.6892535024053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FRENCH CASEMENT WINDOW</v>
      </c>
      <c r="D9" s="131" t="str">
        <f>Pricing!B5</f>
        <v>W2</v>
      </c>
      <c r="E9" s="132" t="str">
        <f>Pricing!N5</f>
        <v>8MM</v>
      </c>
      <c r="F9" s="68">
        <f>Pricing!G5</f>
        <v>1220</v>
      </c>
      <c r="G9" s="68">
        <f>Pricing!H5</f>
        <v>1525</v>
      </c>
      <c r="H9" s="100">
        <f t="shared" si="0"/>
        <v>1.8605</v>
      </c>
      <c r="I9" s="70">
        <f>Pricing!I5</f>
        <v>2</v>
      </c>
      <c r="J9" s="69">
        <f t="shared" ref="J9:J58" si="30">H9*I9</f>
        <v>3.7210000000000001</v>
      </c>
      <c r="K9" s="71">
        <f t="shared" ref="K9:K58" si="31">J9*10.764</f>
        <v>40.052844</v>
      </c>
      <c r="L9" s="69"/>
      <c r="M9" s="72"/>
      <c r="N9" s="72"/>
      <c r="O9" s="72">
        <f t="shared" si="3"/>
        <v>0</v>
      </c>
      <c r="P9" s="73">
        <f>Pricing!M5</f>
        <v>33201.659999999996</v>
      </c>
      <c r="Q9" s="74">
        <f t="shared" ref="Q9:Q14" si="32">P9*$Q$6</f>
        <v>3320.1659999999997</v>
      </c>
      <c r="R9" s="74">
        <f t="shared" ref="R9:R14" si="33">(P9+Q9)*$R$6</f>
        <v>4017.4008599999993</v>
      </c>
      <c r="S9" s="74">
        <f t="shared" ref="S9:S14" si="34">(P9+Q9+R9)*$S$6</f>
        <v>202.69613429999998</v>
      </c>
      <c r="T9" s="74">
        <f t="shared" ref="T9:T14" si="35">(P9+Q9+R9+S9)*$T$6</f>
        <v>407.41922994299995</v>
      </c>
      <c r="U9" s="72">
        <f t="shared" ref="U9:U14" si="36">SUM(P9:T9)</f>
        <v>41149.342224242995</v>
      </c>
      <c r="V9" s="74">
        <f t="shared" ref="V9:V14" si="37">U9*$V$6</f>
        <v>617.24013336364487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4919.1620000000003</v>
      </c>
      <c r="AE9" s="76">
        <f t="shared" ref="AE9:AE57" si="43">((((F9+G9)*2)/305)*I9*$AE$7)</f>
        <v>900</v>
      </c>
      <c r="AF9" s="346">
        <f t="shared" ref="AF9:AF57" si="44">(((((F9*4)+(G9*4))/1000)*$AF$6*$AG$6)/300)*I9*$AF$7</f>
        <v>922.31999999999994</v>
      </c>
      <c r="AG9" s="347"/>
      <c r="AH9" s="76">
        <f t="shared" ref="AH9:AH72" si="45">(((F9+G9))*I9/1000)*8*$AH$7</f>
        <v>32.94</v>
      </c>
      <c r="AI9" s="76">
        <f t="shared" si="15"/>
        <v>109.80000000000001</v>
      </c>
      <c r="AJ9" s="76">
        <f>J9*Pricing!Q5</f>
        <v>0</v>
      </c>
      <c r="AK9" s="76">
        <f>J9*Pricing!R5</f>
        <v>0</v>
      </c>
      <c r="AL9" s="76">
        <f t="shared" si="16"/>
        <v>4005.2843999999996</v>
      </c>
      <c r="AM9" s="77">
        <f t="shared" si="17"/>
        <v>0</v>
      </c>
      <c r="AN9" s="76">
        <f t="shared" si="18"/>
        <v>3204.2275199999995</v>
      </c>
      <c r="AO9" s="72">
        <f t="shared" si="19"/>
        <v>43731.642357606645</v>
      </c>
      <c r="AP9" s="74">
        <f t="shared" si="20"/>
        <v>54664.552947008306</v>
      </c>
      <c r="AQ9" s="74">
        <f t="shared" ref="AQ9:AQ14" si="46">(AO9+AP9)*$AQ$6</f>
        <v>0</v>
      </c>
      <c r="AR9" s="74">
        <f t="shared" si="22"/>
        <v>26443.481672833903</v>
      </c>
      <c r="AS9" s="72">
        <f t="shared" si="23"/>
        <v>110524.86922461494</v>
      </c>
      <c r="AT9" s="72">
        <f t="shared" si="24"/>
        <v>29703.0016728339</v>
      </c>
      <c r="AU9" s="78">
        <f t="shared" ref="AU9:AU14" si="47">AT9/10.764</f>
        <v>2759.4761866252229</v>
      </c>
      <c r="AV9" s="79">
        <f t="shared" si="26"/>
        <v>3.7580088713652045E-2</v>
      </c>
      <c r="AW9" s="80">
        <f t="shared" si="27"/>
        <v>1042.7869331228173</v>
      </c>
      <c r="AX9" s="81">
        <f t="shared" si="28"/>
        <v>1716.6892535024058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SIDE HUNG WINDOW</v>
      </c>
      <c r="D10" s="131" t="str">
        <f>Pricing!B6</f>
        <v>W3</v>
      </c>
      <c r="E10" s="132" t="str">
        <f>Pricing!N6</f>
        <v>8MM</v>
      </c>
      <c r="F10" s="68">
        <f>Pricing!G6</f>
        <v>690</v>
      </c>
      <c r="G10" s="68">
        <f>Pricing!H6</f>
        <v>1525</v>
      </c>
      <c r="H10" s="100">
        <f t="shared" si="0"/>
        <v>1.0522499999999999</v>
      </c>
      <c r="I10" s="70">
        <f>Pricing!I6</f>
        <v>2</v>
      </c>
      <c r="J10" s="69">
        <f t="shared" si="30"/>
        <v>2.1044999999999998</v>
      </c>
      <c r="K10" s="71">
        <f t="shared" si="31"/>
        <v>22.652837999999996</v>
      </c>
      <c r="L10" s="69"/>
      <c r="M10" s="72"/>
      <c r="N10" s="72"/>
      <c r="O10" s="72">
        <f t="shared" si="3"/>
        <v>0</v>
      </c>
      <c r="P10" s="73">
        <f>Pricing!M6</f>
        <v>19715.82</v>
      </c>
      <c r="Q10" s="74">
        <f t="shared" si="32"/>
        <v>1971.5820000000001</v>
      </c>
      <c r="R10" s="74">
        <f t="shared" si="33"/>
        <v>2385.6142199999999</v>
      </c>
      <c r="S10" s="74">
        <f t="shared" si="34"/>
        <v>120.3650811</v>
      </c>
      <c r="T10" s="74">
        <f t="shared" si="35"/>
        <v>241.93381301099998</v>
      </c>
      <c r="U10" s="72">
        <f t="shared" si="36"/>
        <v>24435.315114110999</v>
      </c>
      <c r="V10" s="74">
        <f t="shared" si="37"/>
        <v>366.52972671166498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2782.1489999999999</v>
      </c>
      <c r="AE10" s="76">
        <f t="shared" si="43"/>
        <v>726.22950819672133</v>
      </c>
      <c r="AF10" s="346">
        <f t="shared" si="44"/>
        <v>744.2399999999999</v>
      </c>
      <c r="AG10" s="347"/>
      <c r="AH10" s="76">
        <f t="shared" si="45"/>
        <v>26.58</v>
      </c>
      <c r="AI10" s="76">
        <f t="shared" si="15"/>
        <v>88.6</v>
      </c>
      <c r="AJ10" s="76">
        <f>J10*Pricing!Q6</f>
        <v>0</v>
      </c>
      <c r="AK10" s="76">
        <f>J10*Pricing!R6</f>
        <v>0</v>
      </c>
      <c r="AL10" s="76">
        <f t="shared" si="16"/>
        <v>2265.2837999999997</v>
      </c>
      <c r="AM10" s="77">
        <f t="shared" si="17"/>
        <v>0</v>
      </c>
      <c r="AN10" s="76">
        <f t="shared" si="18"/>
        <v>1812.2270399999995</v>
      </c>
      <c r="AO10" s="72">
        <f t="shared" si="19"/>
        <v>26387.494349019387</v>
      </c>
      <c r="AP10" s="74">
        <f t="shared" si="20"/>
        <v>32984.367936274233</v>
      </c>
      <c r="AQ10" s="74">
        <f t="shared" si="46"/>
        <v>0</v>
      </c>
      <c r="AR10" s="74">
        <f t="shared" si="22"/>
        <v>28211.861385266635</v>
      </c>
      <c r="AS10" s="72">
        <f t="shared" si="23"/>
        <v>66231.522125293617</v>
      </c>
      <c r="AT10" s="72">
        <f t="shared" si="24"/>
        <v>31471.381385266632</v>
      </c>
      <c r="AU10" s="78">
        <f t="shared" si="47"/>
        <v>2923.7626705004304</v>
      </c>
      <c r="AV10" s="79">
        <f t="shared" si="26"/>
        <v>2.1254312469196644E-2</v>
      </c>
      <c r="AW10" s="80">
        <f t="shared" si="27"/>
        <v>1094.8670025725992</v>
      </c>
      <c r="AX10" s="81">
        <f t="shared" si="28"/>
        <v>1828.8956679278315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FRENCH CASEMENT WINDOW WITH FIXED GLASS</v>
      </c>
      <c r="D11" s="131" t="str">
        <f>Pricing!B7</f>
        <v>W4</v>
      </c>
      <c r="E11" s="132" t="str">
        <f>Pricing!N7</f>
        <v>8MM</v>
      </c>
      <c r="F11" s="68">
        <f>Pricing!G7</f>
        <v>1830</v>
      </c>
      <c r="G11" s="68">
        <f>Pricing!H7</f>
        <v>1525</v>
      </c>
      <c r="H11" s="100">
        <f t="shared" si="0"/>
        <v>2.7907500000000001</v>
      </c>
      <c r="I11" s="70">
        <f>Pricing!I7</f>
        <v>2</v>
      </c>
      <c r="J11" s="69">
        <f t="shared" si="30"/>
        <v>5.5815000000000001</v>
      </c>
      <c r="K11" s="71">
        <f t="shared" si="31"/>
        <v>60.079265999999997</v>
      </c>
      <c r="L11" s="69"/>
      <c r="M11" s="72"/>
      <c r="N11" s="72"/>
      <c r="O11" s="72">
        <f t="shared" si="3"/>
        <v>0</v>
      </c>
      <c r="P11" s="73">
        <f>Pricing!M7</f>
        <v>41999.659999999996</v>
      </c>
      <c r="Q11" s="74">
        <f t="shared" si="32"/>
        <v>4199.9659999999994</v>
      </c>
      <c r="R11" s="74">
        <f t="shared" si="33"/>
        <v>5081.9588599999997</v>
      </c>
      <c r="S11" s="74">
        <f t="shared" si="34"/>
        <v>256.40792429999999</v>
      </c>
      <c r="T11" s="74">
        <f t="shared" si="35"/>
        <v>515.37992784300002</v>
      </c>
      <c r="U11" s="72">
        <f t="shared" si="36"/>
        <v>52053.372712142998</v>
      </c>
      <c r="V11" s="74">
        <f t="shared" si="37"/>
        <v>780.80059068214496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7378.7430000000004</v>
      </c>
      <c r="AE11" s="76">
        <f t="shared" si="43"/>
        <v>1100</v>
      </c>
      <c r="AF11" s="346">
        <f t="shared" si="44"/>
        <v>1127.28</v>
      </c>
      <c r="AG11" s="347"/>
      <c r="AH11" s="76">
        <f t="shared" si="45"/>
        <v>40.26</v>
      </c>
      <c r="AI11" s="76">
        <f t="shared" si="15"/>
        <v>134.19999999999999</v>
      </c>
      <c r="AJ11" s="76">
        <f>J11*Pricing!Q7</f>
        <v>0</v>
      </c>
      <c r="AK11" s="76">
        <f>J11*Pricing!R7</f>
        <v>0</v>
      </c>
      <c r="AL11" s="76">
        <f t="shared" si="16"/>
        <v>6007.9265999999998</v>
      </c>
      <c r="AM11" s="77">
        <f t="shared" si="17"/>
        <v>0</v>
      </c>
      <c r="AN11" s="76">
        <f t="shared" si="18"/>
        <v>4806.3412799999996</v>
      </c>
      <c r="AO11" s="72">
        <f t="shared" si="19"/>
        <v>55235.913302825138</v>
      </c>
      <c r="AP11" s="74">
        <f t="shared" si="20"/>
        <v>69044.891628531419</v>
      </c>
      <c r="AQ11" s="74">
        <f t="shared" si="46"/>
        <v>0</v>
      </c>
      <c r="AR11" s="74">
        <f t="shared" si="22"/>
        <v>22266.560052200402</v>
      </c>
      <c r="AS11" s="72">
        <f t="shared" si="23"/>
        <v>142473.81581135656</v>
      </c>
      <c r="AT11" s="72">
        <f t="shared" si="24"/>
        <v>25526.080052200403</v>
      </c>
      <c r="AU11" s="78">
        <f t="shared" si="47"/>
        <v>2371.4306997584918</v>
      </c>
      <c r="AV11" s="79">
        <f t="shared" si="26"/>
        <v>5.6370133070478064E-2</v>
      </c>
      <c r="AW11" s="80">
        <f t="shared" si="27"/>
        <v>879.40776944287472</v>
      </c>
      <c r="AX11" s="81">
        <f t="shared" si="28"/>
        <v>1492.0229303156173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FRENCH CASEMENT WINDOW</v>
      </c>
      <c r="D12" s="131" t="str">
        <f>Pricing!B8</f>
        <v>W5</v>
      </c>
      <c r="E12" s="132" t="str">
        <f>Pricing!N8</f>
        <v>8MM</v>
      </c>
      <c r="F12" s="68">
        <f>Pricing!G8</f>
        <v>1220</v>
      </c>
      <c r="G12" s="68">
        <f>Pricing!H8</f>
        <v>1220</v>
      </c>
      <c r="H12" s="100">
        <f t="shared" si="0"/>
        <v>1.4883999999999999</v>
      </c>
      <c r="I12" s="70">
        <f>Pricing!I8</f>
        <v>4</v>
      </c>
      <c r="J12" s="69">
        <f t="shared" si="30"/>
        <v>5.9535999999999998</v>
      </c>
      <c r="K12" s="71">
        <f t="shared" si="31"/>
        <v>64.084550399999998</v>
      </c>
      <c r="L12" s="69"/>
      <c r="M12" s="72"/>
      <c r="N12" s="72"/>
      <c r="O12" s="72">
        <f t="shared" si="3"/>
        <v>0</v>
      </c>
      <c r="P12" s="73">
        <f>Pricing!M8</f>
        <v>58518.32</v>
      </c>
      <c r="Q12" s="74">
        <f t="shared" si="32"/>
        <v>5851.8320000000003</v>
      </c>
      <c r="R12" s="74">
        <f t="shared" si="33"/>
        <v>7080.7167200000004</v>
      </c>
      <c r="S12" s="74">
        <f t="shared" si="34"/>
        <v>357.25434360000003</v>
      </c>
      <c r="T12" s="74">
        <f t="shared" si="35"/>
        <v>718.08123063599999</v>
      </c>
      <c r="U12" s="72">
        <f t="shared" si="36"/>
        <v>72526.204294235999</v>
      </c>
      <c r="V12" s="74">
        <f t="shared" si="37"/>
        <v>1087.8930644135398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7870.6592000000001</v>
      </c>
      <c r="AE12" s="76">
        <f t="shared" si="43"/>
        <v>1600</v>
      </c>
      <c r="AF12" s="346">
        <f t="shared" si="44"/>
        <v>1639.68</v>
      </c>
      <c r="AG12" s="347"/>
      <c r="AH12" s="76">
        <f t="shared" si="45"/>
        <v>58.56</v>
      </c>
      <c r="AI12" s="76">
        <f t="shared" si="15"/>
        <v>195.2</v>
      </c>
      <c r="AJ12" s="76">
        <f>J12*Pricing!Q8</f>
        <v>0</v>
      </c>
      <c r="AK12" s="76">
        <f>J12*Pricing!R8</f>
        <v>0</v>
      </c>
      <c r="AL12" s="76">
        <f t="shared" si="16"/>
        <v>6408.4550399999989</v>
      </c>
      <c r="AM12" s="77">
        <f t="shared" si="17"/>
        <v>0</v>
      </c>
      <c r="AN12" s="76">
        <f t="shared" si="18"/>
        <v>5126.7640319999991</v>
      </c>
      <c r="AO12" s="72">
        <f t="shared" si="19"/>
        <v>77107.537358649541</v>
      </c>
      <c r="AP12" s="74">
        <f t="shared" si="20"/>
        <v>96384.421698311926</v>
      </c>
      <c r="AQ12" s="74">
        <f t="shared" si="46"/>
        <v>0</v>
      </c>
      <c r="AR12" s="74">
        <f t="shared" si="22"/>
        <v>29140.681110078185</v>
      </c>
      <c r="AS12" s="72">
        <f t="shared" si="23"/>
        <v>192897.83732896147</v>
      </c>
      <c r="AT12" s="72">
        <f t="shared" si="24"/>
        <v>32400.201110078186</v>
      </c>
      <c r="AU12" s="78">
        <f t="shared" si="47"/>
        <v>3010.0521283981966</v>
      </c>
      <c r="AV12" s="79">
        <f t="shared" si="26"/>
        <v>6.0128141941843273E-2</v>
      </c>
      <c r="AW12" s="80">
        <f t="shared" si="27"/>
        <v>1148.7027200654206</v>
      </c>
      <c r="AX12" s="81">
        <f t="shared" si="28"/>
        <v>1861.3494083327755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W6</v>
      </c>
      <c r="E13" s="132" t="str">
        <f>Pricing!N9</f>
        <v>8MM</v>
      </c>
      <c r="F13" s="68">
        <f>Pricing!G9</f>
        <v>610</v>
      </c>
      <c r="G13" s="68">
        <f>Pricing!H9</f>
        <v>915</v>
      </c>
      <c r="H13" s="100">
        <f t="shared" si="0"/>
        <v>0.55815000000000003</v>
      </c>
      <c r="I13" s="70">
        <f>Pricing!I9</f>
        <v>18</v>
      </c>
      <c r="J13" s="69">
        <f t="shared" si="30"/>
        <v>10.046700000000001</v>
      </c>
      <c r="K13" s="71">
        <f t="shared" si="31"/>
        <v>108.14267880000001</v>
      </c>
      <c r="L13" s="69"/>
      <c r="M13" s="72"/>
      <c r="N13" s="72"/>
      <c r="O13" s="72">
        <f t="shared" si="3"/>
        <v>0</v>
      </c>
      <c r="P13" s="73">
        <f>Pricing!M9</f>
        <v>142258.68</v>
      </c>
      <c r="Q13" s="74">
        <f t="shared" si="32"/>
        <v>14225.868</v>
      </c>
      <c r="R13" s="74">
        <f t="shared" si="33"/>
        <v>17213.300279999999</v>
      </c>
      <c r="S13" s="74">
        <f t="shared" si="34"/>
        <v>868.48924139999986</v>
      </c>
      <c r="T13" s="74">
        <f t="shared" si="35"/>
        <v>1745.6633752139999</v>
      </c>
      <c r="U13" s="72">
        <f t="shared" si="36"/>
        <v>176312.00089661399</v>
      </c>
      <c r="V13" s="74">
        <f t="shared" si="37"/>
        <v>2644.6800134492096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13281.737400000002</v>
      </c>
      <c r="AE13" s="76">
        <f t="shared" si="43"/>
        <v>4500</v>
      </c>
      <c r="AF13" s="346">
        <f t="shared" si="44"/>
        <v>4611.5999999999995</v>
      </c>
      <c r="AG13" s="347"/>
      <c r="AH13" s="76">
        <f t="shared" si="45"/>
        <v>164.7</v>
      </c>
      <c r="AI13" s="76">
        <f t="shared" si="15"/>
        <v>549</v>
      </c>
      <c r="AJ13" s="76">
        <f>J13*Pricing!Q9</f>
        <v>0</v>
      </c>
      <c r="AK13" s="76">
        <f>J13*Pricing!R9</f>
        <v>0</v>
      </c>
      <c r="AL13" s="76">
        <f t="shared" si="16"/>
        <v>10814.267879999999</v>
      </c>
      <c r="AM13" s="77">
        <f t="shared" si="17"/>
        <v>0</v>
      </c>
      <c r="AN13" s="76">
        <f t="shared" si="18"/>
        <v>8651.4143039999999</v>
      </c>
      <c r="AO13" s="72">
        <f t="shared" si="19"/>
        <v>188781.9809100632</v>
      </c>
      <c r="AP13" s="74">
        <f t="shared" si="20"/>
        <v>235977.47613757901</v>
      </c>
      <c r="AQ13" s="74">
        <f t="shared" si="46"/>
        <v>0</v>
      </c>
      <c r="AR13" s="74">
        <f t="shared" si="22"/>
        <v>42278.505086012534</v>
      </c>
      <c r="AS13" s="72">
        <f t="shared" si="23"/>
        <v>457506.87663164223</v>
      </c>
      <c r="AT13" s="72">
        <f t="shared" si="24"/>
        <v>45538.025086012538</v>
      </c>
      <c r="AU13" s="78">
        <f t="shared" si="47"/>
        <v>4230.5857567830308</v>
      </c>
      <c r="AV13" s="79">
        <f t="shared" si="26"/>
        <v>0.10146623952686054</v>
      </c>
      <c r="AW13" s="80">
        <f t="shared" si="27"/>
        <v>1654.8201218598183</v>
      </c>
      <c r="AX13" s="81">
        <f t="shared" si="28"/>
        <v>2575.765634923212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W7</v>
      </c>
      <c r="E14" s="132" t="str">
        <f>Pricing!N10</f>
        <v>8MM</v>
      </c>
      <c r="F14" s="68">
        <f>Pricing!G10</f>
        <v>610</v>
      </c>
      <c r="G14" s="68">
        <f>Pricing!H10</f>
        <v>610</v>
      </c>
      <c r="H14" s="100">
        <f t="shared" si="0"/>
        <v>0.37209999999999999</v>
      </c>
      <c r="I14" s="70">
        <f>Pricing!I10</f>
        <v>3</v>
      </c>
      <c r="J14" s="69">
        <f t="shared" si="30"/>
        <v>1.1162999999999998</v>
      </c>
      <c r="K14" s="71">
        <f t="shared" si="31"/>
        <v>12.015853199999997</v>
      </c>
      <c r="L14" s="69"/>
      <c r="M14" s="72"/>
      <c r="N14" s="72"/>
      <c r="O14" s="72">
        <f t="shared" si="3"/>
        <v>0</v>
      </c>
      <c r="P14" s="73">
        <f>Pricing!M10</f>
        <v>21777.54</v>
      </c>
      <c r="Q14" s="74">
        <f t="shared" si="32"/>
        <v>2177.7540000000004</v>
      </c>
      <c r="R14" s="74">
        <f t="shared" si="33"/>
        <v>2635.0823400000004</v>
      </c>
      <c r="S14" s="74">
        <f t="shared" si="34"/>
        <v>132.9518817</v>
      </c>
      <c r="T14" s="74">
        <f t="shared" si="35"/>
        <v>267.23328221700001</v>
      </c>
      <c r="U14" s="72">
        <f t="shared" si="36"/>
        <v>26990.561503917001</v>
      </c>
      <c r="V14" s="74">
        <f t="shared" si="37"/>
        <v>404.85842255875497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1475.7485999999999</v>
      </c>
      <c r="AE14" s="76">
        <f t="shared" si="43"/>
        <v>600</v>
      </c>
      <c r="AF14" s="346">
        <f t="shared" si="44"/>
        <v>614.88</v>
      </c>
      <c r="AG14" s="347"/>
      <c r="AH14" s="76">
        <f t="shared" si="45"/>
        <v>21.96</v>
      </c>
      <c r="AI14" s="76">
        <f t="shared" si="15"/>
        <v>73.2</v>
      </c>
      <c r="AJ14" s="76">
        <f>J14*Pricing!Q10</f>
        <v>0</v>
      </c>
      <c r="AK14" s="76">
        <f>J14*Pricing!R10</f>
        <v>0</v>
      </c>
      <c r="AL14" s="76">
        <f t="shared" si="16"/>
        <v>1201.5853199999997</v>
      </c>
      <c r="AM14" s="77">
        <f t="shared" si="17"/>
        <v>0</v>
      </c>
      <c r="AN14" s="76">
        <f t="shared" si="18"/>
        <v>961.26825599999972</v>
      </c>
      <c r="AO14" s="72">
        <f t="shared" si="19"/>
        <v>28705.459926475756</v>
      </c>
      <c r="AP14" s="74">
        <f t="shared" si="20"/>
        <v>35881.824908094699</v>
      </c>
      <c r="AQ14" s="74">
        <f t="shared" si="46"/>
        <v>0</v>
      </c>
      <c r="AR14" s="74">
        <f t="shared" si="22"/>
        <v>57858.357820093581</v>
      </c>
      <c r="AS14" s="72">
        <f t="shared" si="23"/>
        <v>68225.887010570455</v>
      </c>
      <c r="AT14" s="72">
        <f t="shared" si="24"/>
        <v>61117.877820093585</v>
      </c>
      <c r="AU14" s="78">
        <f t="shared" si="47"/>
        <v>5677.9893924278695</v>
      </c>
      <c r="AV14" s="79">
        <f t="shared" si="26"/>
        <v>1.1274026614095611E-2</v>
      </c>
      <c r="AW14" s="80">
        <f t="shared" si="27"/>
        <v>2279.9396322914267</v>
      </c>
      <c r="AX14" s="81">
        <f t="shared" si="28"/>
        <v>3398.0497601364432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</v>
      </c>
      <c r="D15" s="131" t="str">
        <f>Pricing!B11</f>
        <v>W8</v>
      </c>
      <c r="E15" s="132" t="str">
        <f>Pricing!N11</f>
        <v>8MM</v>
      </c>
      <c r="F15" s="68">
        <f>Pricing!G11</f>
        <v>915</v>
      </c>
      <c r="G15" s="68">
        <f>Pricing!H11</f>
        <v>460</v>
      </c>
      <c r="H15" s="100">
        <f t="shared" si="0"/>
        <v>0.4209</v>
      </c>
      <c r="I15" s="70">
        <f>Pricing!I11</f>
        <v>3</v>
      </c>
      <c r="J15" s="69">
        <f t="shared" si="30"/>
        <v>1.2626999999999999</v>
      </c>
      <c r="K15" s="71">
        <f t="shared" si="31"/>
        <v>13.591702799999998</v>
      </c>
      <c r="L15" s="69"/>
      <c r="M15" s="72"/>
      <c r="N15" s="72"/>
      <c r="O15" s="72">
        <f t="shared" si="3"/>
        <v>0</v>
      </c>
      <c r="P15" s="73">
        <f>Pricing!M11</f>
        <v>6088.0499999999993</v>
      </c>
      <c r="Q15" s="74">
        <f t="shared" si="4"/>
        <v>608.80499999999995</v>
      </c>
      <c r="R15" s="74">
        <f t="shared" si="5"/>
        <v>736.65404999999998</v>
      </c>
      <c r="S15" s="74">
        <f t="shared" si="6"/>
        <v>37.167545249999996</v>
      </c>
      <c r="T15" s="74">
        <f t="shared" si="7"/>
        <v>74.706765952500007</v>
      </c>
      <c r="U15" s="72">
        <f t="shared" si="8"/>
        <v>7545.3833612025001</v>
      </c>
      <c r="V15" s="74">
        <f t="shared" si="9"/>
        <v>113.18075041803749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1669.2893999999999</v>
      </c>
      <c r="AE15" s="76">
        <f t="shared" si="43"/>
        <v>676.22950819672133</v>
      </c>
      <c r="AF15" s="346">
        <f t="shared" si="44"/>
        <v>693</v>
      </c>
      <c r="AG15" s="347"/>
      <c r="AH15" s="76">
        <f t="shared" si="45"/>
        <v>24.75</v>
      </c>
      <c r="AI15" s="76">
        <f t="shared" ref="AI15:AI20" si="49">(((F15+G15)*2*I15)/1000)*2*$AI$7</f>
        <v>82.5</v>
      </c>
      <c r="AJ15" s="76">
        <f>J15*Pricing!Q11</f>
        <v>0</v>
      </c>
      <c r="AK15" s="76">
        <f>J15*Pricing!R11</f>
        <v>0</v>
      </c>
      <c r="AL15" s="76">
        <f t="shared" si="16"/>
        <v>1359.1702799999998</v>
      </c>
      <c r="AM15" s="77">
        <f t="shared" si="17"/>
        <v>0</v>
      </c>
      <c r="AN15" s="76">
        <f t="shared" si="18"/>
        <v>1087.3362239999999</v>
      </c>
      <c r="AO15" s="72">
        <f t="shared" si="19"/>
        <v>9135.0436198172592</v>
      </c>
      <c r="AP15" s="74">
        <f t="shared" si="20"/>
        <v>11418.804524771575</v>
      </c>
      <c r="AQ15" s="74">
        <f t="shared" si="21"/>
        <v>0</v>
      </c>
      <c r="AR15" s="74">
        <f t="shared" si="22"/>
        <v>16277.697113002956</v>
      </c>
      <c r="AS15" s="72">
        <f t="shared" si="23"/>
        <v>24669.644048588834</v>
      </c>
      <c r="AT15" s="72">
        <f t="shared" si="24"/>
        <v>19537.21711300296</v>
      </c>
      <c r="AU15" s="78">
        <f t="shared" si="25"/>
        <v>1815.0517570608474</v>
      </c>
      <c r="AV15" s="79">
        <f t="shared" si="26"/>
        <v>1.2752587481517988E-2</v>
      </c>
      <c r="AW15" s="80">
        <f t="shared" si="27"/>
        <v>563.47348263239974</v>
      </c>
      <c r="AX15" s="81">
        <f t="shared" si="28"/>
        <v>1251.5782744284472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FRENCH CASEMENT WINDOW</v>
      </c>
      <c r="D16" s="131" t="str">
        <f>Pricing!B12</f>
        <v>W9</v>
      </c>
      <c r="E16" s="132" t="str">
        <f>Pricing!N12</f>
        <v>8MM</v>
      </c>
      <c r="F16" s="68">
        <f>Pricing!G12</f>
        <v>1220</v>
      </c>
      <c r="G16" s="68">
        <f>Pricing!H12</f>
        <v>1525</v>
      </c>
      <c r="H16" s="100">
        <f t="shared" si="0"/>
        <v>1.8605</v>
      </c>
      <c r="I16" s="70">
        <f>Pricing!I12</f>
        <v>3</v>
      </c>
      <c r="J16" s="69">
        <f t="shared" si="30"/>
        <v>5.5815000000000001</v>
      </c>
      <c r="K16" s="71">
        <f t="shared" si="31"/>
        <v>60.079265999999997</v>
      </c>
      <c r="L16" s="69"/>
      <c r="M16" s="72"/>
      <c r="N16" s="72"/>
      <c r="O16" s="72">
        <f t="shared" si="3"/>
        <v>0</v>
      </c>
      <c r="P16" s="73">
        <f>Pricing!M12</f>
        <v>49802.49</v>
      </c>
      <c r="Q16" s="74">
        <f t="shared" si="4"/>
        <v>4980.2489999999998</v>
      </c>
      <c r="R16" s="74">
        <f t="shared" si="5"/>
        <v>6026.1012900000005</v>
      </c>
      <c r="S16" s="74">
        <f t="shared" si="6"/>
        <v>304.04420145</v>
      </c>
      <c r="T16" s="74">
        <f t="shared" si="7"/>
        <v>611.12884491450006</v>
      </c>
      <c r="U16" s="72">
        <f t="shared" si="8"/>
        <v>61724.0133363645</v>
      </c>
      <c r="V16" s="74">
        <f t="shared" si="9"/>
        <v>925.86020004546742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7378.7430000000004</v>
      </c>
      <c r="AE16" s="76">
        <f t="shared" si="43"/>
        <v>1350</v>
      </c>
      <c r="AF16" s="346">
        <f t="shared" si="44"/>
        <v>1383.48</v>
      </c>
      <c r="AG16" s="347"/>
      <c r="AH16" s="76">
        <f t="shared" si="45"/>
        <v>49.41</v>
      </c>
      <c r="AI16" s="76">
        <f t="shared" si="49"/>
        <v>164.7</v>
      </c>
      <c r="AJ16" s="76">
        <f>J16*Pricing!Q12</f>
        <v>0</v>
      </c>
      <c r="AK16" s="76">
        <f>J16*Pricing!R12</f>
        <v>0</v>
      </c>
      <c r="AL16" s="76">
        <f t="shared" si="16"/>
        <v>6007.9265999999998</v>
      </c>
      <c r="AM16" s="77">
        <f t="shared" si="17"/>
        <v>0</v>
      </c>
      <c r="AN16" s="76">
        <f t="shared" si="18"/>
        <v>4806.3412799999996</v>
      </c>
      <c r="AO16" s="72">
        <f t="shared" si="19"/>
        <v>65597.463536409967</v>
      </c>
      <c r="AP16" s="74">
        <f t="shared" si="20"/>
        <v>81996.829420512455</v>
      </c>
      <c r="AQ16" s="74">
        <f t="shared" si="21"/>
        <v>0</v>
      </c>
      <c r="AR16" s="74">
        <f t="shared" si="22"/>
        <v>26443.481672833903</v>
      </c>
      <c r="AS16" s="72">
        <f t="shared" si="23"/>
        <v>165787.30383692242</v>
      </c>
      <c r="AT16" s="72">
        <f t="shared" si="24"/>
        <v>29703.0016728339</v>
      </c>
      <c r="AU16" s="78">
        <f t="shared" si="25"/>
        <v>2759.4761866252229</v>
      </c>
      <c r="AV16" s="79">
        <f t="shared" si="26"/>
        <v>5.6370133070478064E-2</v>
      </c>
      <c r="AW16" s="80">
        <f t="shared" si="27"/>
        <v>1042.7869331228176</v>
      </c>
      <c r="AX16" s="81">
        <f t="shared" si="28"/>
        <v>1716.6892535024056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SIDE HUNG WINDOWS WITH 4 FIXED GLASS</v>
      </c>
      <c r="D17" s="131" t="str">
        <f>Pricing!B13</f>
        <v>W10</v>
      </c>
      <c r="E17" s="132" t="str">
        <f>Pricing!N13</f>
        <v>8MM</v>
      </c>
      <c r="F17" s="68">
        <f>Pricing!G13</f>
        <v>2440</v>
      </c>
      <c r="G17" s="68">
        <f>Pricing!H13</f>
        <v>2290</v>
      </c>
      <c r="H17" s="100">
        <f t="shared" si="0"/>
        <v>5.5876000000000001</v>
      </c>
      <c r="I17" s="70">
        <f>Pricing!I13</f>
        <v>3</v>
      </c>
      <c r="J17" s="69">
        <f t="shared" si="30"/>
        <v>16.762799999999999</v>
      </c>
      <c r="K17" s="71">
        <f t="shared" si="31"/>
        <v>180.43477919999998</v>
      </c>
      <c r="L17" s="69"/>
      <c r="M17" s="72"/>
      <c r="N17" s="72"/>
      <c r="O17" s="72">
        <f t="shared" si="3"/>
        <v>0</v>
      </c>
      <c r="P17" s="73">
        <f>Pricing!M13</f>
        <v>91617.06</v>
      </c>
      <c r="Q17" s="74">
        <f t="shared" si="4"/>
        <v>9161.7060000000001</v>
      </c>
      <c r="R17" s="74">
        <f t="shared" si="5"/>
        <v>11085.66426</v>
      </c>
      <c r="S17" s="74">
        <f t="shared" si="6"/>
        <v>559.32215130000009</v>
      </c>
      <c r="T17" s="74">
        <f t="shared" si="7"/>
        <v>1124.2375241130001</v>
      </c>
      <c r="U17" s="72">
        <f t="shared" si="8"/>
        <v>113547.98993541302</v>
      </c>
      <c r="V17" s="74">
        <f t="shared" si="9"/>
        <v>1703.2198490311953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22160.421599999998</v>
      </c>
      <c r="AE17" s="76">
        <f t="shared" si="43"/>
        <v>2326.2295081967213</v>
      </c>
      <c r="AF17" s="346">
        <f t="shared" si="44"/>
        <v>2383.9200000000005</v>
      </c>
      <c r="AG17" s="347"/>
      <c r="AH17" s="76">
        <f t="shared" si="45"/>
        <v>85.14</v>
      </c>
      <c r="AI17" s="76">
        <f t="shared" si="49"/>
        <v>283.8</v>
      </c>
      <c r="AJ17" s="76">
        <f>J17*Pricing!Q13</f>
        <v>0</v>
      </c>
      <c r="AK17" s="76">
        <f>J17*Pricing!R13</f>
        <v>0</v>
      </c>
      <c r="AL17" s="76">
        <f t="shared" si="16"/>
        <v>18043.477919999998</v>
      </c>
      <c r="AM17" s="77">
        <f t="shared" si="17"/>
        <v>0</v>
      </c>
      <c r="AN17" s="76">
        <f t="shared" si="18"/>
        <v>14434.782335999997</v>
      </c>
      <c r="AO17" s="72">
        <f t="shared" si="19"/>
        <v>120330.29929264094</v>
      </c>
      <c r="AP17" s="74">
        <f t="shared" si="20"/>
        <v>150412.87411580118</v>
      </c>
      <c r="AQ17" s="74">
        <f t="shared" si="21"/>
        <v>0</v>
      </c>
      <c r="AR17" s="74">
        <f t="shared" si="22"/>
        <v>16151.428962252257</v>
      </c>
      <c r="AS17" s="72">
        <f t="shared" si="23"/>
        <v>325381.8552644421</v>
      </c>
      <c r="AT17" s="72">
        <f t="shared" si="24"/>
        <v>19410.948962252256</v>
      </c>
      <c r="AU17" s="78">
        <f t="shared" si="25"/>
        <v>1803.3211596295296</v>
      </c>
      <c r="AV17" s="79">
        <f t="shared" si="26"/>
        <v>0.16929521931986199</v>
      </c>
      <c r="AW17" s="80">
        <f t="shared" si="27"/>
        <v>638.74165665531643</v>
      </c>
      <c r="AX17" s="81">
        <f t="shared" si="28"/>
        <v>1164.5795029742135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FRENCH CASEMENT WINDOW WITH FIXED GLASS</v>
      </c>
      <c r="D18" s="131" t="str">
        <f>Pricing!B14</f>
        <v>W11</v>
      </c>
      <c r="E18" s="132" t="str">
        <f>Pricing!N14</f>
        <v>8MM</v>
      </c>
      <c r="F18" s="68">
        <f>Pricing!G14</f>
        <v>1830</v>
      </c>
      <c r="G18" s="68">
        <f>Pricing!H14</f>
        <v>1220</v>
      </c>
      <c r="H18" s="100">
        <f t="shared" si="0"/>
        <v>2.2326000000000001</v>
      </c>
      <c r="I18" s="70">
        <f>Pricing!I14</f>
        <v>2</v>
      </c>
      <c r="J18" s="69">
        <f t="shared" si="30"/>
        <v>4.4652000000000003</v>
      </c>
      <c r="K18" s="71">
        <f t="shared" si="31"/>
        <v>48.063412800000002</v>
      </c>
      <c r="L18" s="69"/>
      <c r="M18" s="72"/>
      <c r="N18" s="72"/>
      <c r="O18" s="72">
        <f t="shared" si="3"/>
        <v>0</v>
      </c>
      <c r="P18" s="73">
        <f>Pricing!M14</f>
        <v>37179.019999999997</v>
      </c>
      <c r="Q18" s="74">
        <f t="shared" si="4"/>
        <v>3717.902</v>
      </c>
      <c r="R18" s="74">
        <f t="shared" si="5"/>
        <v>4498.6614199999995</v>
      </c>
      <c r="S18" s="74">
        <f t="shared" si="6"/>
        <v>226.97791709999998</v>
      </c>
      <c r="T18" s="74">
        <f t="shared" si="7"/>
        <v>456.22561337099995</v>
      </c>
      <c r="U18" s="72">
        <f t="shared" si="8"/>
        <v>46078.786950470996</v>
      </c>
      <c r="V18" s="74">
        <f t="shared" si="9"/>
        <v>691.18180425706487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5902.9944000000005</v>
      </c>
      <c r="AE18" s="76">
        <f t="shared" si="43"/>
        <v>1000</v>
      </c>
      <c r="AF18" s="346">
        <f t="shared" si="44"/>
        <v>1024.7999999999997</v>
      </c>
      <c r="AG18" s="347"/>
      <c r="AH18" s="76">
        <f t="shared" si="45"/>
        <v>36.599999999999994</v>
      </c>
      <c r="AI18" s="76">
        <f t="shared" si="49"/>
        <v>122</v>
      </c>
      <c r="AJ18" s="76">
        <f>J18*Pricing!Q14</f>
        <v>0</v>
      </c>
      <c r="AK18" s="76">
        <f>J18*Pricing!R14</f>
        <v>0</v>
      </c>
      <c r="AL18" s="76">
        <f t="shared" si="16"/>
        <v>4806.3412799999996</v>
      </c>
      <c r="AM18" s="77">
        <f t="shared" si="17"/>
        <v>0</v>
      </c>
      <c r="AN18" s="76">
        <f t="shared" si="18"/>
        <v>3845.0730239999998</v>
      </c>
      <c r="AO18" s="72">
        <f t="shared" si="19"/>
        <v>48953.368754728064</v>
      </c>
      <c r="AP18" s="74">
        <f t="shared" si="20"/>
        <v>61191.710943410078</v>
      </c>
      <c r="AQ18" s="74">
        <f t="shared" si="21"/>
        <v>0</v>
      </c>
      <c r="AR18" s="74">
        <f t="shared" si="22"/>
        <v>24667.445959450448</v>
      </c>
      <c r="AS18" s="72">
        <f t="shared" si="23"/>
        <v>124699.48840213814</v>
      </c>
      <c r="AT18" s="72">
        <f t="shared" si="24"/>
        <v>27926.965959450448</v>
      </c>
      <c r="AU18" s="78">
        <f t="shared" si="25"/>
        <v>2594.4784429069537</v>
      </c>
      <c r="AV18" s="79">
        <f t="shared" si="26"/>
        <v>4.5096106456382457E-2</v>
      </c>
      <c r="AW18" s="80">
        <f t="shared" si="27"/>
        <v>973.08880144125055</v>
      </c>
      <c r="AX18" s="81">
        <f t="shared" si="28"/>
        <v>1621.3896414657029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FRENCH CASEMENT WINDOW WITH BOTTOM FIXED</v>
      </c>
      <c r="D19" s="131" t="str">
        <f>Pricing!B15</f>
        <v>W12</v>
      </c>
      <c r="E19" s="132" t="str">
        <f>Pricing!N15</f>
        <v>8MM</v>
      </c>
      <c r="F19" s="68">
        <f>Pricing!G15</f>
        <v>1220</v>
      </c>
      <c r="G19" s="68">
        <f>Pricing!H15</f>
        <v>2135</v>
      </c>
      <c r="H19" s="100">
        <f t="shared" si="0"/>
        <v>2.6046999999999998</v>
      </c>
      <c r="I19" s="70">
        <f>Pricing!I15</f>
        <v>1</v>
      </c>
      <c r="J19" s="69">
        <f t="shared" si="30"/>
        <v>2.6046999999999998</v>
      </c>
      <c r="K19" s="71">
        <f t="shared" si="31"/>
        <v>28.036990799999995</v>
      </c>
      <c r="L19" s="69"/>
      <c r="M19" s="72"/>
      <c r="N19" s="72"/>
      <c r="O19" s="72">
        <f t="shared" si="3"/>
        <v>0</v>
      </c>
      <c r="P19" s="73">
        <f>Pricing!M15</f>
        <v>18233.440000000002</v>
      </c>
      <c r="Q19" s="74">
        <f t="shared" si="4"/>
        <v>1823.3440000000003</v>
      </c>
      <c r="R19" s="74">
        <f t="shared" si="5"/>
        <v>2206.2462400000004</v>
      </c>
      <c r="S19" s="74">
        <f t="shared" si="6"/>
        <v>111.31515120000002</v>
      </c>
      <c r="T19" s="74">
        <f t="shared" si="7"/>
        <v>223.74345391200004</v>
      </c>
      <c r="U19" s="72">
        <f t="shared" si="8"/>
        <v>22598.088845112004</v>
      </c>
      <c r="V19" s="74">
        <f t="shared" si="9"/>
        <v>338.97133267668005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3443.4133999999999</v>
      </c>
      <c r="AE19" s="76">
        <f t="shared" si="43"/>
        <v>550</v>
      </c>
      <c r="AF19" s="346">
        <f t="shared" si="44"/>
        <v>563.64</v>
      </c>
      <c r="AG19" s="347"/>
      <c r="AH19" s="76">
        <f t="shared" si="45"/>
        <v>20.13</v>
      </c>
      <c r="AI19" s="76">
        <f t="shared" si="49"/>
        <v>67.099999999999994</v>
      </c>
      <c r="AJ19" s="76">
        <f>J19*Pricing!Q15</f>
        <v>0</v>
      </c>
      <c r="AK19" s="76">
        <f>J19*Pricing!R15</f>
        <v>0</v>
      </c>
      <c r="AL19" s="76">
        <f t="shared" si="16"/>
        <v>2803.6990799999994</v>
      </c>
      <c r="AM19" s="77">
        <f t="shared" si="17"/>
        <v>0</v>
      </c>
      <c r="AN19" s="76">
        <f t="shared" si="18"/>
        <v>2242.9592639999996</v>
      </c>
      <c r="AO19" s="72">
        <f t="shared" si="19"/>
        <v>24137.930177788683</v>
      </c>
      <c r="AP19" s="74">
        <f t="shared" si="20"/>
        <v>30172.412722235855</v>
      </c>
      <c r="AQ19" s="74">
        <f t="shared" si="21"/>
        <v>0</v>
      </c>
      <c r="AR19" s="74">
        <f t="shared" si="22"/>
        <v>20850.90140900086</v>
      </c>
      <c r="AS19" s="72">
        <f t="shared" si="23"/>
        <v>62800.414644024531</v>
      </c>
      <c r="AT19" s="72">
        <f t="shared" si="24"/>
        <v>24110.421409000857</v>
      </c>
      <c r="AU19" s="78">
        <f t="shared" si="25"/>
        <v>2239.9128027685674</v>
      </c>
      <c r="AV19" s="79">
        <f t="shared" si="26"/>
        <v>2.6306062099556427E-2</v>
      </c>
      <c r="AW19" s="80">
        <f t="shared" si="27"/>
        <v>818.09992881934704</v>
      </c>
      <c r="AX19" s="81">
        <f t="shared" si="28"/>
        <v>1421.8128739492208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FRENCH CASEMENT WINDOW</v>
      </c>
      <c r="D20" s="131" t="str">
        <f>Pricing!B16</f>
        <v>W13</v>
      </c>
      <c r="E20" s="132" t="str">
        <f>Pricing!N16</f>
        <v>8MM</v>
      </c>
      <c r="F20" s="68">
        <f>Pricing!G16</f>
        <v>1220</v>
      </c>
      <c r="G20" s="68">
        <f>Pricing!H16</f>
        <v>1220</v>
      </c>
      <c r="H20" s="100">
        <f t="shared" si="0"/>
        <v>1.4883999999999999</v>
      </c>
      <c r="I20" s="70">
        <f>Pricing!I16</f>
        <v>1</v>
      </c>
      <c r="J20" s="69">
        <f t="shared" si="30"/>
        <v>1.4883999999999999</v>
      </c>
      <c r="K20" s="71">
        <f t="shared" si="31"/>
        <v>16.021137599999999</v>
      </c>
      <c r="L20" s="69"/>
      <c r="M20" s="72"/>
      <c r="N20" s="72"/>
      <c r="O20" s="72">
        <f t="shared" si="3"/>
        <v>0</v>
      </c>
      <c r="P20" s="73">
        <f>Pricing!M16</f>
        <v>14629.58</v>
      </c>
      <c r="Q20" s="74">
        <f t="shared" si="4"/>
        <v>1462.9580000000001</v>
      </c>
      <c r="R20" s="74">
        <f t="shared" si="5"/>
        <v>1770.1791800000001</v>
      </c>
      <c r="S20" s="74">
        <f t="shared" si="6"/>
        <v>89.313585900000007</v>
      </c>
      <c r="T20" s="74">
        <f t="shared" si="7"/>
        <v>179.520307659</v>
      </c>
      <c r="U20" s="72">
        <f t="shared" si="8"/>
        <v>18131.551073559</v>
      </c>
      <c r="V20" s="74">
        <f t="shared" si="9"/>
        <v>271.97326610338496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1967.6648</v>
      </c>
      <c r="AE20" s="76">
        <f t="shared" si="43"/>
        <v>400</v>
      </c>
      <c r="AF20" s="346">
        <f t="shared" si="44"/>
        <v>409.92</v>
      </c>
      <c r="AG20" s="347"/>
      <c r="AH20" s="76">
        <f t="shared" si="45"/>
        <v>14.64</v>
      </c>
      <c r="AI20" s="76">
        <f t="shared" si="49"/>
        <v>48.8</v>
      </c>
      <c r="AJ20" s="76">
        <f>J20*Pricing!Q16</f>
        <v>0</v>
      </c>
      <c r="AK20" s="76">
        <f>J20*Pricing!R16</f>
        <v>0</v>
      </c>
      <c r="AL20" s="76">
        <f t="shared" si="16"/>
        <v>1602.1137599999997</v>
      </c>
      <c r="AM20" s="77">
        <f t="shared" si="17"/>
        <v>0</v>
      </c>
      <c r="AN20" s="76">
        <f t="shared" si="18"/>
        <v>1281.6910079999998</v>
      </c>
      <c r="AO20" s="72">
        <f t="shared" si="19"/>
        <v>19276.884339662385</v>
      </c>
      <c r="AP20" s="74">
        <f t="shared" si="20"/>
        <v>24096.105424577981</v>
      </c>
      <c r="AQ20" s="74">
        <f t="shared" si="21"/>
        <v>0</v>
      </c>
      <c r="AR20" s="74">
        <f t="shared" si="22"/>
        <v>29140.681110078185</v>
      </c>
      <c r="AS20" s="72">
        <f t="shared" si="23"/>
        <v>48224.459332240367</v>
      </c>
      <c r="AT20" s="72">
        <f t="shared" si="24"/>
        <v>32400.201110078186</v>
      </c>
      <c r="AU20" s="78">
        <f t="shared" si="25"/>
        <v>3010.0521283981966</v>
      </c>
      <c r="AV20" s="79">
        <f t="shared" si="26"/>
        <v>1.5032035485460818E-2</v>
      </c>
      <c r="AW20" s="80">
        <f t="shared" si="27"/>
        <v>1148.7027200654206</v>
      </c>
      <c r="AX20" s="81">
        <f t="shared" si="28"/>
        <v>1861.3494083327755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WINDOW</v>
      </c>
      <c r="D21" s="131" t="str">
        <f>Pricing!B17</f>
        <v>W14</v>
      </c>
      <c r="E21" s="132" t="str">
        <f>Pricing!N17</f>
        <v>8MM</v>
      </c>
      <c r="F21" s="68">
        <f>Pricing!G17</f>
        <v>915</v>
      </c>
      <c r="G21" s="68">
        <f>Pricing!H17</f>
        <v>1220</v>
      </c>
      <c r="H21" s="100">
        <f t="shared" si="0"/>
        <v>1.1163000000000001</v>
      </c>
      <c r="I21" s="70">
        <f>Pricing!I17</f>
        <v>1</v>
      </c>
      <c r="J21" s="69">
        <f t="shared" si="30"/>
        <v>1.1163000000000001</v>
      </c>
      <c r="K21" s="71">
        <f t="shared" si="31"/>
        <v>12.0158532</v>
      </c>
      <c r="L21" s="69"/>
      <c r="M21" s="72"/>
      <c r="N21" s="72"/>
      <c r="O21" s="72">
        <f t="shared" si="3"/>
        <v>0</v>
      </c>
      <c r="P21" s="73">
        <f>Pricing!M17</f>
        <v>9299.32</v>
      </c>
      <c r="Q21" s="74">
        <f t="shared" ref="Q21:Q26" si="50">P21*$Q$6</f>
        <v>929.93200000000002</v>
      </c>
      <c r="R21" s="74">
        <f t="shared" ref="R21:R26" si="51">(P21+Q21)*$R$6</f>
        <v>1125.2177200000001</v>
      </c>
      <c r="S21" s="74">
        <f t="shared" ref="S21:S26" si="52">(P21+Q21+R21)*$S$6</f>
        <v>56.772348600000008</v>
      </c>
      <c r="T21" s="74">
        <f t="shared" ref="T21:T26" si="53">(P21+Q21+R21+S21)*$T$6</f>
        <v>114.11242068600001</v>
      </c>
      <c r="U21" s="72">
        <f t="shared" ref="U21:U26" si="54">SUM(P21:T21)</f>
        <v>11525.354489286001</v>
      </c>
      <c r="V21" s="74">
        <f t="shared" ref="V21:V26" si="55">U21*$V$6</f>
        <v>172.88031733929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1475.7486000000001</v>
      </c>
      <c r="AE21" s="76">
        <f t="shared" si="43"/>
        <v>350</v>
      </c>
      <c r="AF21" s="346">
        <f t="shared" si="44"/>
        <v>358.67999999999989</v>
      </c>
      <c r="AG21" s="347"/>
      <c r="AH21" s="76">
        <f t="shared" si="45"/>
        <v>12.809999999999999</v>
      </c>
      <c r="AI21" s="76">
        <f t="shared" si="15"/>
        <v>42.699999999999996</v>
      </c>
      <c r="AJ21" s="76">
        <f>J21*Pricing!Q17</f>
        <v>0</v>
      </c>
      <c r="AK21" s="76">
        <f>J21*Pricing!R17</f>
        <v>0</v>
      </c>
      <c r="AL21" s="76">
        <f t="shared" si="16"/>
        <v>1201.5853199999999</v>
      </c>
      <c r="AM21" s="77">
        <f t="shared" si="17"/>
        <v>0</v>
      </c>
      <c r="AN21" s="76">
        <f t="shared" si="18"/>
        <v>961.26825599999995</v>
      </c>
      <c r="AO21" s="72">
        <f t="shared" si="19"/>
        <v>12462.424806625289</v>
      </c>
      <c r="AP21" s="74">
        <f t="shared" si="20"/>
        <v>15578.031008281612</v>
      </c>
      <c r="AQ21" s="74">
        <f t="shared" ref="AQ21:AQ26" si="61">(AO21+AP21)*$AQ$6</f>
        <v>0</v>
      </c>
      <c r="AR21" s="74">
        <f t="shared" si="22"/>
        <v>25119.104017653768</v>
      </c>
      <c r="AS21" s="72">
        <f t="shared" si="23"/>
        <v>31679.057990906898</v>
      </c>
      <c r="AT21" s="72">
        <f t="shared" si="24"/>
        <v>28378.624017653765</v>
      </c>
      <c r="AU21" s="78">
        <f t="shared" ref="AU21:AU26" si="62">AT21/10.764</f>
        <v>2636.4385003394432</v>
      </c>
      <c r="AV21" s="79">
        <f t="shared" si="26"/>
        <v>1.1274026614095614E-2</v>
      </c>
      <c r="AW21" s="80">
        <f t="shared" si="27"/>
        <v>973.56672155625949</v>
      </c>
      <c r="AX21" s="81">
        <f t="shared" si="28"/>
        <v>1662.8717787831838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25.29365</v>
      </c>
      <c r="I109" s="87">
        <f>SUM(I8:I108)</f>
        <v>65</v>
      </c>
      <c r="J109" s="88">
        <f>SUM(J8:J108)</f>
        <v>99.015199999999979</v>
      </c>
      <c r="K109" s="89">
        <f>SUM(K8:K108)</f>
        <v>1065.7996128</v>
      </c>
      <c r="L109" s="88">
        <f>SUM(L8:L8)</f>
        <v>0</v>
      </c>
      <c r="M109" s="88"/>
      <c r="N109" s="88"/>
      <c r="O109" s="88"/>
      <c r="P109" s="87">
        <f>SUM(P8:P108)</f>
        <v>876337.24</v>
      </c>
      <c r="Q109" s="88">
        <f t="shared" ref="Q109:AE109" si="156">SUM(Q8:Q108)</f>
        <v>87633.724000000002</v>
      </c>
      <c r="R109" s="88">
        <f t="shared" si="156"/>
        <v>106036.80604000001</v>
      </c>
      <c r="S109" s="88">
        <f t="shared" si="156"/>
        <v>5350.0388502000005</v>
      </c>
      <c r="T109" s="88">
        <f t="shared" si="156"/>
        <v>10753.578088902001</v>
      </c>
      <c r="U109" s="88">
        <f t="shared" si="156"/>
        <v>1086111.3869791022</v>
      </c>
      <c r="V109" s="88">
        <f t="shared" si="156"/>
        <v>16291.670804686526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130898.09440000002</v>
      </c>
      <c r="AE109" s="88">
        <f t="shared" si="156"/>
        <v>25078.688524590161</v>
      </c>
      <c r="AF109" s="407">
        <f>SUM(AF8:AG108)</f>
        <v>25700.639999999999</v>
      </c>
      <c r="AG109" s="408"/>
      <c r="AH109" s="88">
        <f t="shared" ref="AH109:AQ109" si="157">SUM(AH8:AH108)</f>
        <v>917.87999999999988</v>
      </c>
      <c r="AI109" s="88">
        <f t="shared" si="157"/>
        <v>3059.6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106579.96128</v>
      </c>
      <c r="AM109" s="88">
        <f t="shared" si="157"/>
        <v>0</v>
      </c>
      <c r="AN109" s="88">
        <f t="shared" si="157"/>
        <v>85263.969023999991</v>
      </c>
      <c r="AO109" s="88">
        <f t="shared" si="157"/>
        <v>1157159.8663083788</v>
      </c>
      <c r="AP109" s="88">
        <f t="shared" si="157"/>
        <v>1446449.8328854735</v>
      </c>
      <c r="AQ109" s="88">
        <f t="shared" si="157"/>
        <v>0</v>
      </c>
      <c r="AR109" s="88"/>
      <c r="AS109" s="87">
        <f>SUM(AS8:AS108)</f>
        <v>2926351.7238978515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25700.639999999999</v>
      </c>
      <c r="AW110" s="84"/>
    </row>
    <row r="111" spans="2:54">
      <c r="AF111" s="174"/>
      <c r="AG111" s="174"/>
      <c r="AH111" s="174">
        <f>SUM(AE109:AI109,AC109)</f>
        <v>54756.80852459016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5" sqref="O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7.140625" style="122" customWidth="1"/>
    <col min="6" max="6" width="72.5703125" style="122" customWidth="1"/>
    <col min="7" max="7" width="18.7109375" style="122" customWidth="1"/>
    <col min="8" max="8" width="19.425781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ABPL-DE-19.20-2151-OP-1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Eterna PS Group Reality Limited</v>
      </c>
      <c r="G7" s="458"/>
      <c r="H7" s="458"/>
      <c r="I7" s="458"/>
      <c r="J7" s="459"/>
      <c r="K7" s="435" t="s">
        <v>104</v>
      </c>
      <c r="L7" s="427"/>
      <c r="M7" s="432">
        <f>'BD Team'!J3</f>
        <v>43686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Chennai</v>
      </c>
      <c r="G8" s="460" t="s">
        <v>180</v>
      </c>
      <c r="H8" s="461"/>
      <c r="I8" s="458" t="str">
        <f>'BD Team'!G3</f>
        <v>1.7Kpa</v>
      </c>
      <c r="J8" s="459"/>
      <c r="K8" s="435" t="s">
        <v>105</v>
      </c>
      <c r="L8" s="427"/>
      <c r="M8" s="178" t="s">
        <v>365</v>
      </c>
      <c r="N8" s="179">
        <v>43686</v>
      </c>
    </row>
    <row r="9" spans="2:15" ht="24.95" customHeight="1">
      <c r="B9" s="426" t="s">
        <v>169</v>
      </c>
      <c r="C9" s="427"/>
      <c r="D9" s="427"/>
      <c r="E9" s="427"/>
      <c r="F9" s="458" t="str">
        <f>'BD Team'!E4</f>
        <v>Mr. Raju Savasi : 9840355091</v>
      </c>
      <c r="G9" s="458"/>
      <c r="H9" s="458"/>
      <c r="I9" s="458"/>
      <c r="J9" s="459"/>
      <c r="K9" s="435" t="s">
        <v>179</v>
      </c>
      <c r="L9" s="427"/>
      <c r="M9" s="447" t="str">
        <f>'BD Team'!J4</f>
        <v>Bal Kumari</v>
      </c>
      <c r="N9" s="448"/>
    </row>
    <row r="10" spans="2:15" ht="27.75" customHeight="1" thickBot="1">
      <c r="B10" s="428" t="s">
        <v>177</v>
      </c>
      <c r="C10" s="429"/>
      <c r="D10" s="429"/>
      <c r="E10" s="429"/>
      <c r="F10" s="217" t="str">
        <f>'BD Team'!E5</f>
        <v>Powder Coating</v>
      </c>
      <c r="G10" s="440" t="s">
        <v>178</v>
      </c>
      <c r="H10" s="441"/>
      <c r="I10" s="438" t="str">
        <f>'BD Team'!G5</f>
        <v>White</v>
      </c>
      <c r="J10" s="439"/>
      <c r="K10" s="436" t="s">
        <v>374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170</v>
      </c>
      <c r="C13" s="463"/>
      <c r="D13" s="434" t="s">
        <v>171</v>
      </c>
      <c r="E13" s="434" t="s">
        <v>172</v>
      </c>
      <c r="F13" s="434" t="s">
        <v>37</v>
      </c>
      <c r="G13" s="416" t="s">
        <v>63</v>
      </c>
      <c r="H13" s="416" t="s">
        <v>210</v>
      </c>
      <c r="I13" s="416" t="s">
        <v>209</v>
      </c>
      <c r="J13" s="464" t="s">
        <v>173</v>
      </c>
      <c r="K13" s="464" t="s">
        <v>174</v>
      </c>
      <c r="L13" s="463" t="s">
        <v>211</v>
      </c>
      <c r="M13" s="464" t="s">
        <v>175</v>
      </c>
      <c r="N13" s="465" t="s">
        <v>176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M15000</v>
      </c>
      <c r="F16" s="187" t="str">
        <f>Pricing!D4</f>
        <v>FRENCH CASEMENT WINDOW</v>
      </c>
      <c r="G16" s="187" t="str">
        <f>Pricing!N4</f>
        <v>8MM</v>
      </c>
      <c r="H16" s="187" t="str">
        <f>Pricing!F4</f>
        <v>NA</v>
      </c>
      <c r="I16" s="216" t="str">
        <f>Pricing!E4</f>
        <v>NO</v>
      </c>
      <c r="J16" s="216">
        <f>Pricing!G4</f>
        <v>1220</v>
      </c>
      <c r="K16" s="216">
        <f>Pricing!H4</f>
        <v>1525</v>
      </c>
      <c r="L16" s="216">
        <f>Pricing!I4</f>
        <v>20</v>
      </c>
      <c r="M16" s="188">
        <f t="shared" ref="M16:M24" si="0">J16*K16*L16/1000000</f>
        <v>37.21</v>
      </c>
      <c r="N16" s="189">
        <f>'Cost Calculation'!AS8</f>
        <v>1105248.6922461493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M15000</v>
      </c>
      <c r="F17" s="187" t="str">
        <f>Pricing!D5</f>
        <v>FRENCH CASEMENT WINDOW</v>
      </c>
      <c r="G17" s="187" t="str">
        <f>Pricing!N5</f>
        <v>8MM</v>
      </c>
      <c r="H17" s="187" t="str">
        <f>Pricing!F5</f>
        <v>NA</v>
      </c>
      <c r="I17" s="216" t="str">
        <f>Pricing!E5</f>
        <v>NO</v>
      </c>
      <c r="J17" s="216">
        <f>Pricing!G5</f>
        <v>1220</v>
      </c>
      <c r="K17" s="216">
        <f>Pricing!H5</f>
        <v>1525</v>
      </c>
      <c r="L17" s="216">
        <f>Pricing!I5</f>
        <v>2</v>
      </c>
      <c r="M17" s="188">
        <f t="shared" si="0"/>
        <v>3.7210000000000001</v>
      </c>
      <c r="N17" s="189">
        <f>'Cost Calculation'!AS9</f>
        <v>110524.86922461494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W3</v>
      </c>
      <c r="E18" s="187" t="str">
        <f>Pricing!C6</f>
        <v>M15000</v>
      </c>
      <c r="F18" s="187" t="str">
        <f>Pricing!D6</f>
        <v>SIDE HUNG WINDOW</v>
      </c>
      <c r="G18" s="187" t="str">
        <f>Pricing!N6</f>
        <v>8MM</v>
      </c>
      <c r="H18" s="187" t="str">
        <f>Pricing!F6</f>
        <v>NA</v>
      </c>
      <c r="I18" s="216" t="str">
        <f>Pricing!E6</f>
        <v>NO</v>
      </c>
      <c r="J18" s="216">
        <f>Pricing!G6</f>
        <v>690</v>
      </c>
      <c r="K18" s="216">
        <f>Pricing!H6</f>
        <v>1525</v>
      </c>
      <c r="L18" s="216">
        <f>Pricing!I6</f>
        <v>2</v>
      </c>
      <c r="M18" s="188">
        <f t="shared" si="0"/>
        <v>2.1044999999999998</v>
      </c>
      <c r="N18" s="189">
        <f>'Cost Calculation'!AS10</f>
        <v>66231.522125293617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W4</v>
      </c>
      <c r="E19" s="187" t="str">
        <f>Pricing!C7</f>
        <v>M15000</v>
      </c>
      <c r="F19" s="187" t="str">
        <f>Pricing!D7</f>
        <v>FRENCH CASEMENT WINDOW WITH FIXED GLASS</v>
      </c>
      <c r="G19" s="187" t="str">
        <f>Pricing!N7</f>
        <v>8MM</v>
      </c>
      <c r="H19" s="187" t="str">
        <f>Pricing!F7</f>
        <v>NA</v>
      </c>
      <c r="I19" s="216" t="str">
        <f>Pricing!E7</f>
        <v>NO</v>
      </c>
      <c r="J19" s="216">
        <f>Pricing!G7</f>
        <v>1830</v>
      </c>
      <c r="K19" s="216">
        <f>Pricing!H7</f>
        <v>1525</v>
      </c>
      <c r="L19" s="216">
        <f>Pricing!I7</f>
        <v>2</v>
      </c>
      <c r="M19" s="188">
        <f t="shared" si="0"/>
        <v>5.5815000000000001</v>
      </c>
      <c r="N19" s="189">
        <f>'Cost Calculation'!AS11</f>
        <v>142473.81581135656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W5</v>
      </c>
      <c r="E20" s="187" t="str">
        <f>Pricing!C8</f>
        <v>M15000</v>
      </c>
      <c r="F20" s="187" t="str">
        <f>Pricing!D8</f>
        <v>FRENCH CASEMENT WINDOW</v>
      </c>
      <c r="G20" s="187" t="str">
        <f>Pricing!N8</f>
        <v>8MM</v>
      </c>
      <c r="H20" s="187" t="str">
        <f>Pricing!F8</f>
        <v>NA</v>
      </c>
      <c r="I20" s="216" t="str">
        <f>Pricing!E8</f>
        <v>NO</v>
      </c>
      <c r="J20" s="216">
        <f>Pricing!G8</f>
        <v>1220</v>
      </c>
      <c r="K20" s="216">
        <f>Pricing!H8</f>
        <v>1220</v>
      </c>
      <c r="L20" s="216">
        <f>Pricing!I8</f>
        <v>4</v>
      </c>
      <c r="M20" s="188">
        <f t="shared" si="0"/>
        <v>5.9535999999999998</v>
      </c>
      <c r="N20" s="189">
        <f>'Cost Calculation'!AS12</f>
        <v>192897.83732896147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W6</v>
      </c>
      <c r="E21" s="187" t="str">
        <f>Pricing!C9</f>
        <v>M15000</v>
      </c>
      <c r="F21" s="187" t="str">
        <f>Pricing!D9</f>
        <v>SIDE HUNG WINDOW</v>
      </c>
      <c r="G21" s="187" t="str">
        <f>Pricing!N9</f>
        <v>8MM</v>
      </c>
      <c r="H21" s="187" t="str">
        <f>Pricing!F9</f>
        <v>NA</v>
      </c>
      <c r="I21" s="216" t="str">
        <f>Pricing!E9</f>
        <v>NO</v>
      </c>
      <c r="J21" s="216">
        <f>Pricing!G9</f>
        <v>610</v>
      </c>
      <c r="K21" s="216">
        <f>Pricing!H9</f>
        <v>915</v>
      </c>
      <c r="L21" s="216">
        <f>Pricing!I9</f>
        <v>18</v>
      </c>
      <c r="M21" s="188">
        <f t="shared" si="0"/>
        <v>10.0467</v>
      </c>
      <c r="N21" s="189">
        <f>'Cost Calculation'!AS13</f>
        <v>457506.87663164223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W7</v>
      </c>
      <c r="E22" s="187" t="str">
        <f>Pricing!C10</f>
        <v>M15000</v>
      </c>
      <c r="F22" s="187" t="str">
        <f>Pricing!D10</f>
        <v>SIDE HUNG WINDOW</v>
      </c>
      <c r="G22" s="187" t="str">
        <f>Pricing!N10</f>
        <v>8MM</v>
      </c>
      <c r="H22" s="187" t="str">
        <f>Pricing!F10</f>
        <v>NA</v>
      </c>
      <c r="I22" s="216" t="str">
        <f>Pricing!E10</f>
        <v>NO</v>
      </c>
      <c r="J22" s="216">
        <f>Pricing!G10</f>
        <v>610</v>
      </c>
      <c r="K22" s="216">
        <f>Pricing!H10</f>
        <v>610</v>
      </c>
      <c r="L22" s="216">
        <f>Pricing!I10</f>
        <v>3</v>
      </c>
      <c r="M22" s="188">
        <f t="shared" si="0"/>
        <v>1.1163000000000001</v>
      </c>
      <c r="N22" s="189">
        <f>'Cost Calculation'!AS14</f>
        <v>68225.887010570455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W8</v>
      </c>
      <c r="E23" s="187" t="str">
        <f>Pricing!C11</f>
        <v>M15000</v>
      </c>
      <c r="F23" s="187" t="str">
        <f>Pricing!D11</f>
        <v>FIXED GLASS</v>
      </c>
      <c r="G23" s="187" t="str">
        <f>Pricing!N11</f>
        <v>8MM</v>
      </c>
      <c r="H23" s="187" t="str">
        <f>Pricing!F11</f>
        <v>NA</v>
      </c>
      <c r="I23" s="216" t="str">
        <f>Pricing!E11</f>
        <v>NO</v>
      </c>
      <c r="J23" s="216">
        <f>Pricing!G11</f>
        <v>915</v>
      </c>
      <c r="K23" s="216">
        <f>Pricing!H11</f>
        <v>460</v>
      </c>
      <c r="L23" s="216">
        <f>Pricing!I11</f>
        <v>3</v>
      </c>
      <c r="M23" s="188">
        <f t="shared" si="0"/>
        <v>1.2626999999999999</v>
      </c>
      <c r="N23" s="189">
        <f>'Cost Calculation'!AS15</f>
        <v>24669.644048588834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W9</v>
      </c>
      <c r="E24" s="187" t="str">
        <f>Pricing!C12</f>
        <v>M15000</v>
      </c>
      <c r="F24" s="187" t="str">
        <f>Pricing!D12</f>
        <v>FRENCH CASEMENT WINDOW</v>
      </c>
      <c r="G24" s="187" t="str">
        <f>Pricing!N12</f>
        <v>8MM</v>
      </c>
      <c r="H24" s="187" t="str">
        <f>Pricing!F12</f>
        <v>NA</v>
      </c>
      <c r="I24" s="216" t="str">
        <f>Pricing!E12</f>
        <v>NO</v>
      </c>
      <c r="J24" s="216">
        <f>Pricing!G12</f>
        <v>1220</v>
      </c>
      <c r="K24" s="216">
        <f>Pricing!H12</f>
        <v>1525</v>
      </c>
      <c r="L24" s="216">
        <f>Pricing!I12</f>
        <v>3</v>
      </c>
      <c r="M24" s="188">
        <f t="shared" si="0"/>
        <v>5.5815000000000001</v>
      </c>
      <c r="N24" s="189">
        <f>'Cost Calculation'!AS16</f>
        <v>165787.30383692242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W10</v>
      </c>
      <c r="E25" s="187" t="str">
        <f>Pricing!C13</f>
        <v>M15000</v>
      </c>
      <c r="F25" s="187" t="str">
        <f>Pricing!D13</f>
        <v>2 SIDE HUNG WINDOWS WITH 4 FIXED GLASS</v>
      </c>
      <c r="G25" s="187" t="str">
        <f>Pricing!N13</f>
        <v>8MM</v>
      </c>
      <c r="H25" s="187" t="str">
        <f>Pricing!F13</f>
        <v>NA</v>
      </c>
      <c r="I25" s="216" t="str">
        <f>Pricing!E13</f>
        <v>NO</v>
      </c>
      <c r="J25" s="216">
        <f>Pricing!G13</f>
        <v>2440</v>
      </c>
      <c r="K25" s="216">
        <f>Pricing!H13</f>
        <v>2290</v>
      </c>
      <c r="L25" s="216">
        <f>Pricing!I13</f>
        <v>3</v>
      </c>
      <c r="M25" s="188">
        <f t="shared" ref="M25:M42" si="1">J25*K25*L25/1000000</f>
        <v>16.762799999999999</v>
      </c>
      <c r="N25" s="189">
        <f>'Cost Calculation'!AS17</f>
        <v>325381.8552644421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W11</v>
      </c>
      <c r="E26" s="187" t="str">
        <f>Pricing!C14</f>
        <v>M15000</v>
      </c>
      <c r="F26" s="187" t="str">
        <f>Pricing!D14</f>
        <v>FRENCH CASEMENT WINDOW WITH FIXED GLASS</v>
      </c>
      <c r="G26" s="187" t="str">
        <f>Pricing!N14</f>
        <v>8MM</v>
      </c>
      <c r="H26" s="187" t="str">
        <f>Pricing!F14</f>
        <v>NA</v>
      </c>
      <c r="I26" s="216" t="str">
        <f>Pricing!E14</f>
        <v>NO</v>
      </c>
      <c r="J26" s="216">
        <f>Pricing!G14</f>
        <v>1830</v>
      </c>
      <c r="K26" s="216">
        <f>Pricing!H14</f>
        <v>1220</v>
      </c>
      <c r="L26" s="216">
        <f>Pricing!I14</f>
        <v>2</v>
      </c>
      <c r="M26" s="188">
        <f t="shared" si="1"/>
        <v>4.4652000000000003</v>
      </c>
      <c r="N26" s="189">
        <f>'Cost Calculation'!AS18</f>
        <v>124699.48840213814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W12</v>
      </c>
      <c r="E27" s="187" t="str">
        <f>Pricing!C15</f>
        <v>M15000</v>
      </c>
      <c r="F27" s="187" t="str">
        <f>Pricing!D15</f>
        <v>FRENCH CASEMENT WINDOW WITH BOTTOM FIXED</v>
      </c>
      <c r="G27" s="187" t="str">
        <f>Pricing!N15</f>
        <v>8MM</v>
      </c>
      <c r="H27" s="187" t="str">
        <f>Pricing!F15</f>
        <v>NA</v>
      </c>
      <c r="I27" s="216" t="str">
        <f>Pricing!E15</f>
        <v>NO</v>
      </c>
      <c r="J27" s="216">
        <f>Pricing!G15</f>
        <v>1220</v>
      </c>
      <c r="K27" s="216">
        <f>Pricing!H15</f>
        <v>2135</v>
      </c>
      <c r="L27" s="216">
        <f>Pricing!I15</f>
        <v>1</v>
      </c>
      <c r="M27" s="188">
        <f t="shared" si="1"/>
        <v>2.6046999999999998</v>
      </c>
      <c r="N27" s="189">
        <f>'Cost Calculation'!AS19</f>
        <v>62800.414644024531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W13</v>
      </c>
      <c r="E28" s="187" t="str">
        <f>Pricing!C16</f>
        <v>M15000</v>
      </c>
      <c r="F28" s="187" t="str">
        <f>Pricing!D16</f>
        <v>FRENCH CASEMENT WINDOW</v>
      </c>
      <c r="G28" s="187" t="str">
        <f>Pricing!N16</f>
        <v>8MM</v>
      </c>
      <c r="H28" s="187" t="str">
        <f>Pricing!F16</f>
        <v>NA</v>
      </c>
      <c r="I28" s="216" t="str">
        <f>Pricing!E16</f>
        <v>NO</v>
      </c>
      <c r="J28" s="216">
        <f>Pricing!G16</f>
        <v>1220</v>
      </c>
      <c r="K28" s="216">
        <f>Pricing!H16</f>
        <v>1220</v>
      </c>
      <c r="L28" s="216">
        <f>Pricing!I16</f>
        <v>1</v>
      </c>
      <c r="M28" s="188">
        <f t="shared" si="1"/>
        <v>1.4883999999999999</v>
      </c>
      <c r="N28" s="189">
        <f>'Cost Calculation'!AS20</f>
        <v>48224.459332240367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W14</v>
      </c>
      <c r="E29" s="187" t="str">
        <f>Pricing!C17</f>
        <v>M15000</v>
      </c>
      <c r="F29" s="187" t="str">
        <f>Pricing!D17</f>
        <v>SIDE HUNG WINDOW</v>
      </c>
      <c r="G29" s="187" t="str">
        <f>Pricing!N17</f>
        <v>8MM</v>
      </c>
      <c r="H29" s="187" t="str">
        <f>Pricing!F17</f>
        <v>NA</v>
      </c>
      <c r="I29" s="216" t="str">
        <f>Pricing!E17</f>
        <v>NO</v>
      </c>
      <c r="J29" s="216">
        <f>Pricing!G17</f>
        <v>915</v>
      </c>
      <c r="K29" s="216">
        <f>Pricing!H17</f>
        <v>1220</v>
      </c>
      <c r="L29" s="216">
        <f>Pricing!I17</f>
        <v>1</v>
      </c>
      <c r="M29" s="188">
        <f t="shared" si="1"/>
        <v>1.1163000000000001</v>
      </c>
      <c r="N29" s="189">
        <f>'Cost Calculation'!AS21</f>
        <v>31679.057990906898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65</v>
      </c>
      <c r="M116" s="191">
        <f>SUM(M16:M115)</f>
        <v>99.015199999999979</v>
      </c>
      <c r="N116" s="186"/>
      <c r="O116" s="95"/>
    </row>
    <row r="117" spans="2:15" s="94" customFormat="1" ht="30" customHeight="1" thickTop="1" thickBot="1">
      <c r="B117" s="420" t="s">
        <v>181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2926352</v>
      </c>
      <c r="O117" s="95">
        <f>N117/SUM(M116)</f>
        <v>29554.573439229538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526743</v>
      </c>
      <c r="O118" s="95">
        <f>N118/SUM(M116)</f>
        <v>5319.8195832559049</v>
      </c>
    </row>
    <row r="119" spans="2:15" s="94" customFormat="1" ht="30" customHeight="1" thickTop="1" thickBot="1">
      <c r="B119" s="420" t="s">
        <v>182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3453095</v>
      </c>
      <c r="O119" s="95">
        <f>N119/SUM(M116)</f>
        <v>34874.393022485441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2745.6868672639853</v>
      </c>
    </row>
    <row r="121" spans="2:15" s="139" customFormat="1" ht="30" customHeight="1" thickTop="1">
      <c r="B121" s="451" t="s">
        <v>237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207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449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3" t="s">
        <v>140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0">
        <v>1</v>
      </c>
      <c r="C127" s="411"/>
      <c r="D127" s="412" t="s">
        <v>364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389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139" customFormat="1" ht="30" customHeight="1">
      <c r="B129" s="494" t="s">
        <v>141</v>
      </c>
      <c r="C129" s="495"/>
      <c r="D129" s="495"/>
      <c r="E129" s="495"/>
      <c r="F129" s="495"/>
      <c r="G129" s="495"/>
      <c r="H129" s="495"/>
      <c r="I129" s="495"/>
      <c r="J129" s="495"/>
      <c r="K129" s="495"/>
      <c r="L129" s="495"/>
      <c r="M129" s="495"/>
      <c r="N129" s="496"/>
    </row>
    <row r="130" spans="2:14" s="93" customFormat="1" ht="24.95" customHeight="1">
      <c r="B130" s="410">
        <v>1</v>
      </c>
      <c r="C130" s="411"/>
      <c r="D130" s="412" t="s">
        <v>142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2</v>
      </c>
      <c r="C131" s="411"/>
      <c r="D131" s="412" t="s">
        <v>143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3</v>
      </c>
      <c r="C132" s="411"/>
      <c r="D132" s="412" t="s">
        <v>144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139" customFormat="1" ht="30" customHeight="1">
      <c r="B133" s="494" t="s">
        <v>145</v>
      </c>
      <c r="C133" s="495"/>
      <c r="D133" s="495"/>
      <c r="E133" s="495"/>
      <c r="F133" s="495"/>
      <c r="G133" s="495"/>
      <c r="H133" s="495"/>
      <c r="I133" s="495"/>
      <c r="J133" s="495"/>
      <c r="K133" s="495"/>
      <c r="L133" s="495"/>
      <c r="M133" s="495"/>
      <c r="N133" s="496"/>
    </row>
    <row r="134" spans="2:14" s="139" customFormat="1" ht="30" customHeight="1">
      <c r="B134" s="509" t="s">
        <v>146</v>
      </c>
      <c r="C134" s="510"/>
      <c r="D134" s="510"/>
      <c r="E134" s="510"/>
      <c r="F134" s="510"/>
      <c r="G134" s="510"/>
      <c r="H134" s="510"/>
      <c r="I134" s="510"/>
      <c r="J134" s="510"/>
      <c r="K134" s="510"/>
      <c r="L134" s="510"/>
      <c r="M134" s="510"/>
      <c r="N134" s="511"/>
    </row>
    <row r="135" spans="2:14" s="93" customFormat="1" ht="24.95" customHeight="1">
      <c r="B135" s="410">
        <v>1</v>
      </c>
      <c r="C135" s="411"/>
      <c r="D135" s="412" t="s">
        <v>147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2</v>
      </c>
      <c r="C136" s="411"/>
      <c r="D136" s="412" t="s">
        <v>402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3</v>
      </c>
      <c r="C137" s="411"/>
      <c r="D137" s="412" t="s">
        <v>148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4</v>
      </c>
      <c r="C138" s="411"/>
      <c r="D138" s="412" t="s">
        <v>149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5</v>
      </c>
      <c r="C139" s="411"/>
      <c r="D139" s="412" t="s">
        <v>150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6</v>
      </c>
      <c r="C140" s="411"/>
      <c r="D140" s="412" t="s">
        <v>151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140" customFormat="1" ht="30" customHeight="1">
      <c r="B141" s="494" t="s">
        <v>152</v>
      </c>
      <c r="C141" s="495"/>
      <c r="D141" s="495"/>
      <c r="E141" s="495"/>
      <c r="F141" s="495"/>
      <c r="G141" s="495"/>
      <c r="H141" s="495"/>
      <c r="I141" s="495"/>
      <c r="J141" s="495"/>
      <c r="K141" s="495"/>
      <c r="L141" s="495"/>
      <c r="M141" s="495"/>
      <c r="N141" s="496"/>
    </row>
    <row r="142" spans="2:14" s="93" customFormat="1" ht="24.95" customHeight="1">
      <c r="B142" s="410">
        <v>1</v>
      </c>
      <c r="C142" s="411"/>
      <c r="D142" s="412" t="s">
        <v>153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135" customHeight="1">
      <c r="B143" s="410">
        <v>2</v>
      </c>
      <c r="C143" s="411"/>
      <c r="D143" s="497" t="s">
        <v>154</v>
      </c>
      <c r="E143" s="498"/>
      <c r="F143" s="498"/>
      <c r="G143" s="498"/>
      <c r="H143" s="498"/>
      <c r="I143" s="498"/>
      <c r="J143" s="498"/>
      <c r="K143" s="498"/>
      <c r="L143" s="498"/>
      <c r="M143" s="498"/>
      <c r="N143" s="499"/>
    </row>
    <row r="144" spans="2:14" s="93" customFormat="1" ht="24.95" customHeight="1">
      <c r="B144" s="410">
        <v>3</v>
      </c>
      <c r="C144" s="411"/>
      <c r="D144" s="412" t="s">
        <v>155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4</v>
      </c>
      <c r="C145" s="411"/>
      <c r="D145" s="412" t="s">
        <v>156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140" customFormat="1" ht="30" customHeight="1">
      <c r="B146" s="494" t="s">
        <v>157</v>
      </c>
      <c r="C146" s="495"/>
      <c r="D146" s="495"/>
      <c r="E146" s="495"/>
      <c r="F146" s="495"/>
      <c r="G146" s="495"/>
      <c r="H146" s="495"/>
      <c r="I146" s="495"/>
      <c r="J146" s="495"/>
      <c r="K146" s="495"/>
      <c r="L146" s="495"/>
      <c r="M146" s="495"/>
      <c r="N146" s="496"/>
    </row>
    <row r="147" spans="2:14" s="93" customFormat="1" ht="24.95" customHeight="1">
      <c r="B147" s="410">
        <v>1</v>
      </c>
      <c r="C147" s="411"/>
      <c r="D147" s="412" t="s">
        <v>158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55.9" customHeight="1">
      <c r="B148" s="410">
        <v>2</v>
      </c>
      <c r="C148" s="411"/>
      <c r="D148" s="497" t="s">
        <v>159</v>
      </c>
      <c r="E148" s="498"/>
      <c r="F148" s="498"/>
      <c r="G148" s="498"/>
      <c r="H148" s="498"/>
      <c r="I148" s="498"/>
      <c r="J148" s="498"/>
      <c r="K148" s="498"/>
      <c r="L148" s="498"/>
      <c r="M148" s="498"/>
      <c r="N148" s="499"/>
    </row>
    <row r="149" spans="2:14" s="140" customFormat="1" ht="30" customHeight="1">
      <c r="B149" s="494" t="s">
        <v>160</v>
      </c>
      <c r="C149" s="495"/>
      <c r="D149" s="495"/>
      <c r="E149" s="495"/>
      <c r="F149" s="495"/>
      <c r="G149" s="495"/>
      <c r="H149" s="495"/>
      <c r="I149" s="495"/>
      <c r="J149" s="495"/>
      <c r="K149" s="495"/>
      <c r="L149" s="495"/>
      <c r="M149" s="495"/>
      <c r="N149" s="496"/>
    </row>
    <row r="150" spans="2:14" s="93" customFormat="1" ht="24.95" customHeight="1">
      <c r="B150" s="410">
        <v>1</v>
      </c>
      <c r="C150" s="411"/>
      <c r="D150" s="472" t="s">
        <v>161</v>
      </c>
      <c r="E150" s="472"/>
      <c r="F150" s="472"/>
      <c r="G150" s="472"/>
      <c r="H150" s="472"/>
      <c r="I150" s="472"/>
      <c r="J150" s="472"/>
      <c r="K150" s="472"/>
      <c r="L150" s="472"/>
      <c r="M150" s="472"/>
      <c r="N150" s="473"/>
    </row>
    <row r="151" spans="2:14" s="93" customFormat="1" ht="24.95" customHeight="1">
      <c r="B151" s="410">
        <v>2</v>
      </c>
      <c r="C151" s="411"/>
      <c r="D151" s="472" t="s">
        <v>162</v>
      </c>
      <c r="E151" s="472"/>
      <c r="F151" s="472"/>
      <c r="G151" s="472"/>
      <c r="H151" s="472"/>
      <c r="I151" s="472"/>
      <c r="J151" s="472"/>
      <c r="K151" s="472"/>
      <c r="L151" s="472"/>
      <c r="M151" s="472"/>
      <c r="N151" s="473"/>
    </row>
    <row r="152" spans="2:14" s="93" customFormat="1" ht="49.9" customHeight="1">
      <c r="B152" s="410">
        <v>3</v>
      </c>
      <c r="C152" s="411"/>
      <c r="D152" s="491" t="s">
        <v>163</v>
      </c>
      <c r="E152" s="492"/>
      <c r="F152" s="492"/>
      <c r="G152" s="492"/>
      <c r="H152" s="492"/>
      <c r="I152" s="492"/>
      <c r="J152" s="492"/>
      <c r="K152" s="492"/>
      <c r="L152" s="492"/>
      <c r="M152" s="492"/>
      <c r="N152" s="493"/>
    </row>
    <row r="153" spans="2:14" s="93" customFormat="1" ht="24.95" customHeight="1">
      <c r="B153" s="410">
        <v>4</v>
      </c>
      <c r="C153" s="411"/>
      <c r="D153" s="472" t="s">
        <v>164</v>
      </c>
      <c r="E153" s="472"/>
      <c r="F153" s="472"/>
      <c r="G153" s="472"/>
      <c r="H153" s="472"/>
      <c r="I153" s="472"/>
      <c r="J153" s="472"/>
      <c r="K153" s="472"/>
      <c r="L153" s="472"/>
      <c r="M153" s="472"/>
      <c r="N153" s="473"/>
    </row>
    <row r="154" spans="2:14" s="140" customFormat="1" ht="30" customHeight="1">
      <c r="B154" s="494" t="s">
        <v>165</v>
      </c>
      <c r="C154" s="495"/>
      <c r="D154" s="495"/>
      <c r="E154" s="495"/>
      <c r="F154" s="495"/>
      <c r="G154" s="495"/>
      <c r="H154" s="495"/>
      <c r="I154" s="495"/>
      <c r="J154" s="495"/>
      <c r="K154" s="495"/>
      <c r="L154" s="495"/>
      <c r="M154" s="495"/>
      <c r="N154" s="496"/>
    </row>
    <row r="155" spans="2:14" s="93" customFormat="1" ht="24.95" customHeight="1">
      <c r="B155" s="410">
        <v>1</v>
      </c>
      <c r="C155" s="411"/>
      <c r="D155" s="472" t="s">
        <v>166</v>
      </c>
      <c r="E155" s="472"/>
      <c r="F155" s="472"/>
      <c r="G155" s="472"/>
      <c r="H155" s="472"/>
      <c r="I155" s="472"/>
      <c r="J155" s="472"/>
      <c r="K155" s="472"/>
      <c r="L155" s="472"/>
      <c r="M155" s="472"/>
      <c r="N155" s="473"/>
    </row>
    <row r="156" spans="2:14" s="93" customFormat="1" ht="24.95" customHeight="1">
      <c r="B156" s="410">
        <v>2</v>
      </c>
      <c r="C156" s="411"/>
      <c r="D156" s="472" t="s">
        <v>167</v>
      </c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93" customFormat="1" ht="24.95" customHeight="1">
      <c r="B157" s="410">
        <v>3</v>
      </c>
      <c r="C157" s="411"/>
      <c r="D157" s="472" t="s">
        <v>168</v>
      </c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93" customFormat="1" ht="24.95" customHeight="1">
      <c r="B158" s="410">
        <v>4</v>
      </c>
      <c r="C158" s="411"/>
      <c r="D158" s="472" t="s">
        <v>401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54" t="s">
        <v>240</v>
      </c>
      <c r="C159" s="489"/>
      <c r="D159" s="489"/>
      <c r="E159" s="489"/>
      <c r="F159" s="489"/>
      <c r="G159" s="489"/>
      <c r="H159" s="489"/>
      <c r="I159" s="489"/>
      <c r="J159" s="489"/>
      <c r="K159" s="489"/>
      <c r="L159" s="489"/>
      <c r="M159" s="489"/>
      <c r="N159" s="490"/>
    </row>
    <row r="160" spans="2:14" s="93" customFormat="1" ht="24.95" customHeight="1">
      <c r="B160" s="454" t="s">
        <v>241</v>
      </c>
      <c r="C160" s="489"/>
      <c r="D160" s="489"/>
      <c r="E160" s="489"/>
      <c r="F160" s="489"/>
      <c r="G160" s="489"/>
      <c r="H160" s="489"/>
      <c r="I160" s="489"/>
      <c r="J160" s="489"/>
      <c r="K160" s="489"/>
      <c r="L160" s="489"/>
      <c r="M160" s="489"/>
      <c r="N160" s="490"/>
    </row>
    <row r="161" spans="2:14" s="93" customFormat="1" ht="41.25" customHeight="1">
      <c r="B161" s="480"/>
      <c r="C161" s="481"/>
      <c r="D161" s="481"/>
      <c r="E161" s="481"/>
      <c r="F161" s="481"/>
      <c r="G161" s="481"/>
      <c r="H161" s="481"/>
      <c r="I161" s="481"/>
      <c r="J161" s="481"/>
      <c r="K161" s="481"/>
      <c r="L161" s="481"/>
      <c r="M161" s="481"/>
      <c r="N161" s="482"/>
    </row>
    <row r="162" spans="2:14" s="93" customFormat="1" ht="39.950000000000003" customHeight="1">
      <c r="B162" s="483"/>
      <c r="C162" s="484"/>
      <c r="D162" s="484"/>
      <c r="E162" s="484"/>
      <c r="F162" s="484"/>
      <c r="G162" s="484"/>
      <c r="H162" s="484"/>
      <c r="I162" s="484"/>
      <c r="J162" s="484"/>
      <c r="K162" s="484"/>
      <c r="L162" s="484"/>
      <c r="M162" s="484"/>
      <c r="N162" s="485"/>
    </row>
    <row r="163" spans="2:14" s="93" customFormat="1" ht="41.25" customHeight="1">
      <c r="B163" s="483"/>
      <c r="C163" s="484"/>
      <c r="D163" s="484"/>
      <c r="E163" s="484"/>
      <c r="F163" s="484"/>
      <c r="G163" s="484"/>
      <c r="H163" s="484"/>
      <c r="I163" s="484"/>
      <c r="J163" s="484"/>
      <c r="K163" s="484"/>
      <c r="L163" s="484"/>
      <c r="M163" s="484"/>
      <c r="N163" s="485"/>
    </row>
    <row r="164" spans="2:14" s="93" customFormat="1" ht="39.950000000000003" customHeight="1" thickBot="1">
      <c r="B164" s="486"/>
      <c r="C164" s="487"/>
      <c r="D164" s="487"/>
      <c r="E164" s="487"/>
      <c r="F164" s="487"/>
      <c r="G164" s="487"/>
      <c r="H164" s="487"/>
      <c r="I164" s="487"/>
      <c r="J164" s="487"/>
      <c r="K164" s="487"/>
      <c r="L164" s="487"/>
      <c r="M164" s="487"/>
      <c r="N164" s="488"/>
    </row>
    <row r="165" spans="2:14" s="93" customFormat="1" ht="30" customHeight="1" thickTop="1">
      <c r="B165" s="468" t="s">
        <v>110</v>
      </c>
      <c r="C165" s="469"/>
      <c r="D165" s="469"/>
      <c r="E165" s="474"/>
      <c r="F165" s="475"/>
      <c r="G165" s="475"/>
      <c r="H165" s="475"/>
      <c r="I165" s="475"/>
      <c r="J165" s="475"/>
      <c r="K165" s="475"/>
      <c r="L165" s="476"/>
      <c r="M165" s="469" t="s">
        <v>205</v>
      </c>
      <c r="N165" s="470"/>
    </row>
    <row r="166" spans="2:14" s="93" customFormat="1" ht="33" customHeight="1" thickBot="1">
      <c r="B166" s="471" t="s">
        <v>107</v>
      </c>
      <c r="C166" s="466"/>
      <c r="D166" s="466"/>
      <c r="E166" s="477"/>
      <c r="F166" s="478"/>
      <c r="G166" s="478"/>
      <c r="H166" s="478"/>
      <c r="I166" s="478"/>
      <c r="J166" s="478"/>
      <c r="K166" s="478"/>
      <c r="L166" s="479"/>
      <c r="M166" s="466" t="s">
        <v>108</v>
      </c>
      <c r="N166" s="467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2:C42"/>
    <mergeCell ref="B131:C131"/>
    <mergeCell ref="B43:C43"/>
    <mergeCell ref="B44:C44"/>
    <mergeCell ref="B45:C45"/>
    <mergeCell ref="B46:C46"/>
    <mergeCell ref="B47:C47"/>
    <mergeCell ref="B75:C75"/>
    <mergeCell ref="B76:C76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D143:N143"/>
    <mergeCell ref="B35:C35"/>
    <mergeCell ref="B36:C36"/>
    <mergeCell ref="B37:C37"/>
    <mergeCell ref="B38:C38"/>
    <mergeCell ref="B39:C39"/>
    <mergeCell ref="B40:C40"/>
    <mergeCell ref="B41:C41"/>
    <mergeCell ref="D131:N131"/>
    <mergeCell ref="D155:N155"/>
    <mergeCell ref="B155:C155"/>
    <mergeCell ref="B129:N129"/>
    <mergeCell ref="B126:N126"/>
    <mergeCell ref="B135:C135"/>
    <mergeCell ref="D135:N135"/>
    <mergeCell ref="B136:C136"/>
    <mergeCell ref="D136:N136"/>
    <mergeCell ref="B77:C77"/>
    <mergeCell ref="B78:C78"/>
    <mergeCell ref="B48:C48"/>
    <mergeCell ref="B49:C49"/>
    <mergeCell ref="B50:C50"/>
    <mergeCell ref="B51:C51"/>
    <mergeCell ref="B52:C52"/>
    <mergeCell ref="B53:C53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43686</v>
      </c>
      <c r="F2" s="516" t="s">
        <v>245</v>
      </c>
      <c r="G2" s="516"/>
    </row>
    <row r="3" spans="3:13">
      <c r="C3" s="297" t="s">
        <v>126</v>
      </c>
      <c r="D3" s="517" t="str">
        <f>QUOTATION!F7</f>
        <v>Eterna PS Group Reality Limited</v>
      </c>
      <c r="E3" s="517"/>
      <c r="F3" s="520" t="s">
        <v>246</v>
      </c>
      <c r="G3" s="521">
        <f>QUOTATION!N8</f>
        <v>43686</v>
      </c>
    </row>
    <row r="4" spans="3:13">
      <c r="C4" s="297" t="s">
        <v>243</v>
      </c>
      <c r="D4" s="518" t="str">
        <f>QUOTATION!M6</f>
        <v>ABPL-DE-19.20-2151-OP-1</v>
      </c>
      <c r="E4" s="518"/>
      <c r="F4" s="520"/>
      <c r="G4" s="522"/>
    </row>
    <row r="5" spans="3:13">
      <c r="C5" s="297" t="s">
        <v>127</v>
      </c>
      <c r="D5" s="517" t="str">
        <f>QUOTATION!F8</f>
        <v>Chennai</v>
      </c>
      <c r="E5" s="517"/>
      <c r="F5" s="520"/>
      <c r="G5" s="522"/>
    </row>
    <row r="6" spans="3:13">
      <c r="C6" s="297" t="s">
        <v>169</v>
      </c>
      <c r="D6" s="517" t="str">
        <f>QUOTATION!F9</f>
        <v>Mr. Raju Savasi : 9840355091</v>
      </c>
      <c r="E6" s="517"/>
      <c r="F6" s="520"/>
      <c r="G6" s="522"/>
    </row>
    <row r="7" spans="3:13">
      <c r="C7" s="297" t="s">
        <v>376</v>
      </c>
      <c r="D7" s="517">
        <f>QUOTATION!M10</f>
        <v>0</v>
      </c>
      <c r="E7" s="517"/>
      <c r="F7" s="520"/>
      <c r="G7" s="522"/>
    </row>
    <row r="8" spans="3:13">
      <c r="C8" s="297" t="s">
        <v>177</v>
      </c>
      <c r="D8" s="517" t="str">
        <f>QUOTATION!F10</f>
        <v>Powder Coating</v>
      </c>
      <c r="E8" s="517"/>
      <c r="F8" s="520"/>
      <c r="G8" s="522"/>
    </row>
    <row r="9" spans="3:13">
      <c r="C9" s="297" t="s">
        <v>178</v>
      </c>
      <c r="D9" s="517" t="str">
        <f>QUOTATION!I10</f>
        <v>White</v>
      </c>
      <c r="E9" s="517"/>
      <c r="F9" s="520"/>
      <c r="G9" s="522"/>
    </row>
    <row r="10" spans="3:13">
      <c r="C10" s="297" t="s">
        <v>180</v>
      </c>
      <c r="D10" s="517" t="str">
        <f>QUOTATION!I8</f>
        <v>1.7Kpa</v>
      </c>
      <c r="E10" s="517"/>
      <c r="F10" s="520"/>
      <c r="G10" s="522"/>
    </row>
    <row r="11" spans="3:13">
      <c r="C11" s="297" t="s">
        <v>242</v>
      </c>
      <c r="D11" s="517" t="str">
        <f>QUOTATION!M9</f>
        <v>Bal Kumari</v>
      </c>
      <c r="E11" s="517"/>
      <c r="F11" s="520"/>
      <c r="G11" s="522"/>
    </row>
    <row r="12" spans="3:13">
      <c r="C12" s="297" t="s">
        <v>244</v>
      </c>
      <c r="D12" s="519">
        <f>QUOTATION!M7</f>
        <v>43686</v>
      </c>
      <c r="E12" s="519"/>
      <c r="F12" s="520"/>
      <c r="G12" s="523"/>
    </row>
    <row r="13" spans="3:13">
      <c r="C13" s="193" t="s">
        <v>236</v>
      </c>
      <c r="D13" s="512" t="s">
        <v>232</v>
      </c>
      <c r="E13" s="513"/>
      <c r="F13" s="514" t="s">
        <v>233</v>
      </c>
      <c r="G13" s="515"/>
    </row>
    <row r="14" spans="3:13">
      <c r="C14" s="194" t="s">
        <v>234</v>
      </c>
      <c r="D14" s="296"/>
      <c r="E14" s="244">
        <f>Pricing!L104</f>
        <v>10558.28</v>
      </c>
      <c r="F14" s="205"/>
      <c r="G14" s="206">
        <f>E14</f>
        <v>10558.28</v>
      </c>
    </row>
    <row r="15" spans="3:13">
      <c r="C15" s="194" t="s">
        <v>235</v>
      </c>
      <c r="D15" s="296">
        <f>'Changable Values'!D4</f>
        <v>83</v>
      </c>
      <c r="E15" s="199">
        <f>E14*D15</f>
        <v>876337.24000000011</v>
      </c>
      <c r="F15" s="205"/>
      <c r="G15" s="207">
        <f>E15</f>
        <v>876337.24000000011</v>
      </c>
    </row>
    <row r="16" spans="3:13">
      <c r="C16" s="195" t="s">
        <v>97</v>
      </c>
      <c r="D16" s="200">
        <f>'Changable Values'!D5</f>
        <v>0.1</v>
      </c>
      <c r="E16" s="199">
        <f>E15*D16</f>
        <v>87633.724000000017</v>
      </c>
      <c r="F16" s="208">
        <f>'Changable Values'!D5</f>
        <v>0.1</v>
      </c>
      <c r="G16" s="207">
        <f>G15*F16</f>
        <v>87633.724000000017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106036.80604000001</v>
      </c>
      <c r="F17" s="208">
        <f>'Changable Values'!D6</f>
        <v>0.11</v>
      </c>
      <c r="G17" s="207">
        <f>SUM(G15:G16)*F17</f>
        <v>106036.80604000001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5350.0388502000005</v>
      </c>
      <c r="F18" s="208">
        <f>'Changable Values'!D7</f>
        <v>5.0000000000000001E-3</v>
      </c>
      <c r="G18" s="207">
        <f>SUM(G15:G17)*F18</f>
        <v>5350.0388502000005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10753.578088902001</v>
      </c>
      <c r="F19" s="208">
        <f>'Changable Values'!D8</f>
        <v>0.01</v>
      </c>
      <c r="G19" s="207">
        <f>SUM(G15:G18)*F19</f>
        <v>10753.578088902001</v>
      </c>
    </row>
    <row r="20" spans="3:7">
      <c r="C20" s="195" t="s">
        <v>99</v>
      </c>
      <c r="D20" s="201"/>
      <c r="E20" s="199">
        <f>SUM(E15:E19)</f>
        <v>1086111.3869791019</v>
      </c>
      <c r="F20" s="208"/>
      <c r="G20" s="207">
        <f>SUM(G15:G19)</f>
        <v>1086111.3869791019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16291.670804686528</v>
      </c>
      <c r="F21" s="208">
        <f>'Changable Values'!D9</f>
        <v>1.4999999999999999E-2</v>
      </c>
      <c r="G21" s="207">
        <f>G20*F21</f>
        <v>16291.670804686528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130898.09440000002</v>
      </c>
      <c r="F23" s="209"/>
      <c r="G23" s="207">
        <f t="shared" si="0"/>
        <v>130898.09440000002</v>
      </c>
    </row>
    <row r="24" spans="3:7">
      <c r="C24" s="195" t="s">
        <v>230</v>
      </c>
      <c r="D24" s="198"/>
      <c r="E24" s="199">
        <f>'Cost Calculation'!AH111</f>
        <v>54756.80852459016</v>
      </c>
      <c r="F24" s="209"/>
      <c r="G24" s="207">
        <f t="shared" si="0"/>
        <v>54756.80852459016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106579.96128</v>
      </c>
      <c r="F27" s="209"/>
      <c r="G27" s="207">
        <f t="shared" si="0"/>
        <v>106579.96128</v>
      </c>
    </row>
    <row r="28" spans="3:7">
      <c r="C28" s="195" t="s">
        <v>88</v>
      </c>
      <c r="D28" s="198"/>
      <c r="E28" s="199">
        <f>'Cost Calculation'!AN109</f>
        <v>85263.969023999991</v>
      </c>
      <c r="F28" s="209"/>
      <c r="G28" s="207">
        <f t="shared" si="0"/>
        <v>85263.969023999991</v>
      </c>
    </row>
    <row r="29" spans="3:7">
      <c r="C29" s="293" t="s">
        <v>379</v>
      </c>
      <c r="D29" s="294"/>
      <c r="E29" s="295">
        <f>SUM(E20:E28)</f>
        <v>1479901.8910123787</v>
      </c>
      <c r="F29" s="209"/>
      <c r="G29" s="207">
        <f>SUM(G20:G21,G24)</f>
        <v>1157159.8663083788</v>
      </c>
    </row>
    <row r="30" spans="3:7">
      <c r="C30" s="293" t="s">
        <v>380</v>
      </c>
      <c r="D30" s="294"/>
      <c r="E30" s="295">
        <f>E29/E33</f>
        <v>1388.5367129421975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1446449.8328854735</v>
      </c>
      <c r="F31" s="214">
        <f>'Changable Values'!D23</f>
        <v>1.25</v>
      </c>
      <c r="G31" s="207">
        <f>G29*F31</f>
        <v>1446449.8328854735</v>
      </c>
    </row>
    <row r="32" spans="3:7">
      <c r="C32" s="290" t="s">
        <v>5</v>
      </c>
      <c r="D32" s="291"/>
      <c r="E32" s="292">
        <f>E31+E29</f>
        <v>2926351.723897852</v>
      </c>
      <c r="F32" s="205"/>
      <c r="G32" s="207">
        <f>SUM(G25:G31,G22:G23)</f>
        <v>2926351.723897852</v>
      </c>
    </row>
    <row r="33" spans="3:7">
      <c r="C33" s="300" t="s">
        <v>231</v>
      </c>
      <c r="D33" s="301"/>
      <c r="E33" s="308">
        <f>'Cost Calculation'!K109</f>
        <v>1065.7996128</v>
      </c>
      <c r="F33" s="210"/>
      <c r="G33" s="211">
        <f>E33</f>
        <v>1065.7996128</v>
      </c>
    </row>
    <row r="34" spans="3:7">
      <c r="C34" s="302" t="s">
        <v>9</v>
      </c>
      <c r="D34" s="303"/>
      <c r="E34" s="304">
        <f>QUOTATION!L116</f>
        <v>65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2745.686608207644</v>
      </c>
      <c r="F35" s="212"/>
      <c r="G35" s="213">
        <f>G32/(G33)</f>
        <v>2745.686608207644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2019-08-09T09:07:43Z</cp:lastPrinted>
  <dcterms:created xsi:type="dcterms:W3CDTF">2010-12-18T06:34:46Z</dcterms:created>
  <dcterms:modified xsi:type="dcterms:W3CDTF">2019-08-13T08:53:00Z</dcterms:modified>
</cp:coreProperties>
</file>