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Drawings!$C$2:$O$161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16" i="158" l="1"/>
  <c r="Q15" i="158"/>
  <c r="Q14" i="158"/>
  <c r="Q13" i="158"/>
  <c r="Q12" i="158"/>
  <c r="Q8" i="158"/>
  <c r="Q7" i="158"/>
  <c r="Q5" i="158"/>
  <c r="Q4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/>
  <c r="X66" i="158" s="1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 s="1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/>
  <c r="X82" i="158" s="1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AH42" i="159" s="1"/>
  <c r="I41" i="159"/>
  <c r="W41" i="159" s="1"/>
  <c r="F41" i="159"/>
  <c r="AH41" i="159" s="1"/>
  <c r="J37" i="158"/>
  <c r="I40" i="159"/>
  <c r="W40" i="159" s="1"/>
  <c r="J36" i="158"/>
  <c r="F40" i="159"/>
  <c r="AH40" i="159" s="1"/>
  <c r="I39" i="159"/>
  <c r="W39" i="159" s="1"/>
  <c r="F39" i="159"/>
  <c r="AH39" i="159" s="1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AH34" i="159" s="1"/>
  <c r="I33" i="159"/>
  <c r="W33" i="159" s="1"/>
  <c r="F33" i="159"/>
  <c r="AH33" i="159" s="1"/>
  <c r="J29" i="158"/>
  <c r="I32" i="159"/>
  <c r="W32" i="159" s="1"/>
  <c r="J28" i="158"/>
  <c r="F32" i="159"/>
  <c r="AH32" i="159" s="1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AH26" i="159" s="1"/>
  <c r="I25" i="159"/>
  <c r="W25" i="159" s="1"/>
  <c r="F25" i="159"/>
  <c r="AH25" i="159" s="1"/>
  <c r="J21" i="158"/>
  <c r="I24" i="159"/>
  <c r="W24" i="159" s="1"/>
  <c r="J20" i="158"/>
  <c r="F24" i="159"/>
  <c r="AH24" i="159" s="1"/>
  <c r="I23" i="159"/>
  <c r="W23" i="159" s="1"/>
  <c r="F23" i="159"/>
  <c r="AH23" i="159" s="1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AH16" i="159" s="1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AH49" i="159" s="1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29" i="159" l="1"/>
  <c r="AH45" i="159"/>
  <c r="AH53" i="159"/>
  <c r="M36" i="160"/>
  <c r="AH37" i="159"/>
  <c r="AH56" i="159"/>
  <c r="AH50" i="159"/>
  <c r="AH10" i="159"/>
  <c r="AH47" i="159"/>
  <c r="AH22" i="159"/>
  <c r="AH27" i="159"/>
  <c r="AH35" i="159"/>
  <c r="AH38" i="159"/>
  <c r="AH43" i="159"/>
  <c r="AH46" i="159"/>
  <c r="AH54" i="159"/>
  <c r="AH57" i="159"/>
  <c r="M49" i="160"/>
  <c r="M43" i="160"/>
  <c r="M40" i="160"/>
  <c r="AH30" i="159"/>
  <c r="AH48" i="159"/>
  <c r="AH51" i="159"/>
  <c r="AH36" i="159"/>
  <c r="AH44" i="159"/>
  <c r="AH28" i="159"/>
  <c r="AH31" i="159"/>
  <c r="AH52" i="159"/>
  <c r="AH55" i="159"/>
  <c r="AH21" i="159"/>
  <c r="AH20" i="159"/>
  <c r="AH19" i="159"/>
  <c r="AH18" i="159"/>
  <c r="M26" i="160"/>
  <c r="AH17" i="159"/>
  <c r="AH15" i="159"/>
  <c r="AH14" i="159"/>
  <c r="AH13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<sst xmlns="http://schemas.openxmlformats.org/spreadsheetml/2006/main" count="2000" uniqueCount="451">
  <si>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</si>
  <si>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</si>
  <si>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</si>
  <si>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</si>
  <si>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</si>
  <si>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</si>
  <si>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</si>
  <si>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</si>
  <si>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</si>
  <si>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</si>
  <si>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</si>
  <si>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</si>
  <si>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</si>
  <si>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</si>
  <si>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</si>
  <si>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</si>
  <si>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</si>
  <si>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</si>
  <si>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</si>
  <si>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</si>
  <si>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</si>
  <si>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</si>
  <si>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</si>
  <si>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</si>
  <si>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</si>
  <si>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</si>
  <si>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</si>
  <si>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</si>
  <si>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</si>
  <si>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</si>
  <si>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</si>
  <si>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</si>
  <si>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</si>
  <si>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</si>
  <si>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</si>
  <si>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</si>
  <si>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</si>
  <si>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</si>
  <si>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</si>
  <si>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</si>
  <si>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</si>
  <si>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</si>
  <si>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</si>
  <si>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</si>
  <si>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</si>
  <si>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</si>
  <si>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</si>
  <si>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</si>
  <si>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</si>
  <si>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</si>
  <si>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</si>
  <si>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</si>
  <si>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</si>
  <si>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</si>
  <si>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</si>
  <si>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</si>
  <si>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</si>
  <si>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</si>
  <si>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</si>
  <si>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</si>
  <si>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</si>
  <si>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</si>
  <si>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</si>
  <si>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</si>
  <si>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</si>
  <si>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</si>
  <si>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</si>
  <si>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</si>
  <si>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</si>
  <si>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</si>
  <si>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</si>
  <si>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</si>
  <si>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</si>
  <si>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</si>
  <si>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</si>
  <si>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</si>
  <si>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</si>
  <si>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</si>
  <si>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</si>
  <si>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</si>
  <si>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</si>
  <si>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</si>
  <si>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</si>
  <si>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</si>
  <si>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</si>
  <si>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</si>
  <si>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</si>
  <si>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</si>
  <si>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</si>
  <si>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</si>
  <si>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</si>
  <si>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</si>
  <si>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</si>
  <si>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</si>
  <si>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</si>
  <si>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</si>
  <si>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</si>
  <si>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</si>
  <si>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</si>
  <si>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</si>
  <si>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</si>
  <si>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</si>
  <si>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</si>
  <si>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</si>
  <si>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</si>
  <si>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</si>
  <si>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</si>
  <si>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</si>
  <si>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</si>
  <si>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</si>
  <si>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</si>
  <si>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</si>
  <si>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</si>
  <si>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</si>
  <si>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</si>
  <si>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</si>
  <si>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</si>
  <si>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</si>
  <si>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</si>
  <si>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</si>
  <si>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</si>
  <si>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</si>
  <si>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</si>
  <si>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</si>
  <si>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</si>
  <si>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</si>
  <si>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</si>
  <si>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</si>
  <si>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</si>
  <si>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</si>
  <si>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</si>
  <si>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</si>
  <si>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</si>
  <si>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</si>
  <si>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</si>
  <si>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</si>
  <si>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</si>
  <si>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</si>
  <si>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</si>
  <si>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</si>
  <si>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</si>
  <si>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</si>
  <si>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</si>
  <si>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</si>
  <si>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</si>
  <si>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</si>
  <si>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</si>
  <si>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</si>
  <si>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</si>
  <si>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</si>
  <si>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</si>
  <si>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</si>
  <si>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</si>
  <si>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</si>
  <si>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</si>
  <si>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</si>
  <si>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</si>
  <si>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</si>
  <si>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</si>
  <si>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</si>
  <si>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</si>
  <si>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</si>
  <si>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</si>
  <si>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</si>
  <si>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</si>
  <si>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</si>
  <si>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</si>
  <si>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</si>
  <si>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</si>
  <si>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</si>
  <si>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</si>
  <si>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</si>
  <si>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</si>
  <si>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</si>
  <si>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</si>
  <si>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</si>
  <si>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</si>
  <si>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</si>
  <si>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</si>
  <si>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</si>
  <si>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</si>
  <si>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</si>
  <si>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</si>
  <si>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</si>
  <si>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</si>
  <si>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</si>
  <si>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</si>
  <si>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</si>
  <si>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</si>
  <si>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</si>
  <si>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</si>
  <si>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</si>
  <si>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</si>
  <si>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</si>
  <si>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</si>
  <si>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</si>
  <si>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</si>
  <si>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</si>
  <si>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</si>
  <si>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</si>
  <si>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</si>
  <si>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</si>
  <si>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</si>
  <si>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</si>
  <si>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</si>
  <si>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</si>
  <si>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</si>
  <si>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</si>
  <si>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</si>
  <si>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</si>
  <si>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</si>
  <si>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</si>
  <si>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</si>
  <si>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</si>
  <si>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</si>
  <si>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</si>
  <si>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</si>
  <si>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</si>
  <si>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</si>
  <si>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</si>
  <si>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</si>
  <si>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</si>
  <si>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</si>
  <si>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</si>
  <si>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</si>
  <si>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</si>
  <si>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</si>
  <si>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</si>
  <si>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</si>
  <si>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</si>
  <si>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</si>
  <si>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</si>
  <si>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</si>
  <si>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</si>
  <si>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</si>
  <si>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</si>
  <si>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</si>
  <si>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</si>
  <si>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</si>
  <si>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</si>
  <si>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</si>
  <si>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</si>
  <si>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</si>
  <si>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</si>
  <si>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</si>
  <si>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</si>
  <si>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</si>
  <si>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</si>
  <si>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</si>
  <si>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</si>
  <si>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</si>
  <si>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</si>
  <si>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</si>
  <si>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</si>
  <si>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</si>
  <si>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</si>
  <si>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</si>
  <si>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</si>
  <si>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</si>
  <si>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</si>
  <si>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</si>
  <si>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</si>
  <si>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</si>
  <si>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</si>
  <si>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</si>
  <si>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</si>
  <si>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</si>
  <si>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</si>
  <si>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</si>
  <si>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</si>
  <si>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</si>
  <si>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</si>
  <si>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</si>
  <si>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</si>
  <si>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</si>
  <si>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</si>
  <si>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</si>
  <si>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</si>
  <si>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</si>
  <si>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</si>
  <si>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</si>
  <si>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</si>
  <si>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</si>
  <si>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</si>
  <si>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</si>
  <si>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</si>
  <si>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</si>
  <si>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</si>
  <si>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</si>
  <si>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</si>
  <si>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</si>
  <si>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</si>
  <si>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</si>
  <si>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</si>
  <si>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</si>
  <si>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</si>
  <si>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</si>
  <si>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</si>
  <si>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</si>
  <si>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</si>
  <si>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</si>
  <si>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</si>
  <si>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</si>
  <si>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</si>
  <si>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</si>
  <si>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</si>
  <si>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</si>
  <si>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</si>
  <si>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</si>
  <si>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</si>
  <si>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</si>
  <si>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</si>
  <si>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</si>
  <si>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</si>
  <si>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</si>
  <si>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</si>
  <si>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</si>
  <si>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</si>
  <si>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</si>
  <si>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</si>
  <si>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</si>
  <si>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</si>
  <si>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</si>
  <si>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</si>
  <si>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</si>
  <si>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</si>
  <si>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</si>
  <si>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</si>
  <si>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</si>
  <si>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</si>
  <si>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</si>
  <si>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</si>
  <si>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</si>
  <si>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</si>
  <si>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</si>
  <si>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</si>
  <si>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</si>
  <si>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</si>
  <si>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</si>
  <si>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</si>
  <si>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</si>
  <si>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</si>
  <si>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</si>
  <si>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</si>
  <si>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</si>
  <si>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</si>
  <si>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</si>
  <si>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</si>
  <si>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</si>
  <si>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</si>
  <si>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</si>
  <si>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</si>
  <si>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</si>
  <si>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</si>
  <si>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</si>
  <si>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</si>
  <si>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</si>
  <si>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</si>
  <si>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</si>
  <si>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</si>
  <si>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</si>
  <si>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</si>
  <si>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</si>
  <si>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</si>
  <si>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</si>
  <si>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</si>
  <si>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</si>
  <si>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</si>
  <si>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</si>
  <si>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</si>
  <si>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</si>
  <si>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</si>
  <si>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</si>
  <si>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</si>
  <si>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</si>
  <si>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</si>
  <si>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</si>
  <si>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</si>
  <si>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</si>
  <si>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</si>
  <si>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</si>
  <si>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</si>
  <si>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</si>
  <si>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</si>
  <si>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</si>
  <si>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</si>
  <si>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</si>
  <si>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</si>
  <si>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</si>
  <si>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</si>
  <si>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</si>
  <si>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</si>
  <si>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</si>
  <si>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</si>
  <si>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</si>
  <si>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</si>
  <si>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</si>
  <si>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</si>
  <si>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</si>
  <si>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</si>
  <si>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</si>
  <si>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</si>
  <si>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</si>
  <si>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</si>
  <si>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</si>
  <si>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</si>
  <si>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</si>
  <si>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</si>
  <si>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</si>
  <si>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</si>
  <si>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</si>
  <si>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</si>
  <si>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</si>
  <si>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</si>
  <si>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</si>
  <si>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</si>
  <si>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</si>
  <si>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</si>
  <si>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</si>
  <si>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</si>
  <si>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Eterna PS Group Reality Limited</t>
  </si>
  <si>
    <t>Chennai</t>
  </si>
  <si>
    <t>Powder Coating</t>
  </si>
  <si>
    <t>1.7Kpa</t>
  </si>
  <si>
    <t>W1</t>
  </si>
  <si>
    <t>M15000</t>
  </si>
  <si>
    <t>8MM</t>
  </si>
  <si>
    <t>NO</t>
  </si>
  <si>
    <t>NA</t>
  </si>
  <si>
    <t>W2</t>
  </si>
  <si>
    <t>W3</t>
  </si>
  <si>
    <t>SIDE HUNG WINDOW</t>
  </si>
  <si>
    <t>W4</t>
  </si>
  <si>
    <t>W5</t>
  </si>
  <si>
    <t>W6</t>
  </si>
  <si>
    <t>W7</t>
  </si>
  <si>
    <t>W8</t>
  </si>
  <si>
    <t>FIXED GLASS</t>
  </si>
  <si>
    <t>W9</t>
  </si>
  <si>
    <t>W10</t>
  </si>
  <si>
    <t>W11</t>
  </si>
  <si>
    <t>W12</t>
  </si>
  <si>
    <t>W13</t>
  </si>
  <si>
    <t>W14</t>
  </si>
  <si>
    <t>8mm :- 8mm Clear Toughened Glass</t>
  </si>
  <si>
    <t>ABPL-DE-19.20-2151-OP-2</t>
  </si>
  <si>
    <t>M900</t>
  </si>
  <si>
    <t>3 TRACK 2 SHUTTER SLIDING WINDOW</t>
  </si>
  <si>
    <t>SS</t>
  </si>
  <si>
    <t>M14600</t>
  </si>
  <si>
    <t>3 TRACK 2 SHUTTER SLIDING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</si>
</sst>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1478973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323022</xdr:colOff>
      <xdr:row>8</xdr:row>
      <xdr:rowOff>91109</xdr:rowOff>
    </xdr:from>
    <xdr:to>
      <xdr:col>6</xdr:col>
      <xdr:colOff>41414</xdr:colOff>
      <xdr:row>16</xdr:row>
      <xdr:rowOff>169093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022" y="1565413"/>
          <a:ext cx="1697935" cy="2595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530086</xdr:colOff>
      <xdr:row>19</xdr:row>
      <xdr:rowOff>74542</xdr:rowOff>
    </xdr:from>
    <xdr:to>
      <xdr:col>6</xdr:col>
      <xdr:colOff>91109</xdr:colOff>
      <xdr:row>27</xdr:row>
      <xdr:rowOff>200332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8086" y="4861890"/>
          <a:ext cx="1540566" cy="2643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596347</xdr:colOff>
      <xdr:row>30</xdr:row>
      <xdr:rowOff>198781</xdr:rowOff>
    </xdr:from>
    <xdr:to>
      <xdr:col>5</xdr:col>
      <xdr:colOff>1847021</xdr:colOff>
      <xdr:row>38</xdr:row>
      <xdr:rowOff>78125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47" y="8299172"/>
          <a:ext cx="1250674" cy="2397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49694</xdr:colOff>
      <xdr:row>41</xdr:row>
      <xdr:rowOff>107674</xdr:rowOff>
    </xdr:from>
    <xdr:to>
      <xdr:col>6</xdr:col>
      <xdr:colOff>364434</xdr:colOff>
      <xdr:row>49</xdr:row>
      <xdr:rowOff>71381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4" y="11521109"/>
          <a:ext cx="2294283" cy="2481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140804</xdr:colOff>
      <xdr:row>52</xdr:row>
      <xdr:rowOff>132521</xdr:rowOff>
    </xdr:from>
    <xdr:to>
      <xdr:col>6</xdr:col>
      <xdr:colOff>115957</xdr:colOff>
      <xdr:row>60</xdr:row>
      <xdr:rowOff>176576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8804" y="14858999"/>
          <a:ext cx="1954696" cy="2561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513521</xdr:colOff>
      <xdr:row>64</xdr:row>
      <xdr:rowOff>190500</xdr:rowOff>
    </xdr:from>
    <xdr:to>
      <xdr:col>5</xdr:col>
      <xdr:colOff>1813891</xdr:colOff>
      <xdr:row>70</xdr:row>
      <xdr:rowOff>91840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1521" y="18544761"/>
          <a:ext cx="1300370" cy="1789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596346</xdr:colOff>
      <xdr:row>75</xdr:row>
      <xdr:rowOff>265042</xdr:rowOff>
    </xdr:from>
    <xdr:to>
      <xdr:col>6</xdr:col>
      <xdr:colOff>99390</xdr:colOff>
      <xdr:row>80</xdr:row>
      <xdr:rowOff>173933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46" y="21932346"/>
          <a:ext cx="1482587" cy="1482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248477</xdr:colOff>
      <xdr:row>86</xdr:row>
      <xdr:rowOff>314738</xdr:rowOff>
    </xdr:from>
    <xdr:to>
      <xdr:col>6</xdr:col>
      <xdr:colOff>287341</xdr:colOff>
      <xdr:row>90</xdr:row>
      <xdr:rowOff>248477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477" y="25295086"/>
          <a:ext cx="2018407" cy="1192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96</xdr:row>
      <xdr:rowOff>157368</xdr:rowOff>
    </xdr:from>
    <xdr:to>
      <xdr:col>5</xdr:col>
      <xdr:colOff>1954695</xdr:colOff>
      <xdr:row>104</xdr:row>
      <xdr:rowOff>197360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28136020"/>
          <a:ext cx="1673087" cy="25579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687456</xdr:colOff>
      <xdr:row>107</xdr:row>
      <xdr:rowOff>57977</xdr:rowOff>
    </xdr:from>
    <xdr:to>
      <xdr:col>6</xdr:col>
      <xdr:colOff>364435</xdr:colOff>
      <xdr:row>115</xdr:row>
      <xdr:rowOff>251709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9717" y="31349673"/>
          <a:ext cx="2352261" cy="2711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612912</xdr:colOff>
      <xdr:row>118</xdr:row>
      <xdr:rowOff>173935</xdr:rowOff>
    </xdr:from>
    <xdr:to>
      <xdr:col>7</xdr:col>
      <xdr:colOff>140804</xdr:colOff>
      <xdr:row>126</xdr:row>
      <xdr:rowOff>59986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3" y="34778674"/>
          <a:ext cx="2592457" cy="2403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521804</xdr:colOff>
      <xdr:row>129</xdr:row>
      <xdr:rowOff>107674</xdr:rowOff>
    </xdr:from>
    <xdr:to>
      <xdr:col>5</xdr:col>
      <xdr:colOff>1838739</xdr:colOff>
      <xdr:row>137</xdr:row>
      <xdr:rowOff>250697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804" y="38025457"/>
          <a:ext cx="1316935" cy="2660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248478</xdr:colOff>
      <xdr:row>140</xdr:row>
      <xdr:rowOff>115956</xdr:rowOff>
    </xdr:from>
    <xdr:to>
      <xdr:col>6</xdr:col>
      <xdr:colOff>198783</xdr:colOff>
      <xdr:row>148</xdr:row>
      <xdr:rowOff>127440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478" y="41346782"/>
          <a:ext cx="1929848" cy="25293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182217</xdr:colOff>
      <xdr:row>151</xdr:row>
      <xdr:rowOff>231913</xdr:rowOff>
    </xdr:from>
    <xdr:to>
      <xdr:col>5</xdr:col>
      <xdr:colOff>1888435</xdr:colOff>
      <xdr:row>158</xdr:row>
      <xdr:rowOff>163198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7" y="44775783"/>
          <a:ext cx="1706218" cy="2134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152" sqref="C152:K16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ABPL-DE-19.20-2151-OP-2</v>
      </c>
      <c r="O2" s="540"/>
      <c r="P2" s="219" t="s">
        <v>257</v>
      </c>
    </row>
    <row r="3" spans="2:16">
      <c r="B3" s="218"/>
      <c r="C3" s="538" t="s">
        <v>126</v>
      </c>
      <c r="D3" s="538"/>
      <c r="E3" s="538"/>
      <c r="F3" s="540" t="str">
        <f>QUOTATION!F7</f>
        <v>Eterna PS Group Reality Limited</v>
      </c>
      <c r="G3" s="540"/>
      <c r="H3" s="540"/>
      <c r="I3" s="540"/>
      <c r="J3" s="540"/>
      <c r="K3" s="540"/>
      <c r="L3" s="540"/>
      <c r="M3" s="284" t="s">
        <v>104</v>
      </c>
      <c r="N3" s="545">
        <f>QUOTATION!M7</f>
        <v>43686</v>
      </c>
      <c r="O3" s="546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Chennai</v>
      </c>
      <c r="G4" s="538"/>
      <c r="H4" s="538"/>
      <c r="I4" s="541" t="s">
        <v>180</v>
      </c>
      <c r="J4" s="541"/>
      <c r="K4" s="540" t="str">
        <f>QUOTATION!I8</f>
        <v>1.7Kpa</v>
      </c>
      <c r="L4" s="540"/>
      <c r="M4" s="284" t="s">
        <v>105</v>
      </c>
      <c r="N4" s="286" t="str">
        <f>QUOTATION!M8</f>
        <v>R0</v>
      </c>
      <c r="O4" s="287">
        <f>QUOTATION!N8</f>
        <v>43686</v>
      </c>
    </row>
    <row r="5" spans="2:16">
      <c r="B5" s="218"/>
      <c r="C5" s="538" t="s">
        <v>169</v>
      </c>
      <c r="D5" s="538"/>
      <c r="E5" s="538"/>
      <c r="F5" s="540" t="str">
        <f>QUOTATION!F9</f>
        <v>Mr. Raju Savasi : 9840355091</v>
      </c>
      <c r="G5" s="540"/>
      <c r="H5" s="540"/>
      <c r="I5" s="540"/>
      <c r="J5" s="540"/>
      <c r="K5" s="540"/>
      <c r="L5" s="540"/>
      <c r="M5" s="284" t="s">
        <v>179</v>
      </c>
      <c r="N5" s="540" t="str">
        <f>QUOTATION!M9</f>
        <v>Bal Kumari</v>
      </c>
      <c r="O5" s="540"/>
    </row>
    <row r="6" spans="2:16">
      <c r="B6" s="218"/>
      <c r="C6" s="538" t="s">
        <v>177</v>
      </c>
      <c r="D6" s="538"/>
      <c r="E6" s="538"/>
      <c r="F6" s="285" t="str">
        <f>QUOTATION!F10</f>
        <v>Powder Coating</v>
      </c>
      <c r="G6" s="538"/>
      <c r="H6" s="538"/>
      <c r="I6" s="541" t="s">
        <v>178</v>
      </c>
      <c r="J6" s="541"/>
      <c r="K6" s="540" t="str">
        <f>QUOTATION!I10</f>
        <v>White</v>
      </c>
      <c r="L6" s="540"/>
      <c r="M6" s="320" t="s">
        <v>374</v>
      </c>
      <c r="N6" s="547">
        <f>'BD Team'!J5</f>
        <v>0</v>
      </c>
      <c r="O6" s="548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254</v>
      </c>
      <c r="D8" s="538"/>
      <c r="E8" s="286" t="str">
        <f>'BD Team'!B9</f>
        <v>W1</v>
      </c>
      <c r="F8" s="288" t="s">
        <v>255</v>
      </c>
      <c r="G8" s="540" t="str">
        <f>'BD Team'!D9</f>
        <v>3 TRACK 2 SHUTTER SLIDING WINDOW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127</v>
      </c>
      <c r="M9" s="538"/>
      <c r="N9" s="543" t="str">
        <f>'BD Team'!G9</f>
        <v>NA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247</v>
      </c>
      <c r="M10" s="538"/>
      <c r="N10" s="540" t="str">
        <f>$F$6</f>
        <v>Powder Coating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178</v>
      </c>
      <c r="M11" s="538"/>
      <c r="N11" s="540" t="str">
        <f>$K$6</f>
        <v>White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248</v>
      </c>
      <c r="M12" s="538"/>
      <c r="N12" s="549" t="s">
        <v>256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249</v>
      </c>
      <c r="M13" s="538"/>
      <c r="N13" s="540" t="str">
        <f>CONCATENATE('BD Team'!H9," X ",'BD Team'!I9)</f>
        <v>1220 X 1525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250</v>
      </c>
      <c r="M14" s="538"/>
      <c r="N14" s="539">
        <f>'BD Team'!J9</f>
        <v>20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251</v>
      </c>
      <c r="M15" s="538"/>
      <c r="N15" s="540" t="str">
        <f>'BD Team'!C9</f>
        <v>M900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252</v>
      </c>
      <c r="M16" s="538"/>
      <c r="N16" s="540" t="str">
        <f>'BD Team'!E9</f>
        <v>8MM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253</v>
      </c>
      <c r="M17" s="538"/>
      <c r="N17" s="540" t="str">
        <f>'BD Team'!F9</f>
        <v>SS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254</v>
      </c>
      <c r="D19" s="538"/>
      <c r="E19" s="286" t="str">
        <f>'BD Team'!B10</f>
        <v>W2</v>
      </c>
      <c r="F19" s="288" t="s">
        <v>255</v>
      </c>
      <c r="G19" s="540" t="str">
        <f>'BD Team'!D10</f>
        <v>3 TRACK 2 SHUTTER SLIDING WINDOW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127</v>
      </c>
      <c r="M20" s="538"/>
      <c r="N20" s="543" t="str">
        <f>'BD Team'!G10</f>
        <v>NA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247</v>
      </c>
      <c r="M21" s="538"/>
      <c r="N21" s="540" t="str">
        <f>$F$6</f>
        <v>Powder Coating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178</v>
      </c>
      <c r="M22" s="538"/>
      <c r="N22" s="540" t="str">
        <f>$K$6</f>
        <v>White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248</v>
      </c>
      <c r="M23" s="538"/>
      <c r="N23" s="543" t="s">
        <v>256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249</v>
      </c>
      <c r="M24" s="538"/>
      <c r="N24" s="540" t="str">
        <f>CONCATENATE('BD Team'!H10," X ",'BD Team'!I10)</f>
        <v>1070 X 1525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250</v>
      </c>
      <c r="M25" s="538"/>
      <c r="N25" s="539">
        <f>'BD Team'!J10</f>
        <v>2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251</v>
      </c>
      <c r="M26" s="538"/>
      <c r="N26" s="540" t="str">
        <f>'BD Team'!C10</f>
        <v>M900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252</v>
      </c>
      <c r="M27" s="538"/>
      <c r="N27" s="540" t="str">
        <f>'BD Team'!E10</f>
        <v>8MM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253</v>
      </c>
      <c r="M28" s="538"/>
      <c r="N28" s="540" t="str">
        <f>'BD Team'!F10</f>
        <v>SS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254</v>
      </c>
      <c r="D30" s="538"/>
      <c r="E30" s="286" t="str">
        <f>'BD Team'!B11</f>
        <v>W3</v>
      </c>
      <c r="F30" s="288" t="s">
        <v>255</v>
      </c>
      <c r="G30" s="540" t="str">
        <f>'BD Team'!D11</f>
        <v>SIDE HUNG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127</v>
      </c>
      <c r="M31" s="538"/>
      <c r="N31" s="543" t="str">
        <f>'BD Team'!G11</f>
        <v>NA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247</v>
      </c>
      <c r="M32" s="538"/>
      <c r="N32" s="540" t="str">
        <f>$F$6</f>
        <v>Powder Coating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178</v>
      </c>
      <c r="M33" s="538"/>
      <c r="N33" s="540" t="str">
        <f>$K$6</f>
        <v>White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248</v>
      </c>
      <c r="M34" s="538"/>
      <c r="N34" s="543" t="s">
        <v>256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249</v>
      </c>
      <c r="M35" s="538"/>
      <c r="N35" s="540" t="str">
        <f>CONCATENATE('BD Team'!H11," X ",'BD Team'!I11)</f>
        <v>690 X 1525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250</v>
      </c>
      <c r="M36" s="538"/>
      <c r="N36" s="539">
        <f>'BD Team'!J11</f>
        <v>2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251</v>
      </c>
      <c r="M37" s="538"/>
      <c r="N37" s="540" t="str">
        <f>'BD Team'!C11</f>
        <v>M15000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252</v>
      </c>
      <c r="M38" s="538"/>
      <c r="N38" s="540" t="str">
        <f>'BD Team'!E11</f>
        <v>8MM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253</v>
      </c>
      <c r="M39" s="538"/>
      <c r="N39" s="540" t="str">
        <f>'BD Team'!F11</f>
        <v>NO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254</v>
      </c>
      <c r="D41" s="538"/>
      <c r="E41" s="286" t="str">
        <f>'BD Team'!B12</f>
        <v>W4</v>
      </c>
      <c r="F41" s="288" t="s">
        <v>255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127</v>
      </c>
      <c r="M42" s="538"/>
      <c r="N42" s="543" t="str">
        <f>'BD Team'!G12</f>
        <v>NA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247</v>
      </c>
      <c r="M43" s="538"/>
      <c r="N43" s="540" t="str">
        <f>$F$6</f>
        <v>Powder Coating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178</v>
      </c>
      <c r="M44" s="538"/>
      <c r="N44" s="540" t="str">
        <f>$K$6</f>
        <v>White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248</v>
      </c>
      <c r="M45" s="538"/>
      <c r="N45" s="543" t="s">
        <v>256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249</v>
      </c>
      <c r="M46" s="538"/>
      <c r="N46" s="540" t="str">
        <f>CONCATENATE('BD Team'!H12," X ",'BD Team'!I12)</f>
        <v>1830 X 1525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250</v>
      </c>
      <c r="M47" s="538"/>
      <c r="N47" s="539">
        <f>'BD Team'!J12</f>
        <v>2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251</v>
      </c>
      <c r="M48" s="538"/>
      <c r="N48" s="540" t="str">
        <f>'BD Team'!C12</f>
        <v>M900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252</v>
      </c>
      <c r="M49" s="538"/>
      <c r="N49" s="540" t="str">
        <f>'BD Team'!E12</f>
        <v>8MM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253</v>
      </c>
      <c r="M50" s="538"/>
      <c r="N50" s="540" t="str">
        <f>'BD Team'!F12</f>
        <v>SS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254</v>
      </c>
      <c r="D52" s="538"/>
      <c r="E52" s="286" t="str">
        <f>'BD Team'!B13</f>
        <v>W5</v>
      </c>
      <c r="F52" s="288" t="s">
        <v>255</v>
      </c>
      <c r="G52" s="540" t="str">
        <f>'BD Team'!D13</f>
        <v>3 TRACK 2 SHUTTER SLIDING WINDOW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127</v>
      </c>
      <c r="M53" s="538"/>
      <c r="N53" s="543" t="str">
        <f>'BD Team'!G13</f>
        <v>NA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247</v>
      </c>
      <c r="M54" s="538"/>
      <c r="N54" s="540" t="str">
        <f>$F$6</f>
        <v>Powder Coating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178</v>
      </c>
      <c r="M55" s="538"/>
      <c r="N55" s="540" t="str">
        <f>$K$6</f>
        <v>White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248</v>
      </c>
      <c r="M56" s="538"/>
      <c r="N56" s="543" t="s">
        <v>256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249</v>
      </c>
      <c r="M57" s="538"/>
      <c r="N57" s="540" t="str">
        <f>CONCATENATE('BD Team'!H13," X ",'BD Team'!I13)</f>
        <v>1220 X 1220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250</v>
      </c>
      <c r="M58" s="538"/>
      <c r="N58" s="539">
        <f>'BD Team'!J13</f>
        <v>4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251</v>
      </c>
      <c r="M59" s="538"/>
      <c r="N59" s="540" t="str">
        <f>'BD Team'!C13</f>
        <v>M900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252</v>
      </c>
      <c r="M60" s="538"/>
      <c r="N60" s="540" t="str">
        <f>'BD Team'!E13</f>
        <v>8MM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253</v>
      </c>
      <c r="M61" s="538"/>
      <c r="N61" s="540" t="str">
        <f>'BD Team'!F13</f>
        <v>SS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254</v>
      </c>
      <c r="D63" s="538"/>
      <c r="E63" s="286" t="str">
        <f>'BD Team'!B14</f>
        <v>W6</v>
      </c>
      <c r="F63" s="288" t="s">
        <v>255</v>
      </c>
      <c r="G63" s="540" t="str">
        <f>'BD Team'!D14</f>
        <v>SIDE HUNG WINDOW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127</v>
      </c>
      <c r="M64" s="538"/>
      <c r="N64" s="543" t="str">
        <f>'BD Team'!G14</f>
        <v>NA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247</v>
      </c>
      <c r="M65" s="538"/>
      <c r="N65" s="540" t="str">
        <f>$F$6</f>
        <v>Powder Coating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178</v>
      </c>
      <c r="M66" s="538"/>
      <c r="N66" s="540" t="str">
        <f>$K$6</f>
        <v>White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248</v>
      </c>
      <c r="M67" s="538"/>
      <c r="N67" s="543" t="s">
        <v>256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249</v>
      </c>
      <c r="M68" s="538"/>
      <c r="N68" s="540" t="str">
        <f>CONCATENATE('BD Team'!H14," X ",'BD Team'!I14)</f>
        <v>610 X 915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250</v>
      </c>
      <c r="M69" s="538"/>
      <c r="N69" s="539">
        <f>'BD Team'!J14</f>
        <v>18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251</v>
      </c>
      <c r="M70" s="538"/>
      <c r="N70" s="540" t="str">
        <f>'BD Team'!C14</f>
        <v>M15000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252</v>
      </c>
      <c r="M71" s="538"/>
      <c r="N71" s="540" t="str">
        <f>'BD Team'!E14</f>
        <v>8MM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253</v>
      </c>
      <c r="M72" s="538"/>
      <c r="N72" s="540" t="str">
        <f>'BD Team'!F14</f>
        <v>NO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254</v>
      </c>
      <c r="D74" s="538"/>
      <c r="E74" s="286" t="str">
        <f>'BD Team'!B15</f>
        <v>W7</v>
      </c>
      <c r="F74" s="288" t="s">
        <v>255</v>
      </c>
      <c r="G74" s="540" t="str">
        <f>'BD Team'!D15</f>
        <v>SIDE HUNG WINDOW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127</v>
      </c>
      <c r="M75" s="538"/>
      <c r="N75" s="543" t="str">
        <f>'BD Team'!G15</f>
        <v>NA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247</v>
      </c>
      <c r="M76" s="538"/>
      <c r="N76" s="540" t="str">
        <f>$F$6</f>
        <v>Powder Coating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178</v>
      </c>
      <c r="M77" s="538"/>
      <c r="N77" s="540" t="str">
        <f>$K$6</f>
        <v>White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248</v>
      </c>
      <c r="M78" s="538"/>
      <c r="N78" s="543" t="s">
        <v>256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249</v>
      </c>
      <c r="M79" s="538"/>
      <c r="N79" s="540" t="str">
        <f>CONCATENATE('BD Team'!H15," X ",'BD Team'!I15)</f>
        <v>610 X 610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250</v>
      </c>
      <c r="M80" s="538"/>
      <c r="N80" s="539">
        <f>'BD Team'!J15</f>
        <v>3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251</v>
      </c>
      <c r="M81" s="538"/>
      <c r="N81" s="540" t="str">
        <f>'BD Team'!C15</f>
        <v>M15000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252</v>
      </c>
      <c r="M82" s="538"/>
      <c r="N82" s="540" t="str">
        <f>'BD Team'!E15</f>
        <v>8MM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253</v>
      </c>
      <c r="M83" s="538"/>
      <c r="N83" s="540" t="str">
        <f>'BD Team'!F15</f>
        <v>NO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254</v>
      </c>
      <c r="D85" s="538"/>
      <c r="E85" s="286" t="str">
        <f>'BD Team'!B16</f>
        <v>W8</v>
      </c>
      <c r="F85" s="288" t="s">
        <v>255</v>
      </c>
      <c r="G85" s="540" t="str">
        <f>'BD Team'!D16</f>
        <v>FIXED GLASS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127</v>
      </c>
      <c r="M86" s="538"/>
      <c r="N86" s="543" t="str">
        <f>'BD Team'!G16</f>
        <v>NA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247</v>
      </c>
      <c r="M87" s="538"/>
      <c r="N87" s="540" t="str">
        <f>$F$6</f>
        <v>Powder Coating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178</v>
      </c>
      <c r="M88" s="538"/>
      <c r="N88" s="540" t="str">
        <f>$K$6</f>
        <v>White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248</v>
      </c>
      <c r="M89" s="538"/>
      <c r="N89" s="543" t="s">
        <v>256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249</v>
      </c>
      <c r="M90" s="538"/>
      <c r="N90" s="540" t="str">
        <f>CONCATENATE('BD Team'!H16," X ",'BD Team'!I16)</f>
        <v>915 X 460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250</v>
      </c>
      <c r="M91" s="538"/>
      <c r="N91" s="539">
        <f>'BD Team'!J16</f>
        <v>3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251</v>
      </c>
      <c r="M92" s="538"/>
      <c r="N92" s="540" t="str">
        <f>'BD Team'!C16</f>
        <v>M15000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252</v>
      </c>
      <c r="M93" s="538"/>
      <c r="N93" s="540" t="str">
        <f>'BD Team'!E16</f>
        <v>8MM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253</v>
      </c>
      <c r="M94" s="538"/>
      <c r="N94" s="540" t="str">
        <f>'BD Team'!F16</f>
        <v>NO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254</v>
      </c>
      <c r="D96" s="538"/>
      <c r="E96" s="286" t="str">
        <f>'BD Team'!B17</f>
        <v>W9</v>
      </c>
      <c r="F96" s="288" t="s">
        <v>255</v>
      </c>
      <c r="G96" s="540" t="str">
        <f>'BD Team'!D17</f>
        <v>3 TRACK 2 SHUTTER SLIDING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127</v>
      </c>
      <c r="M97" s="538"/>
      <c r="N97" s="543" t="str">
        <f>'BD Team'!G17</f>
        <v>NA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247</v>
      </c>
      <c r="M98" s="538"/>
      <c r="N98" s="540" t="str">
        <f>$F$6</f>
        <v>Powder Coating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178</v>
      </c>
      <c r="M99" s="538"/>
      <c r="N99" s="540" t="str">
        <f>$K$6</f>
        <v>White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248</v>
      </c>
      <c r="M100" s="538"/>
      <c r="N100" s="543" t="s">
        <v>256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249</v>
      </c>
      <c r="M101" s="538"/>
      <c r="N101" s="540" t="str">
        <f>CONCATENATE('BD Team'!H17," X ",'BD Team'!I17)</f>
        <v>1220 X 1525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250</v>
      </c>
      <c r="M102" s="538"/>
      <c r="N102" s="539">
        <f>'BD Team'!J17</f>
        <v>3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251</v>
      </c>
      <c r="M103" s="538"/>
      <c r="N103" s="540" t="str">
        <f>'BD Team'!C17</f>
        <v>M900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252</v>
      </c>
      <c r="M104" s="538"/>
      <c r="N104" s="540" t="str">
        <f>'BD Team'!E17</f>
        <v>8MM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253</v>
      </c>
      <c r="M105" s="538"/>
      <c r="N105" s="540" t="str">
        <f>'BD Team'!F17</f>
        <v>SS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254</v>
      </c>
      <c r="D107" s="538"/>
      <c r="E107" s="286" t="str">
        <f>'BD Team'!B18</f>
        <v>W10</v>
      </c>
      <c r="F107" s="288" t="s">
        <v>255</v>
      </c>
      <c r="G107" s="540" t="str">
        <f>'BD Team'!D18</f>
        <v>3 TRACK 2 SHUTTER SLIDING DOOR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127</v>
      </c>
      <c r="M108" s="538"/>
      <c r="N108" s="543" t="str">
        <f>'BD Team'!G18</f>
        <v>NA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247</v>
      </c>
      <c r="M109" s="538"/>
      <c r="N109" s="540" t="str">
        <f>$F$6</f>
        <v>Powder Coating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178</v>
      </c>
      <c r="M110" s="538"/>
      <c r="N110" s="540" t="str">
        <f>$K$6</f>
        <v>White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248</v>
      </c>
      <c r="M111" s="538"/>
      <c r="N111" s="543" t="s">
        <v>256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249</v>
      </c>
      <c r="M112" s="538"/>
      <c r="N112" s="540" t="str">
        <f>CONCATENATE('BD Team'!H18," X ",'BD Team'!I18)</f>
        <v>2440 X 2290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250</v>
      </c>
      <c r="M113" s="538"/>
      <c r="N113" s="539">
        <f>'BD Team'!J18</f>
        <v>3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251</v>
      </c>
      <c r="M114" s="538"/>
      <c r="N114" s="540" t="str">
        <f>'BD Team'!C18</f>
        <v>M14600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252</v>
      </c>
      <c r="M115" s="538"/>
      <c r="N115" s="540" t="str">
        <f>'BD Team'!E18</f>
        <v>8MM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253</v>
      </c>
      <c r="M116" s="538"/>
      <c r="N116" s="540" t="str">
        <f>'BD Team'!F18</f>
        <v>SS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254</v>
      </c>
      <c r="D118" s="538"/>
      <c r="E118" s="286" t="str">
        <f>'BD Team'!B19</f>
        <v>W11</v>
      </c>
      <c r="F118" s="288" t="s">
        <v>255</v>
      </c>
      <c r="G118" s="540" t="str">
        <f>'BD Team'!D19</f>
        <v>3 TRACK 2 SHUTTER SLIDING WINDOW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127</v>
      </c>
      <c r="M119" s="538"/>
      <c r="N119" s="543" t="str">
        <f>'BD Team'!G19</f>
        <v>NA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247</v>
      </c>
      <c r="M120" s="538"/>
      <c r="N120" s="540" t="str">
        <f>$F$6</f>
        <v>Powder Coating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178</v>
      </c>
      <c r="M121" s="538"/>
      <c r="N121" s="540" t="str">
        <f>$K$6</f>
        <v>White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248</v>
      </c>
      <c r="M122" s="538"/>
      <c r="N122" s="543" t="s">
        <v>256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249</v>
      </c>
      <c r="M123" s="538"/>
      <c r="N123" s="540" t="str">
        <f>CONCATENATE('BD Team'!H19," X ",'BD Team'!I19)</f>
        <v>1830 X 1220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250</v>
      </c>
      <c r="M124" s="538"/>
      <c r="N124" s="539">
        <f>'BD Team'!J19</f>
        <v>2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251</v>
      </c>
      <c r="M125" s="538"/>
      <c r="N125" s="540" t="str">
        <f>'BD Team'!C19</f>
        <v>M900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252</v>
      </c>
      <c r="M126" s="538"/>
      <c r="N126" s="540" t="str">
        <f>'BD Team'!E19</f>
        <v>8MM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253</v>
      </c>
      <c r="M127" s="538"/>
      <c r="N127" s="540" t="str">
        <f>'BD Team'!F19</f>
        <v>SS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254</v>
      </c>
      <c r="D129" s="538"/>
      <c r="E129" s="286" t="str">
        <f>'BD Team'!B20</f>
        <v>W12</v>
      </c>
      <c r="F129" s="288" t="s">
        <v>255</v>
      </c>
      <c r="G129" s="540" t="str">
        <f>'BD Team'!D20</f>
        <v>3 TRACK 2 SHUTTER SLIDING DOOR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127</v>
      </c>
      <c r="M130" s="538"/>
      <c r="N130" s="543" t="str">
        <f>'BD Team'!G20</f>
        <v>NA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247</v>
      </c>
      <c r="M131" s="538"/>
      <c r="N131" s="540" t="str">
        <f>$F$6</f>
        <v>Powder Coating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178</v>
      </c>
      <c r="M132" s="538"/>
      <c r="N132" s="540" t="str">
        <f>$K$6</f>
        <v>White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248</v>
      </c>
      <c r="M133" s="538"/>
      <c r="N133" s="543" t="s">
        <v>256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249</v>
      </c>
      <c r="M134" s="538"/>
      <c r="N134" s="540" t="str">
        <f>CONCATENATE('BD Team'!H20," X ",'BD Team'!I20)</f>
        <v>1220 X 2135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250</v>
      </c>
      <c r="M135" s="538"/>
      <c r="N135" s="539">
        <f>'BD Team'!J20</f>
        <v>1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251</v>
      </c>
      <c r="M136" s="538"/>
      <c r="N136" s="540" t="str">
        <f>'BD Team'!C20</f>
        <v>M14600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252</v>
      </c>
      <c r="M137" s="538"/>
      <c r="N137" s="540" t="str">
        <f>'BD Team'!E20</f>
        <v>8MM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253</v>
      </c>
      <c r="M138" s="538"/>
      <c r="N138" s="540" t="str">
        <f>'BD Team'!F20</f>
        <v>SS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254</v>
      </c>
      <c r="D140" s="538"/>
      <c r="E140" s="286" t="str">
        <f>'BD Team'!B21</f>
        <v>W13</v>
      </c>
      <c r="F140" s="288" t="s">
        <v>255</v>
      </c>
      <c r="G140" s="540" t="str">
        <f>'BD Team'!D21</f>
        <v>3 TRACK 2 SHUTTER SLIDING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127</v>
      </c>
      <c r="M141" s="538"/>
      <c r="N141" s="543" t="str">
        <f>'BD Team'!G21</f>
        <v>NA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247</v>
      </c>
      <c r="M142" s="538"/>
      <c r="N142" s="540" t="str">
        <f>$F$6</f>
        <v>Powder Coating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178</v>
      </c>
      <c r="M143" s="538"/>
      <c r="N143" s="540" t="str">
        <f>$K$6</f>
        <v>White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248</v>
      </c>
      <c r="M144" s="538"/>
      <c r="N144" s="543" t="s">
        <v>256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249</v>
      </c>
      <c r="M145" s="538"/>
      <c r="N145" s="540" t="str">
        <f>CONCATENATE('BD Team'!H21," X ",'BD Team'!I21)</f>
        <v>1220 X 1220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250</v>
      </c>
      <c r="M146" s="538"/>
      <c r="N146" s="539">
        <f>'BD Team'!J21</f>
        <v>1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251</v>
      </c>
      <c r="M147" s="538"/>
      <c r="N147" s="540" t="str">
        <f>'BD Team'!C21</f>
        <v>M900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252</v>
      </c>
      <c r="M148" s="538"/>
      <c r="N148" s="540" t="str">
        <f>'BD Team'!E21</f>
        <v>8MM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253</v>
      </c>
      <c r="M149" s="538"/>
      <c r="N149" s="540" t="str">
        <f>'BD Team'!F21</f>
        <v>SS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254</v>
      </c>
      <c r="D151" s="538"/>
      <c r="E151" s="286" t="str">
        <f>'BD Team'!B22</f>
        <v>W14</v>
      </c>
      <c r="F151" s="288" t="s">
        <v>255</v>
      </c>
      <c r="G151" s="540" t="str">
        <f>'BD Team'!D22</f>
        <v>SIDE HUNG WINDOW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127</v>
      </c>
      <c r="M152" s="538"/>
      <c r="N152" s="543" t="str">
        <f>'BD Team'!G22</f>
        <v>NA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247</v>
      </c>
      <c r="M153" s="538"/>
      <c r="N153" s="540" t="str">
        <f>$F$6</f>
        <v>Powder Coating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178</v>
      </c>
      <c r="M154" s="538"/>
      <c r="N154" s="540" t="str">
        <f>$K$6</f>
        <v>White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248</v>
      </c>
      <c r="M155" s="538"/>
      <c r="N155" s="543" t="s">
        <v>256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249</v>
      </c>
      <c r="M156" s="538"/>
      <c r="N156" s="540" t="str">
        <f>CONCATENATE('BD Team'!H22," X ",'BD Team'!I22)</f>
        <v>915 X 1220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250</v>
      </c>
      <c r="M157" s="538"/>
      <c r="N157" s="539">
        <f>'BD Team'!J22</f>
        <v>1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251</v>
      </c>
      <c r="M158" s="538"/>
      <c r="N158" s="540" t="str">
        <f>'BD Team'!C22</f>
        <v>M15000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252</v>
      </c>
      <c r="M159" s="538"/>
      <c r="N159" s="540" t="str">
        <f>'BD Team'!E22</f>
        <v>8MM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253</v>
      </c>
      <c r="M160" s="538"/>
      <c r="N160" s="540" t="str">
        <f>'BD Team'!F22</f>
        <v>NO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254</v>
      </c>
      <c r="D162" s="538"/>
      <c r="E162" s="286">
        <f>'BD Team'!B23</f>
        <v>0</v>
      </c>
      <c r="F162" s="288" t="s">
        <v>255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127</v>
      </c>
      <c r="M163" s="538"/>
      <c r="N163" s="543">
        <f>'BD Team'!G23</f>
        <v>0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247</v>
      </c>
      <c r="M164" s="538"/>
      <c r="N164" s="540" t="str">
        <f>$F$6</f>
        <v>Powder Coating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178</v>
      </c>
      <c r="M165" s="538"/>
      <c r="N165" s="540" t="str">
        <f>$K$6</f>
        <v>White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248</v>
      </c>
      <c r="M166" s="538"/>
      <c r="N166" s="543" t="s">
        <v>256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249</v>
      </c>
      <c r="M167" s="538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250</v>
      </c>
      <c r="M168" s="538"/>
      <c r="N168" s="539">
        <f>'BD Team'!J23</f>
        <v>0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251</v>
      </c>
      <c r="M169" s="538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252</v>
      </c>
      <c r="M170" s="538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253</v>
      </c>
      <c r="M171" s="538"/>
      <c r="N171" s="540">
        <f>'BD Team'!F23</f>
        <v>0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254</v>
      </c>
      <c r="D173" s="538"/>
      <c r="E173" s="286">
        <f>'BD Team'!B24</f>
        <v>0</v>
      </c>
      <c r="F173" s="288" t="s">
        <v>255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127</v>
      </c>
      <c r="M174" s="538"/>
      <c r="N174" s="543">
        <f>'BD Team'!G24</f>
        <v>0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247</v>
      </c>
      <c r="M175" s="538"/>
      <c r="N175" s="540" t="str">
        <f>$F$6</f>
        <v>Powder Coating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178</v>
      </c>
      <c r="M176" s="538"/>
      <c r="N176" s="540" t="str">
        <f>$K$6</f>
        <v>White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248</v>
      </c>
      <c r="M177" s="538"/>
      <c r="N177" s="543" t="s">
        <v>256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249</v>
      </c>
      <c r="M178" s="538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250</v>
      </c>
      <c r="M179" s="538"/>
      <c r="N179" s="539">
        <f>'BD Team'!J24</f>
        <v>0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251</v>
      </c>
      <c r="M180" s="538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252</v>
      </c>
      <c r="M181" s="538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253</v>
      </c>
      <c r="M182" s="538"/>
      <c r="N182" s="540">
        <f>'BD Team'!F24</f>
        <v>0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254</v>
      </c>
      <c r="D184" s="538"/>
      <c r="E184" s="286">
        <f>'BD Team'!B25</f>
        <v>0</v>
      </c>
      <c r="F184" s="288" t="s">
        <v>255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127</v>
      </c>
      <c r="M185" s="538"/>
      <c r="N185" s="543">
        <f>'BD Team'!G25</f>
        <v>0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247</v>
      </c>
      <c r="M186" s="538"/>
      <c r="N186" s="540" t="str">
        <f>$F$6</f>
        <v>Powder Coating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178</v>
      </c>
      <c r="M187" s="538"/>
      <c r="N187" s="540" t="str">
        <f>$K$6</f>
        <v>White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248</v>
      </c>
      <c r="M188" s="538"/>
      <c r="N188" s="543" t="s">
        <v>256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249</v>
      </c>
      <c r="M189" s="538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250</v>
      </c>
      <c r="M190" s="538"/>
      <c r="N190" s="539">
        <f>'BD Team'!J25</f>
        <v>0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251</v>
      </c>
      <c r="M191" s="538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252</v>
      </c>
      <c r="M192" s="538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253</v>
      </c>
      <c r="M193" s="538"/>
      <c r="N193" s="540">
        <f>'BD Team'!F25</f>
        <v>0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254</v>
      </c>
      <c r="D195" s="538"/>
      <c r="E195" s="286">
        <f>'BD Team'!B26</f>
        <v>0</v>
      </c>
      <c r="F195" s="288" t="s">
        <v>255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127</v>
      </c>
      <c r="M196" s="538"/>
      <c r="N196" s="543">
        <f>'BD Team'!G26</f>
        <v>0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247</v>
      </c>
      <c r="M197" s="538"/>
      <c r="N197" s="540" t="str">
        <f>$F$6</f>
        <v>Powder Coating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178</v>
      </c>
      <c r="M198" s="538"/>
      <c r="N198" s="540" t="str">
        <f>$K$6</f>
        <v>White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248</v>
      </c>
      <c r="M199" s="538"/>
      <c r="N199" s="543" t="s">
        <v>256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249</v>
      </c>
      <c r="M200" s="538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250</v>
      </c>
      <c r="M201" s="538"/>
      <c r="N201" s="539">
        <f>'BD Team'!J26</f>
        <v>0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251</v>
      </c>
      <c r="M202" s="538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252</v>
      </c>
      <c r="M203" s="538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253</v>
      </c>
      <c r="M204" s="538"/>
      <c r="N204" s="540">
        <f>'BD Team'!F26</f>
        <v>0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254</v>
      </c>
      <c r="D206" s="538"/>
      <c r="E206" s="286">
        <f>'BD Team'!B27</f>
        <v>0</v>
      </c>
      <c r="F206" s="288" t="s">
        <v>255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127</v>
      </c>
      <c r="M207" s="538"/>
      <c r="N207" s="543">
        <f>'BD Team'!G27</f>
        <v>0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247</v>
      </c>
      <c r="M208" s="538"/>
      <c r="N208" s="540" t="str">
        <f>$F$6</f>
        <v>Powder Coating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178</v>
      </c>
      <c r="M209" s="538"/>
      <c r="N209" s="540" t="str">
        <f>$K$6</f>
        <v>White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248</v>
      </c>
      <c r="M210" s="538"/>
      <c r="N210" s="543" t="s">
        <v>256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249</v>
      </c>
      <c r="M211" s="538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250</v>
      </c>
      <c r="M212" s="538"/>
      <c r="N212" s="539">
        <f>'BD Team'!J27</f>
        <v>0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251</v>
      </c>
      <c r="M213" s="538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252</v>
      </c>
      <c r="M214" s="538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253</v>
      </c>
      <c r="M215" s="538"/>
      <c r="N215" s="540">
        <f>'BD Team'!F27</f>
        <v>0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254</v>
      </c>
      <c r="D217" s="538"/>
      <c r="E217" s="286">
        <f>'BD Team'!B28</f>
        <v>0</v>
      </c>
      <c r="F217" s="288" t="s">
        <v>255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127</v>
      </c>
      <c r="M218" s="538"/>
      <c r="N218" s="543">
        <f>'BD Team'!G28</f>
        <v>0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247</v>
      </c>
      <c r="M219" s="538"/>
      <c r="N219" s="540" t="str">
        <f>$F$6</f>
        <v>Powder Coating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178</v>
      </c>
      <c r="M220" s="538"/>
      <c r="N220" s="540" t="str">
        <f>$K$6</f>
        <v>White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248</v>
      </c>
      <c r="M221" s="538"/>
      <c r="N221" s="543" t="s">
        <v>256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249</v>
      </c>
      <c r="M222" s="538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250</v>
      </c>
      <c r="M223" s="538"/>
      <c r="N223" s="539">
        <f>'BD Team'!J28</f>
        <v>0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251</v>
      </c>
      <c r="M224" s="538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252</v>
      </c>
      <c r="M225" s="538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253</v>
      </c>
      <c r="M226" s="538"/>
      <c r="N226" s="540">
        <f>'BD Team'!F28</f>
        <v>0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254</v>
      </c>
      <c r="D228" s="538"/>
      <c r="E228" s="286">
        <f>'BD Team'!B29</f>
        <v>0</v>
      </c>
      <c r="F228" s="288" t="s">
        <v>255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127</v>
      </c>
      <c r="M229" s="538"/>
      <c r="N229" s="543">
        <f>'BD Team'!G29</f>
        <v>0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247</v>
      </c>
      <c r="M230" s="538"/>
      <c r="N230" s="540" t="str">
        <f>$F$6</f>
        <v>Powder Coating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178</v>
      </c>
      <c r="M231" s="538"/>
      <c r="N231" s="540" t="str">
        <f>$K$6</f>
        <v>White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248</v>
      </c>
      <c r="M232" s="538"/>
      <c r="N232" s="543" t="s">
        <v>256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249</v>
      </c>
      <c r="M233" s="538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250</v>
      </c>
      <c r="M234" s="538"/>
      <c r="N234" s="539">
        <f>'BD Team'!J29</f>
        <v>0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251</v>
      </c>
      <c r="M235" s="538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252</v>
      </c>
      <c r="M236" s="538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253</v>
      </c>
      <c r="M237" s="538"/>
      <c r="N237" s="540">
        <f>'BD Team'!F29</f>
        <v>0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254</v>
      </c>
      <c r="D239" s="538"/>
      <c r="E239" s="286">
        <f>'BD Team'!B30</f>
        <v>0</v>
      </c>
      <c r="F239" s="288" t="s">
        <v>255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127</v>
      </c>
      <c r="M240" s="538"/>
      <c r="N240" s="543">
        <f>'BD Team'!G30</f>
        <v>0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247</v>
      </c>
      <c r="M241" s="538"/>
      <c r="N241" s="540" t="str">
        <f>$F$6</f>
        <v>Powder Coating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178</v>
      </c>
      <c r="M242" s="538"/>
      <c r="N242" s="540" t="str">
        <f>$K$6</f>
        <v>White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248</v>
      </c>
      <c r="M243" s="538"/>
      <c r="N243" s="543" t="s">
        <v>256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249</v>
      </c>
      <c r="M244" s="538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250</v>
      </c>
      <c r="M245" s="538"/>
      <c r="N245" s="539">
        <f>'BD Team'!J30</f>
        <v>0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251</v>
      </c>
      <c r="M246" s="538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252</v>
      </c>
      <c r="M247" s="538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253</v>
      </c>
      <c r="M248" s="538"/>
      <c r="N248" s="540">
        <f>'BD Team'!F30</f>
        <v>0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254</v>
      </c>
      <c r="D250" s="538"/>
      <c r="E250" s="286">
        <f>'BD Team'!B31</f>
        <v>0</v>
      </c>
      <c r="F250" s="288" t="s">
        <v>255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127</v>
      </c>
      <c r="M251" s="538"/>
      <c r="N251" s="543">
        <f>'BD Team'!G31</f>
        <v>0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247</v>
      </c>
      <c r="M252" s="538"/>
      <c r="N252" s="540" t="str">
        <f>$F$6</f>
        <v>Powder Coating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178</v>
      </c>
      <c r="M253" s="538"/>
      <c r="N253" s="540" t="str">
        <f>$K$6</f>
        <v>White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248</v>
      </c>
      <c r="M254" s="538"/>
      <c r="N254" s="543" t="s">
        <v>256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249</v>
      </c>
      <c r="M255" s="538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250</v>
      </c>
      <c r="M256" s="538"/>
      <c r="N256" s="539">
        <f>'BD Team'!J31</f>
        <v>0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251</v>
      </c>
      <c r="M257" s="538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252</v>
      </c>
      <c r="M258" s="538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253</v>
      </c>
      <c r="M259" s="538"/>
      <c r="N259" s="540">
        <f>'BD Team'!F31</f>
        <v>0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254</v>
      </c>
      <c r="D261" s="538"/>
      <c r="E261" s="286">
        <f>'BD Team'!B32</f>
        <v>0</v>
      </c>
      <c r="F261" s="288" t="s">
        <v>255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127</v>
      </c>
      <c r="M262" s="538"/>
      <c r="N262" s="543">
        <f>'BD Team'!G32</f>
        <v>0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247</v>
      </c>
      <c r="M263" s="538"/>
      <c r="N263" s="540" t="str">
        <f>$F$6</f>
        <v>Powder Coating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178</v>
      </c>
      <c r="M264" s="538"/>
      <c r="N264" s="540" t="str">
        <f>$K$6</f>
        <v>White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248</v>
      </c>
      <c r="M265" s="538"/>
      <c r="N265" s="543" t="s">
        <v>256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249</v>
      </c>
      <c r="M266" s="538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250</v>
      </c>
      <c r="M267" s="538"/>
      <c r="N267" s="539">
        <f>'BD Team'!J32</f>
        <v>0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251</v>
      </c>
      <c r="M268" s="538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252</v>
      </c>
      <c r="M269" s="538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253</v>
      </c>
      <c r="M270" s="538"/>
      <c r="N270" s="540">
        <f>'BD Team'!F32</f>
        <v>0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254</v>
      </c>
      <c r="D272" s="538"/>
      <c r="E272" s="286">
        <f>'BD Team'!B33</f>
        <v>0</v>
      </c>
      <c r="F272" s="288" t="s">
        <v>255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127</v>
      </c>
      <c r="M273" s="538"/>
      <c r="N273" s="543">
        <f>'BD Team'!G33</f>
        <v>0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247</v>
      </c>
      <c r="M274" s="538"/>
      <c r="N274" s="540" t="str">
        <f>$F$6</f>
        <v>Powder Coating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178</v>
      </c>
      <c r="M275" s="538"/>
      <c r="N275" s="540" t="str">
        <f>$K$6</f>
        <v>White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248</v>
      </c>
      <c r="M276" s="538"/>
      <c r="N276" s="543" t="s">
        <v>256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249</v>
      </c>
      <c r="M277" s="538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250</v>
      </c>
      <c r="M278" s="538"/>
      <c r="N278" s="539">
        <f>'BD Team'!J33</f>
        <v>0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251</v>
      </c>
      <c r="M279" s="538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252</v>
      </c>
      <c r="M280" s="538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253</v>
      </c>
      <c r="M281" s="538"/>
      <c r="N281" s="540">
        <f>'BD Team'!F33</f>
        <v>0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254</v>
      </c>
      <c r="D283" s="538"/>
      <c r="E283" s="286">
        <f>'BD Team'!B34</f>
        <v>0</v>
      </c>
      <c r="F283" s="288" t="s">
        <v>255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127</v>
      </c>
      <c r="M284" s="538"/>
      <c r="N284" s="543">
        <f>'BD Team'!G34</f>
        <v>0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247</v>
      </c>
      <c r="M285" s="538"/>
      <c r="N285" s="540" t="str">
        <f>$F$6</f>
        <v>Powder Coating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178</v>
      </c>
      <c r="M286" s="538"/>
      <c r="N286" s="540" t="str">
        <f>$K$6</f>
        <v>White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248</v>
      </c>
      <c r="M287" s="538"/>
      <c r="N287" s="543" t="s">
        <v>256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249</v>
      </c>
      <c r="M288" s="538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250</v>
      </c>
      <c r="M289" s="538"/>
      <c r="N289" s="539">
        <f>'BD Team'!J34</f>
        <v>0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251</v>
      </c>
      <c r="M290" s="538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252</v>
      </c>
      <c r="M291" s="538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253</v>
      </c>
      <c r="M292" s="538"/>
      <c r="N292" s="540">
        <f>'BD Team'!F34</f>
        <v>0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254</v>
      </c>
      <c r="D294" s="538"/>
      <c r="E294" s="286">
        <f>'BD Team'!B35</f>
        <v>0</v>
      </c>
      <c r="F294" s="288" t="s">
        <v>255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127</v>
      </c>
      <c r="M295" s="538"/>
      <c r="N295" s="543">
        <f>'BD Team'!G35</f>
        <v>0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247</v>
      </c>
      <c r="M296" s="538"/>
      <c r="N296" s="540" t="str">
        <f>$F$6</f>
        <v>Powder Coating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178</v>
      </c>
      <c r="M297" s="538"/>
      <c r="N297" s="540" t="str">
        <f>$K$6</f>
        <v>White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248</v>
      </c>
      <c r="M298" s="538"/>
      <c r="N298" s="543" t="s">
        <v>256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249</v>
      </c>
      <c r="M299" s="538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250</v>
      </c>
      <c r="M300" s="538"/>
      <c r="N300" s="539">
        <f>'BD Team'!J35</f>
        <v>0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251</v>
      </c>
      <c r="M301" s="538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252</v>
      </c>
      <c r="M302" s="538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253</v>
      </c>
      <c r="M303" s="538"/>
      <c r="N303" s="540">
        <f>'BD Team'!F35</f>
        <v>0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254</v>
      </c>
      <c r="D305" s="538"/>
      <c r="E305" s="286">
        <f>'BD Team'!B36</f>
        <v>0</v>
      </c>
      <c r="F305" s="288" t="s">
        <v>255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127</v>
      </c>
      <c r="M306" s="538"/>
      <c r="N306" s="543">
        <f>'BD Team'!G36</f>
        <v>0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247</v>
      </c>
      <c r="M307" s="538"/>
      <c r="N307" s="540" t="str">
        <f>$F$6</f>
        <v>Powder Coating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178</v>
      </c>
      <c r="M308" s="538"/>
      <c r="N308" s="540" t="str">
        <f>$K$6</f>
        <v>White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248</v>
      </c>
      <c r="M309" s="538"/>
      <c r="N309" s="543" t="s">
        <v>256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249</v>
      </c>
      <c r="M310" s="538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250</v>
      </c>
      <c r="M311" s="538"/>
      <c r="N311" s="539">
        <f>'BD Team'!J36</f>
        <v>0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251</v>
      </c>
      <c r="M312" s="538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252</v>
      </c>
      <c r="M313" s="538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253</v>
      </c>
      <c r="M314" s="538"/>
      <c r="N314" s="540">
        <f>'BD Team'!F36</f>
        <v>0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254</v>
      </c>
      <c r="D316" s="538"/>
      <c r="E316" s="286">
        <f>'BD Team'!B37</f>
        <v>0</v>
      </c>
      <c r="F316" s="288" t="s">
        <v>255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127</v>
      </c>
      <c r="M317" s="538"/>
      <c r="N317" s="543">
        <f>'BD Team'!G37</f>
        <v>0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247</v>
      </c>
      <c r="M318" s="538"/>
      <c r="N318" s="540" t="str">
        <f>$F$6</f>
        <v>Powder Coating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178</v>
      </c>
      <c r="M319" s="538"/>
      <c r="N319" s="540" t="str">
        <f>$K$6</f>
        <v>White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248</v>
      </c>
      <c r="M320" s="538"/>
      <c r="N320" s="543" t="s">
        <v>256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249</v>
      </c>
      <c r="M321" s="538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250</v>
      </c>
      <c r="M322" s="538"/>
      <c r="N322" s="539">
        <f>'BD Team'!J37</f>
        <v>0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251</v>
      </c>
      <c r="M323" s="538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252</v>
      </c>
      <c r="M324" s="538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253</v>
      </c>
      <c r="M325" s="538"/>
      <c r="N325" s="540">
        <f>'BD Team'!F37</f>
        <v>0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254</v>
      </c>
      <c r="D327" s="538"/>
      <c r="E327" s="286">
        <f>'BD Team'!B38</f>
        <v>0</v>
      </c>
      <c r="F327" s="288" t="s">
        <v>255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127</v>
      </c>
      <c r="M328" s="538"/>
      <c r="N328" s="543">
        <f>'BD Team'!G38</f>
        <v>0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247</v>
      </c>
      <c r="M329" s="538"/>
      <c r="N329" s="540" t="str">
        <f>$F$6</f>
        <v>Powder Coating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178</v>
      </c>
      <c r="M330" s="538"/>
      <c r="N330" s="540" t="str">
        <f>$K$6</f>
        <v>White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248</v>
      </c>
      <c r="M331" s="538"/>
      <c r="N331" s="543" t="s">
        <v>256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249</v>
      </c>
      <c r="M332" s="538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250</v>
      </c>
      <c r="M333" s="538"/>
      <c r="N333" s="539">
        <f>'BD Team'!J38</f>
        <v>0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251</v>
      </c>
      <c r="M334" s="538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252</v>
      </c>
      <c r="M335" s="538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253</v>
      </c>
      <c r="M336" s="538"/>
      <c r="N336" s="540">
        <f>'BD Team'!F38</f>
        <v>0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254</v>
      </c>
      <c r="D338" s="538"/>
      <c r="E338" s="286">
        <f>'BD Team'!B39</f>
        <v>0</v>
      </c>
      <c r="F338" s="288" t="s">
        <v>255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127</v>
      </c>
      <c r="M339" s="538"/>
      <c r="N339" s="543">
        <f>'BD Team'!G39</f>
        <v>0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247</v>
      </c>
      <c r="M340" s="538"/>
      <c r="N340" s="540" t="str">
        <f>$F$6</f>
        <v>Powder Coating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178</v>
      </c>
      <c r="M341" s="538"/>
      <c r="N341" s="540" t="str">
        <f>$K$6</f>
        <v>White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248</v>
      </c>
      <c r="M342" s="538"/>
      <c r="N342" s="543" t="s">
        <v>256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249</v>
      </c>
      <c r="M343" s="538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250</v>
      </c>
      <c r="M344" s="538"/>
      <c r="N344" s="539">
        <f>'BD Team'!J39</f>
        <v>0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251</v>
      </c>
      <c r="M345" s="538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252</v>
      </c>
      <c r="M346" s="538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253</v>
      </c>
      <c r="M347" s="538"/>
      <c r="N347" s="540">
        <f>'BD Team'!F39</f>
        <v>0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254</v>
      </c>
      <c r="D349" s="538"/>
      <c r="E349" s="286">
        <f>'BD Team'!B40</f>
        <v>0</v>
      </c>
      <c r="F349" s="288" t="s">
        <v>255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127</v>
      </c>
      <c r="M350" s="538"/>
      <c r="N350" s="543">
        <f>'BD Team'!G40</f>
        <v>0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247</v>
      </c>
      <c r="M351" s="538"/>
      <c r="N351" s="540" t="str">
        <f>$F$6</f>
        <v>Powder Coating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178</v>
      </c>
      <c r="M352" s="538"/>
      <c r="N352" s="540" t="str">
        <f>$K$6</f>
        <v>White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248</v>
      </c>
      <c r="M353" s="538"/>
      <c r="N353" s="543" t="s">
        <v>256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249</v>
      </c>
      <c r="M354" s="538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250</v>
      </c>
      <c r="M355" s="538"/>
      <c r="N355" s="539">
        <f>'BD Team'!J40</f>
        <v>0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251</v>
      </c>
      <c r="M356" s="538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252</v>
      </c>
      <c r="M357" s="538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253</v>
      </c>
      <c r="M358" s="538"/>
      <c r="N358" s="540">
        <f>'BD Team'!F40</f>
        <v>0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254</v>
      </c>
      <c r="D360" s="538"/>
      <c r="E360" s="286">
        <f>'BD Team'!B41</f>
        <v>0</v>
      </c>
      <c r="F360" s="288" t="s">
        <v>255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127</v>
      </c>
      <c r="M361" s="538"/>
      <c r="N361" s="543">
        <f>'BD Team'!G41</f>
        <v>0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247</v>
      </c>
      <c r="M362" s="538"/>
      <c r="N362" s="540" t="str">
        <f>$F$6</f>
        <v>Powder Coating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178</v>
      </c>
      <c r="M363" s="538"/>
      <c r="N363" s="540" t="str">
        <f>$K$6</f>
        <v>White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248</v>
      </c>
      <c r="M364" s="538"/>
      <c r="N364" s="543" t="s">
        <v>256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249</v>
      </c>
      <c r="M365" s="538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250</v>
      </c>
      <c r="M366" s="538"/>
      <c r="N366" s="539">
        <f>'BD Team'!J41</f>
        <v>0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251</v>
      </c>
      <c r="M367" s="538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252</v>
      </c>
      <c r="M368" s="538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253</v>
      </c>
      <c r="M369" s="538"/>
      <c r="N369" s="540">
        <f>'BD Team'!F41</f>
        <v>0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254</v>
      </c>
      <c r="D371" s="538"/>
      <c r="E371" s="286">
        <f>'BD Team'!B42</f>
        <v>0</v>
      </c>
      <c r="F371" s="288" t="s">
        <v>255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127</v>
      </c>
      <c r="M372" s="538"/>
      <c r="N372" s="543">
        <f>'BD Team'!G42</f>
        <v>0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247</v>
      </c>
      <c r="M373" s="538"/>
      <c r="N373" s="540" t="str">
        <f>$F$6</f>
        <v>Powder Coating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178</v>
      </c>
      <c r="M374" s="538"/>
      <c r="N374" s="540" t="str">
        <f>$K$6</f>
        <v>White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248</v>
      </c>
      <c r="M375" s="538"/>
      <c r="N375" s="543" t="s">
        <v>256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249</v>
      </c>
      <c r="M376" s="538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250</v>
      </c>
      <c r="M377" s="538"/>
      <c r="N377" s="539">
        <f>'BD Team'!J42</f>
        <v>0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251</v>
      </c>
      <c r="M378" s="538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252</v>
      </c>
      <c r="M379" s="538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253</v>
      </c>
      <c r="M380" s="538"/>
      <c r="N380" s="540">
        <f>'BD Team'!F42</f>
        <v>0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254</v>
      </c>
      <c r="D382" s="538"/>
      <c r="E382" s="286">
        <f>'BD Team'!B43</f>
        <v>0</v>
      </c>
      <c r="F382" s="288" t="s">
        <v>255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127</v>
      </c>
      <c r="M383" s="538"/>
      <c r="N383" s="543">
        <f>'BD Team'!G43</f>
        <v>0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247</v>
      </c>
      <c r="M384" s="538"/>
      <c r="N384" s="540" t="str">
        <f>$F$6</f>
        <v>Powder Coating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178</v>
      </c>
      <c r="M385" s="538"/>
      <c r="N385" s="540" t="str">
        <f>$K$6</f>
        <v>White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248</v>
      </c>
      <c r="M386" s="538"/>
      <c r="N386" s="543" t="s">
        <v>256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249</v>
      </c>
      <c r="M387" s="538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250</v>
      </c>
      <c r="M388" s="538"/>
      <c r="N388" s="539">
        <f>'BD Team'!J43</f>
        <v>0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251</v>
      </c>
      <c r="M389" s="538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252</v>
      </c>
      <c r="M390" s="538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253</v>
      </c>
      <c r="M391" s="538"/>
      <c r="N391" s="540">
        <f>'BD Team'!F43</f>
        <v>0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254</v>
      </c>
      <c r="D393" s="538"/>
      <c r="E393" s="286">
        <f>'BD Team'!B44</f>
        <v>0</v>
      </c>
      <c r="F393" s="288" t="s">
        <v>255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127</v>
      </c>
      <c r="M394" s="538"/>
      <c r="N394" s="543">
        <f>'BD Team'!G44</f>
        <v>0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247</v>
      </c>
      <c r="M395" s="538"/>
      <c r="N395" s="540" t="str">
        <f>$F$6</f>
        <v>Powder Coating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178</v>
      </c>
      <c r="M396" s="538"/>
      <c r="N396" s="540" t="str">
        <f>$K$6</f>
        <v>White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248</v>
      </c>
      <c r="M397" s="538"/>
      <c r="N397" s="543" t="s">
        <v>256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249</v>
      </c>
      <c r="M398" s="538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250</v>
      </c>
      <c r="M399" s="538"/>
      <c r="N399" s="539">
        <f>'BD Team'!J44</f>
        <v>0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251</v>
      </c>
      <c r="M400" s="538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252</v>
      </c>
      <c r="M401" s="538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253</v>
      </c>
      <c r="M402" s="538"/>
      <c r="N402" s="540">
        <f>'BD Team'!F44</f>
        <v>0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254</v>
      </c>
      <c r="D404" s="538"/>
      <c r="E404" s="286">
        <f>'BD Team'!B45</f>
        <v>0</v>
      </c>
      <c r="F404" s="288" t="s">
        <v>255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127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247</v>
      </c>
      <c r="M406" s="538"/>
      <c r="N406" s="540" t="str">
        <f>$F$6</f>
        <v>Powder Coating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178</v>
      </c>
      <c r="M407" s="538"/>
      <c r="N407" s="540" t="str">
        <f>$K$6</f>
        <v>White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248</v>
      </c>
      <c r="M408" s="538"/>
      <c r="N408" s="543" t="s">
        <v>256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249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250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251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252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253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254</v>
      </c>
      <c r="D415" s="538"/>
      <c r="E415" s="286">
        <f>'BD Team'!B46</f>
        <v>0</v>
      </c>
      <c r="F415" s="288" t="s">
        <v>255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127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247</v>
      </c>
      <c r="M417" s="538"/>
      <c r="N417" s="540" t="str">
        <f>$F$6</f>
        <v>Powder Coating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178</v>
      </c>
      <c r="M418" s="538"/>
      <c r="N418" s="540" t="str">
        <f>$K$6</f>
        <v>White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248</v>
      </c>
      <c r="M419" s="538"/>
      <c r="N419" s="543" t="s">
        <v>256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249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250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251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252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253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254</v>
      </c>
      <c r="D426" s="538"/>
      <c r="E426" s="286">
        <f>'BD Team'!B47</f>
        <v>0</v>
      </c>
      <c r="F426" s="288" t="s">
        <v>255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127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247</v>
      </c>
      <c r="M428" s="538"/>
      <c r="N428" s="540" t="str">
        <f>$F$6</f>
        <v>Powder Coating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178</v>
      </c>
      <c r="M429" s="538"/>
      <c r="N429" s="540" t="str">
        <f>$K$6</f>
        <v>White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248</v>
      </c>
      <c r="M430" s="538"/>
      <c r="N430" s="543" t="s">
        <v>256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249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250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251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252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253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254</v>
      </c>
      <c r="D437" s="538"/>
      <c r="E437" s="286">
        <f>'BD Team'!B48</f>
        <v>0</v>
      </c>
      <c r="F437" s="288" t="s">
        <v>255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127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247</v>
      </c>
      <c r="M439" s="538"/>
      <c r="N439" s="540" t="str">
        <f>$F$6</f>
        <v>Powder Coating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178</v>
      </c>
      <c r="M440" s="538"/>
      <c r="N440" s="540" t="str">
        <f>$K$6</f>
        <v>White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248</v>
      </c>
      <c r="M441" s="538"/>
      <c r="N441" s="543" t="s">
        <v>256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249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250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251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252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253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254</v>
      </c>
      <c r="D448" s="538"/>
      <c r="E448" s="286">
        <f>'BD Team'!B49</f>
        <v>0</v>
      </c>
      <c r="F448" s="288" t="s">
        <v>255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127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247</v>
      </c>
      <c r="M450" s="538"/>
      <c r="N450" s="540" t="str">
        <f>$F$6</f>
        <v>Powder Coating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178</v>
      </c>
      <c r="M451" s="538"/>
      <c r="N451" s="540" t="str">
        <f>$K$6</f>
        <v>White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248</v>
      </c>
      <c r="M452" s="538"/>
      <c r="N452" s="543" t="s">
        <v>256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249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250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251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252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253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254</v>
      </c>
      <c r="D459" s="538"/>
      <c r="E459" s="286">
        <f>'BD Team'!B50</f>
        <v>0</v>
      </c>
      <c r="F459" s="288" t="s">
        <v>255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127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247</v>
      </c>
      <c r="M461" s="538"/>
      <c r="N461" s="540" t="str">
        <f>$F$6</f>
        <v>Powder Coating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178</v>
      </c>
      <c r="M462" s="538"/>
      <c r="N462" s="540" t="str">
        <f>$K$6</f>
        <v>White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248</v>
      </c>
      <c r="M463" s="538"/>
      <c r="N463" s="543" t="s">
        <v>256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249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250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251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252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253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254</v>
      </c>
      <c r="D470" s="538"/>
      <c r="E470" s="286">
        <f>'BD Team'!B51</f>
        <v>0</v>
      </c>
      <c r="F470" s="288" t="s">
        <v>255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127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247</v>
      </c>
      <c r="M472" s="538"/>
      <c r="N472" s="540" t="str">
        <f>$F$6</f>
        <v>Powder Coating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178</v>
      </c>
      <c r="M473" s="538"/>
      <c r="N473" s="540" t="str">
        <f>$K$6</f>
        <v>White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248</v>
      </c>
      <c r="M474" s="538"/>
      <c r="N474" s="543" t="s">
        <v>256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249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250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251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252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253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254</v>
      </c>
      <c r="D481" s="538"/>
      <c r="E481" s="286">
        <f>'BD Team'!B52</f>
        <v>0</v>
      </c>
      <c r="F481" s="288" t="s">
        <v>255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127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247</v>
      </c>
      <c r="M483" s="538"/>
      <c r="N483" s="540" t="str">
        <f>$F$6</f>
        <v>Powder Coating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178</v>
      </c>
      <c r="M484" s="538"/>
      <c r="N484" s="540" t="str">
        <f>$K$6</f>
        <v>White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248</v>
      </c>
      <c r="M485" s="538"/>
      <c r="N485" s="543" t="s">
        <v>256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249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250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251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252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253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254</v>
      </c>
      <c r="D492" s="538"/>
      <c r="E492" s="286">
        <f>'BD Team'!B53</f>
        <v>0</v>
      </c>
      <c r="F492" s="288" t="s">
        <v>255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127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247</v>
      </c>
      <c r="M494" s="538"/>
      <c r="N494" s="540" t="str">
        <f>$F$6</f>
        <v>Powder Coating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178</v>
      </c>
      <c r="M495" s="538"/>
      <c r="N495" s="540" t="str">
        <f>$K$6</f>
        <v>White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248</v>
      </c>
      <c r="M496" s="538"/>
      <c r="N496" s="543" t="s">
        <v>256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249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250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251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252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253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254</v>
      </c>
      <c r="D503" s="538"/>
      <c r="E503" s="286">
        <f>'BD Team'!B54</f>
        <v>0</v>
      </c>
      <c r="F503" s="288" t="s">
        <v>255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127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247</v>
      </c>
      <c r="M505" s="538"/>
      <c r="N505" s="540" t="str">
        <f>$F$6</f>
        <v>Powder Coating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178</v>
      </c>
      <c r="M506" s="538"/>
      <c r="N506" s="540" t="str">
        <f>$K$6</f>
        <v>White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248</v>
      </c>
      <c r="M507" s="538"/>
      <c r="N507" s="543" t="s">
        <v>256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249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250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251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252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253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254</v>
      </c>
      <c r="D514" s="538"/>
      <c r="E514" s="286">
        <f>'BD Team'!B55</f>
        <v>0</v>
      </c>
      <c r="F514" s="288" t="s">
        <v>255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127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247</v>
      </c>
      <c r="M516" s="538"/>
      <c r="N516" s="540" t="str">
        <f>$F$6</f>
        <v>Powder Coating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178</v>
      </c>
      <c r="M517" s="538"/>
      <c r="N517" s="540" t="str">
        <f>$K$6</f>
        <v>White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248</v>
      </c>
      <c r="M518" s="538"/>
      <c r="N518" s="543" t="s">
        <v>256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249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250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251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252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253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254</v>
      </c>
      <c r="D525" s="538"/>
      <c r="E525" s="286">
        <f>'BD Team'!B56</f>
        <v>0</v>
      </c>
      <c r="F525" s="288" t="s">
        <v>255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127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247</v>
      </c>
      <c r="M527" s="538"/>
      <c r="N527" s="540" t="str">
        <f>$F$6</f>
        <v>Powder Coating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178</v>
      </c>
      <c r="M528" s="538"/>
      <c r="N528" s="540" t="str">
        <f>$K$6</f>
        <v>White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248</v>
      </c>
      <c r="M529" s="538"/>
      <c r="N529" s="543" t="s">
        <v>256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249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250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251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252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253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254</v>
      </c>
      <c r="D536" s="538"/>
      <c r="E536" s="286">
        <f>'BD Team'!B57</f>
        <v>0</v>
      </c>
      <c r="F536" s="288" t="s">
        <v>255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127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247</v>
      </c>
      <c r="M538" s="538"/>
      <c r="N538" s="540" t="str">
        <f>$F$6</f>
        <v>Powder Coating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178</v>
      </c>
      <c r="M539" s="538"/>
      <c r="N539" s="540" t="str">
        <f>$K$6</f>
        <v>White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248</v>
      </c>
      <c r="M540" s="538"/>
      <c r="N540" s="543" t="s">
        <v>256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249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250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251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252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253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254</v>
      </c>
      <c r="D547" s="538"/>
      <c r="E547" s="286">
        <f>'BD Team'!B58</f>
        <v>0</v>
      </c>
      <c r="F547" s="288" t="s">
        <v>255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127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247</v>
      </c>
      <c r="M549" s="538"/>
      <c r="N549" s="540" t="str">
        <f>$F$6</f>
        <v>Powder Coating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178</v>
      </c>
      <c r="M550" s="538"/>
      <c r="N550" s="540" t="str">
        <f>$K$6</f>
        <v>White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248</v>
      </c>
      <c r="M551" s="538"/>
      <c r="N551" s="543" t="s">
        <v>256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249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250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251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252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253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254</v>
      </c>
      <c r="D558" s="538"/>
      <c r="E558" s="289">
        <f>'BD Team'!B59</f>
        <v>0</v>
      </c>
      <c r="F558" s="288" t="s">
        <v>255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127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247</v>
      </c>
      <c r="M560" s="538"/>
      <c r="N560" s="540" t="str">
        <f>$F$6</f>
        <v>Powder Coating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178</v>
      </c>
      <c r="M561" s="538"/>
      <c r="N561" s="540" t="str">
        <f>$K$6</f>
        <v>White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248</v>
      </c>
      <c r="M562" s="538"/>
      <c r="N562" s="543" t="s">
        <v>256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249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250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251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252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253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254</v>
      </c>
      <c r="D569" s="538"/>
      <c r="E569" s="289">
        <f>'BD Team'!B60</f>
        <v>0</v>
      </c>
      <c r="F569" s="288" t="s">
        <v>255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127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247</v>
      </c>
      <c r="M571" s="538"/>
      <c r="N571" s="540" t="str">
        <f>$F$6</f>
        <v>Powder Coating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178</v>
      </c>
      <c r="M572" s="538"/>
      <c r="N572" s="540" t="str">
        <f>$K$6</f>
        <v>White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248</v>
      </c>
      <c r="M573" s="538"/>
      <c r="N573" s="543" t="s">
        <v>256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249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250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251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252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253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254</v>
      </c>
      <c r="D580" s="538"/>
      <c r="E580" s="289">
        <f>'BD Team'!B61</f>
        <v>0</v>
      </c>
      <c r="F580" s="288" t="s">
        <v>255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127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247</v>
      </c>
      <c r="M582" s="538"/>
      <c r="N582" s="540" t="str">
        <f>$F$6</f>
        <v>Powder Coating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178</v>
      </c>
      <c r="M583" s="538"/>
      <c r="N583" s="540" t="str">
        <f>$K$6</f>
        <v>White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248</v>
      </c>
      <c r="M584" s="538"/>
      <c r="N584" s="543" t="s">
        <v>256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249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250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251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252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253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254</v>
      </c>
      <c r="D591" s="538"/>
      <c r="E591" s="289">
        <f>'BD Team'!B62</f>
        <v>0</v>
      </c>
      <c r="F591" s="288" t="s">
        <v>255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127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247</v>
      </c>
      <c r="M593" s="538"/>
      <c r="N593" s="540" t="str">
        <f>$F$6</f>
        <v>Powder Coating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178</v>
      </c>
      <c r="M594" s="538"/>
      <c r="N594" s="540" t="str">
        <f>$K$6</f>
        <v>White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248</v>
      </c>
      <c r="M595" s="538"/>
      <c r="N595" s="543" t="s">
        <v>256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249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250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251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252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253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254</v>
      </c>
      <c r="D602" s="538"/>
      <c r="E602" s="289">
        <f>'BD Team'!B63</f>
        <v>0</v>
      </c>
      <c r="F602" s="288" t="s">
        <v>255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127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247</v>
      </c>
      <c r="M604" s="538"/>
      <c r="N604" s="540" t="str">
        <f>$F$6</f>
        <v>Powder Coating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178</v>
      </c>
      <c r="M605" s="538"/>
      <c r="N605" s="540" t="str">
        <f>$K$6</f>
        <v>White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248</v>
      </c>
      <c r="M606" s="538"/>
      <c r="N606" s="543" t="s">
        <v>256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249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250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251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252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253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254</v>
      </c>
      <c r="D613" s="538"/>
      <c r="E613" s="289">
        <f>'BD Team'!B64</f>
        <v>0</v>
      </c>
      <c r="F613" s="288" t="s">
        <v>255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127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247</v>
      </c>
      <c r="M615" s="538"/>
      <c r="N615" s="540" t="str">
        <f>$F$6</f>
        <v>Powder Coating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178</v>
      </c>
      <c r="M616" s="538"/>
      <c r="N616" s="540" t="str">
        <f>$K$6</f>
        <v>White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248</v>
      </c>
      <c r="M617" s="538"/>
      <c r="N617" s="543" t="s">
        <v>256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249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250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251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252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253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254</v>
      </c>
      <c r="D624" s="538"/>
      <c r="E624" s="289">
        <f>'BD Team'!B65</f>
        <v>0</v>
      </c>
      <c r="F624" s="288" t="s">
        <v>255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127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247</v>
      </c>
      <c r="M626" s="538"/>
      <c r="N626" s="540" t="str">
        <f>$F$6</f>
        <v>Powder Coating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178</v>
      </c>
      <c r="M627" s="538"/>
      <c r="N627" s="540" t="str">
        <f>$K$6</f>
        <v>White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248</v>
      </c>
      <c r="M628" s="538"/>
      <c r="N628" s="543" t="s">
        <v>256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249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250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251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252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253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254</v>
      </c>
      <c r="D635" s="538"/>
      <c r="E635" s="289">
        <f>'BD Team'!B66</f>
        <v>0</v>
      </c>
      <c r="F635" s="288" t="s">
        <v>255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127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247</v>
      </c>
      <c r="M637" s="538"/>
      <c r="N637" s="540" t="str">
        <f>$F$6</f>
        <v>Powder Coating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178</v>
      </c>
      <c r="M638" s="538"/>
      <c r="N638" s="540" t="str">
        <f>$K$6</f>
        <v>White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248</v>
      </c>
      <c r="M639" s="538"/>
      <c r="N639" s="543" t="s">
        <v>256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249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250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251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252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253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254</v>
      </c>
      <c r="D646" s="538"/>
      <c r="E646" s="289">
        <f>'BD Team'!B67</f>
        <v>0</v>
      </c>
      <c r="F646" s="288" t="s">
        <v>255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127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247</v>
      </c>
      <c r="M648" s="538"/>
      <c r="N648" s="540" t="str">
        <f>$F$6</f>
        <v>Powder Coating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178</v>
      </c>
      <c r="M649" s="538"/>
      <c r="N649" s="540" t="str">
        <f>$K$6</f>
        <v>White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248</v>
      </c>
      <c r="M650" s="538"/>
      <c r="N650" s="543" t="s">
        <v>256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249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250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251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252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253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254</v>
      </c>
      <c r="D657" s="538"/>
      <c r="E657" s="289">
        <f>'BD Team'!B68</f>
        <v>0</v>
      </c>
      <c r="F657" s="288" t="s">
        <v>255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127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247</v>
      </c>
      <c r="M659" s="538"/>
      <c r="N659" s="540" t="str">
        <f>$F$6</f>
        <v>Powder Coating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178</v>
      </c>
      <c r="M660" s="538"/>
      <c r="N660" s="540" t="str">
        <f>$K$6</f>
        <v>White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248</v>
      </c>
      <c r="M661" s="538"/>
      <c r="N661" s="543" t="s">
        <v>256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249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250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251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252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253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254</v>
      </c>
      <c r="D668" s="538"/>
      <c r="E668" s="289">
        <f>'BD Team'!B69</f>
        <v>0</v>
      </c>
      <c r="F668" s="288" t="s">
        <v>255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127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247</v>
      </c>
      <c r="M670" s="538"/>
      <c r="N670" s="540" t="str">
        <f>$F$6</f>
        <v>Powder Coating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178</v>
      </c>
      <c r="M671" s="538"/>
      <c r="N671" s="540" t="str">
        <f>$K$6</f>
        <v>White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248</v>
      </c>
      <c r="M672" s="538"/>
      <c r="N672" s="543" t="s">
        <v>256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249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250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251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252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253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254</v>
      </c>
      <c r="D679" s="538"/>
      <c r="E679" s="289">
        <f>'BD Team'!B70</f>
        <v>0</v>
      </c>
      <c r="F679" s="288" t="s">
        <v>255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127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247</v>
      </c>
      <c r="M681" s="538"/>
      <c r="N681" s="540" t="str">
        <f>$F$6</f>
        <v>Powder Coating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178</v>
      </c>
      <c r="M682" s="538"/>
      <c r="N682" s="540" t="str">
        <f>$K$6</f>
        <v>White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248</v>
      </c>
      <c r="M683" s="538"/>
      <c r="N683" s="543" t="s">
        <v>256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249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250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251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252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253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254</v>
      </c>
      <c r="D690" s="538"/>
      <c r="E690" s="289">
        <f>'BD Team'!B71</f>
        <v>0</v>
      </c>
      <c r="F690" s="288" t="s">
        <v>255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127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247</v>
      </c>
      <c r="M692" s="538"/>
      <c r="N692" s="540" t="str">
        <f>$F$6</f>
        <v>Powder Coating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178</v>
      </c>
      <c r="M693" s="538"/>
      <c r="N693" s="540" t="str">
        <f>$K$6</f>
        <v>White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248</v>
      </c>
      <c r="M694" s="538"/>
      <c r="N694" s="543" t="s">
        <v>256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249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250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251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252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253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254</v>
      </c>
      <c r="D701" s="538"/>
      <c r="E701" s="289">
        <f>'BD Team'!B72</f>
        <v>0</v>
      </c>
      <c r="F701" s="288" t="s">
        <v>255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127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247</v>
      </c>
      <c r="M703" s="538"/>
      <c r="N703" s="540" t="str">
        <f>$F$6</f>
        <v>Powder Coating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178</v>
      </c>
      <c r="M704" s="538"/>
      <c r="N704" s="540" t="str">
        <f>$K$6</f>
        <v>White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248</v>
      </c>
      <c r="M705" s="538"/>
      <c r="N705" s="543" t="s">
        <v>256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249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250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251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252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253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254</v>
      </c>
      <c r="D712" s="538"/>
      <c r="E712" s="289">
        <f>'BD Team'!B73</f>
        <v>0</v>
      </c>
      <c r="F712" s="288" t="s">
        <v>255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127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247</v>
      </c>
      <c r="M714" s="538"/>
      <c r="N714" s="540" t="str">
        <f>$F$6</f>
        <v>Powder Coating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178</v>
      </c>
      <c r="M715" s="538"/>
      <c r="N715" s="540" t="str">
        <f>$K$6</f>
        <v>White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248</v>
      </c>
      <c r="M716" s="538"/>
      <c r="N716" s="543" t="s">
        <v>256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249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250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251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252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253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254</v>
      </c>
      <c r="D723" s="538"/>
      <c r="E723" s="289">
        <f>'BD Team'!B74</f>
        <v>0</v>
      </c>
      <c r="F723" s="288" t="s">
        <v>255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127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247</v>
      </c>
      <c r="M725" s="538"/>
      <c r="N725" s="540" t="str">
        <f>$F$6</f>
        <v>Powder Coating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178</v>
      </c>
      <c r="M726" s="538"/>
      <c r="N726" s="540" t="str">
        <f>$K$6</f>
        <v>White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248</v>
      </c>
      <c r="M727" s="538"/>
      <c r="N727" s="543" t="s">
        <v>256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249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250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251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252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253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254</v>
      </c>
      <c r="D734" s="538"/>
      <c r="E734" s="289">
        <f>'BD Team'!B75</f>
        <v>0</v>
      </c>
      <c r="F734" s="288" t="s">
        <v>255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127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247</v>
      </c>
      <c r="M736" s="538"/>
      <c r="N736" s="540" t="str">
        <f>$F$6</f>
        <v>Powder Coating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178</v>
      </c>
      <c r="M737" s="538"/>
      <c r="N737" s="540" t="str">
        <f>$K$6</f>
        <v>White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248</v>
      </c>
      <c r="M738" s="538"/>
      <c r="N738" s="543" t="s">
        <v>256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249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250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251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252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253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254</v>
      </c>
      <c r="D745" s="538"/>
      <c r="E745" s="289">
        <f>'BD Team'!B76</f>
        <v>0</v>
      </c>
      <c r="F745" s="288" t="s">
        <v>255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127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247</v>
      </c>
      <c r="M747" s="538"/>
      <c r="N747" s="540" t="str">
        <f>$F$6</f>
        <v>Powder Coating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178</v>
      </c>
      <c r="M748" s="538"/>
      <c r="N748" s="540" t="str">
        <f>$K$6</f>
        <v>White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248</v>
      </c>
      <c r="M749" s="538"/>
      <c r="N749" s="543" t="s">
        <v>256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249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250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251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252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253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254</v>
      </c>
      <c r="D756" s="538"/>
      <c r="E756" s="289">
        <f>'BD Team'!B77</f>
        <v>0</v>
      </c>
      <c r="F756" s="288" t="s">
        <v>255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127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247</v>
      </c>
      <c r="M758" s="538"/>
      <c r="N758" s="540" t="str">
        <f>$F$6</f>
        <v>Powder Coating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178</v>
      </c>
      <c r="M759" s="538"/>
      <c r="N759" s="540" t="str">
        <f>$K$6</f>
        <v>White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248</v>
      </c>
      <c r="M760" s="538"/>
      <c r="N760" s="543" t="s">
        <v>256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249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250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251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252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253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254</v>
      </c>
      <c r="D767" s="538"/>
      <c r="E767" s="289">
        <f>'BD Team'!B78</f>
        <v>0</v>
      </c>
      <c r="F767" s="288" t="s">
        <v>255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127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247</v>
      </c>
      <c r="M769" s="538"/>
      <c r="N769" s="540" t="str">
        <f>$F$6</f>
        <v>Powder Coating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178</v>
      </c>
      <c r="M770" s="538"/>
      <c r="N770" s="540" t="str">
        <f>$K$6</f>
        <v>White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248</v>
      </c>
      <c r="M771" s="538"/>
      <c r="N771" s="543" t="s">
        <v>256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249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250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251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252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253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254</v>
      </c>
      <c r="D778" s="538"/>
      <c r="E778" s="289">
        <f>'BD Team'!B79</f>
        <v>0</v>
      </c>
      <c r="F778" s="288" t="s">
        <v>255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127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247</v>
      </c>
      <c r="M780" s="538"/>
      <c r="N780" s="540" t="str">
        <f>$F$6</f>
        <v>Powder Coating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178</v>
      </c>
      <c r="M781" s="538"/>
      <c r="N781" s="540" t="str">
        <f>$K$6</f>
        <v>White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248</v>
      </c>
      <c r="M782" s="538"/>
      <c r="N782" s="543" t="s">
        <v>256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249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250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251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252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253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254</v>
      </c>
      <c r="D789" s="538"/>
      <c r="E789" s="289">
        <f>'BD Team'!B80</f>
        <v>0</v>
      </c>
      <c r="F789" s="288" t="s">
        <v>255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127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247</v>
      </c>
      <c r="M791" s="538"/>
      <c r="N791" s="540" t="str">
        <f>$F$6</f>
        <v>Powder Coating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178</v>
      </c>
      <c r="M792" s="538"/>
      <c r="N792" s="540" t="str">
        <f>$K$6</f>
        <v>White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248</v>
      </c>
      <c r="M793" s="538"/>
      <c r="N793" s="543" t="s">
        <v>256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249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250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251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252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253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254</v>
      </c>
      <c r="D800" s="538"/>
      <c r="E800" s="289">
        <f>'BD Team'!B81</f>
        <v>0</v>
      </c>
      <c r="F800" s="288" t="s">
        <v>255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127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247</v>
      </c>
      <c r="M802" s="538"/>
      <c r="N802" s="540" t="str">
        <f>$F$6</f>
        <v>Powder Coating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178</v>
      </c>
      <c r="M803" s="538"/>
      <c r="N803" s="540" t="str">
        <f>$K$6</f>
        <v>White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248</v>
      </c>
      <c r="M804" s="538"/>
      <c r="N804" s="543" t="s">
        <v>256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249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250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251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252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253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254</v>
      </c>
      <c r="D811" s="538"/>
      <c r="E811" s="289">
        <f>'BD Team'!B82</f>
        <v>0</v>
      </c>
      <c r="F811" s="288" t="s">
        <v>255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127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247</v>
      </c>
      <c r="M813" s="538"/>
      <c r="N813" s="540" t="str">
        <f>$F$6</f>
        <v>Powder Coating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178</v>
      </c>
      <c r="M814" s="538"/>
      <c r="N814" s="540" t="str">
        <f>$K$6</f>
        <v>White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248</v>
      </c>
      <c r="M815" s="538"/>
      <c r="N815" s="543" t="s">
        <v>256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249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250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251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252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253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254</v>
      </c>
      <c r="D822" s="538"/>
      <c r="E822" s="289">
        <f>'BD Team'!B83</f>
        <v>0</v>
      </c>
      <c r="F822" s="288" t="s">
        <v>255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127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247</v>
      </c>
      <c r="M824" s="538"/>
      <c r="N824" s="540" t="str">
        <f>$F$6</f>
        <v>Powder Coating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178</v>
      </c>
      <c r="M825" s="538"/>
      <c r="N825" s="540" t="str">
        <f>$K$6</f>
        <v>White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248</v>
      </c>
      <c r="M826" s="538"/>
      <c r="N826" s="543" t="s">
        <v>256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249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250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251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252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253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127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247</v>
      </c>
      <c r="M835" s="538"/>
      <c r="N835" s="540" t="str">
        <f>$F$6</f>
        <v>Powder Coating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178</v>
      </c>
      <c r="M836" s="538"/>
      <c r="N836" s="540" t="str">
        <f>$K$6</f>
        <v>White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248</v>
      </c>
      <c r="M837" s="538"/>
      <c r="N837" s="543" t="s">
        <v>256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249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250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251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252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253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127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247</v>
      </c>
      <c r="M846" s="538"/>
      <c r="N846" s="540" t="str">
        <f>$F$6</f>
        <v>Powder Coating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178</v>
      </c>
      <c r="M847" s="538"/>
      <c r="N847" s="540" t="str">
        <f>$K$6</f>
        <v>White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248</v>
      </c>
      <c r="M848" s="538"/>
      <c r="N848" s="543" t="s">
        <v>256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249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250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251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252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253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127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247</v>
      </c>
      <c r="M857" s="538"/>
      <c r="N857" s="540" t="str">
        <f>$F$6</f>
        <v>Powder Coating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178</v>
      </c>
      <c r="M858" s="538"/>
      <c r="N858" s="540" t="str">
        <f>$K$6</f>
        <v>White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248</v>
      </c>
      <c r="M859" s="538"/>
      <c r="N859" s="543" t="s">
        <v>256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249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250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251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252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253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127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247</v>
      </c>
      <c r="M868" s="538"/>
      <c r="N868" s="540" t="str">
        <f>$F$6</f>
        <v>Powder Coating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178</v>
      </c>
      <c r="M869" s="538"/>
      <c r="N869" s="540" t="str">
        <f>$K$6</f>
        <v>White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248</v>
      </c>
      <c r="M870" s="538"/>
      <c r="N870" s="543" t="s">
        <v>256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249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250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251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252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253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127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247</v>
      </c>
      <c r="M879" s="538"/>
      <c r="N879" s="540" t="str">
        <f>$F$6</f>
        <v>Powder Coating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178</v>
      </c>
      <c r="M880" s="538"/>
      <c r="N880" s="540" t="str">
        <f>$K$6</f>
        <v>White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248</v>
      </c>
      <c r="M881" s="538"/>
      <c r="N881" s="543" t="s">
        <v>256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249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250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251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252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253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127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247</v>
      </c>
      <c r="M890" s="538"/>
      <c r="N890" s="540" t="str">
        <f>$F$6</f>
        <v>Powder Coating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178</v>
      </c>
      <c r="M891" s="538"/>
      <c r="N891" s="540" t="str">
        <f>$K$6</f>
        <v>White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248</v>
      </c>
      <c r="M892" s="538"/>
      <c r="N892" s="543" t="s">
        <v>256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249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250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251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252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253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127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247</v>
      </c>
      <c r="M901" s="538"/>
      <c r="N901" s="540" t="str">
        <f>$F$6</f>
        <v>Powder Coating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178</v>
      </c>
      <c r="M902" s="538"/>
      <c r="N902" s="540" t="str">
        <f>$K$6</f>
        <v>White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248</v>
      </c>
      <c r="M903" s="538"/>
      <c r="N903" s="543" t="s">
        <v>256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249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250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251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252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253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127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247</v>
      </c>
      <c r="M912" s="538"/>
      <c r="N912" s="540" t="str">
        <f>$F$6</f>
        <v>Powder Coating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178</v>
      </c>
      <c r="M913" s="538"/>
      <c r="N913" s="540" t="str">
        <f>$K$6</f>
        <v>White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248</v>
      </c>
      <c r="M914" s="538"/>
      <c r="N914" s="543" t="s">
        <v>256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249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250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251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252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253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127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247</v>
      </c>
      <c r="M923" s="538"/>
      <c r="N923" s="540" t="str">
        <f>$F$6</f>
        <v>Powder Coating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178</v>
      </c>
      <c r="M924" s="538"/>
      <c r="N924" s="540" t="str">
        <f>$K$6</f>
        <v>White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248</v>
      </c>
      <c r="M925" s="538"/>
      <c r="N925" s="543" t="s">
        <v>256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249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250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251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252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253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127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247</v>
      </c>
      <c r="M934" s="538"/>
      <c r="N934" s="540" t="str">
        <f>$F$6</f>
        <v>Powder Coating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178</v>
      </c>
      <c r="M935" s="538"/>
      <c r="N935" s="540" t="str">
        <f>$K$6</f>
        <v>White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248</v>
      </c>
      <c r="M936" s="538"/>
      <c r="N936" s="543" t="s">
        <v>256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249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250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251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252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253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127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247</v>
      </c>
      <c r="M945" s="538"/>
      <c r="N945" s="540" t="str">
        <f>$F$6</f>
        <v>Powder Coating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178</v>
      </c>
      <c r="M946" s="538"/>
      <c r="N946" s="540" t="str">
        <f>$K$6</f>
        <v>White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248</v>
      </c>
      <c r="M947" s="538"/>
      <c r="N947" s="543" t="s">
        <v>256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249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250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251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252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253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127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247</v>
      </c>
      <c r="M956" s="538"/>
      <c r="N956" s="540" t="str">
        <f>$F$6</f>
        <v>Powder Coating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178</v>
      </c>
      <c r="M957" s="538"/>
      <c r="N957" s="540" t="str">
        <f>$K$6</f>
        <v>White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248</v>
      </c>
      <c r="M958" s="538"/>
      <c r="N958" s="543" t="s">
        <v>256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249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250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251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252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253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127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247</v>
      </c>
      <c r="M967" s="538"/>
      <c r="N967" s="540" t="str">
        <f>$F$6</f>
        <v>Powder Coating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178</v>
      </c>
      <c r="M968" s="538"/>
      <c r="N968" s="540" t="str">
        <f>$K$6</f>
        <v>White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248</v>
      </c>
      <c r="M969" s="538"/>
      <c r="N969" s="543" t="s">
        <v>256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249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250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251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252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253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127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247</v>
      </c>
      <c r="M978" s="538"/>
      <c r="N978" s="540" t="str">
        <f>$F$6</f>
        <v>Powder Coating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178</v>
      </c>
      <c r="M979" s="538"/>
      <c r="N979" s="540" t="str">
        <f>$K$6</f>
        <v>White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248</v>
      </c>
      <c r="M980" s="538"/>
      <c r="N980" s="543" t="s">
        <v>256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249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250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251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252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253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127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247</v>
      </c>
      <c r="M989" s="538"/>
      <c r="N989" s="540" t="str">
        <f>$F$6</f>
        <v>Powder Coating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178</v>
      </c>
      <c r="M990" s="538"/>
      <c r="N990" s="540" t="str">
        <f>$K$6</f>
        <v>White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248</v>
      </c>
      <c r="M991" s="538"/>
      <c r="N991" s="543" t="s">
        <v>256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249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250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251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252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253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127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247</v>
      </c>
      <c r="M1000" s="538"/>
      <c r="N1000" s="540" t="str">
        <f>$F$6</f>
        <v>Powder Coating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178</v>
      </c>
      <c r="M1001" s="538"/>
      <c r="N1001" s="540" t="str">
        <f>$K$6</f>
        <v>White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248</v>
      </c>
      <c r="M1002" s="538"/>
      <c r="N1002" s="543" t="s">
        <v>256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249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250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251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252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253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127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247</v>
      </c>
      <c r="M1011" s="538"/>
      <c r="N1011" s="540" t="str">
        <f>$F$6</f>
        <v>Powder Coating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178</v>
      </c>
      <c r="M1012" s="538"/>
      <c r="N1012" s="540" t="str">
        <f>$K$6</f>
        <v>White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248</v>
      </c>
      <c r="M1013" s="538"/>
      <c r="N1013" s="543" t="s">
        <v>256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249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250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251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252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253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127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247</v>
      </c>
      <c r="M1022" s="538"/>
      <c r="N1022" s="540" t="str">
        <f>$F$6</f>
        <v>Powder Coating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178</v>
      </c>
      <c r="M1023" s="538"/>
      <c r="N1023" s="540" t="str">
        <f>$K$6</f>
        <v>White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248</v>
      </c>
      <c r="M1024" s="538"/>
      <c r="N1024" s="543" t="s">
        <v>256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249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250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251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252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253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127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247</v>
      </c>
      <c r="M1033" s="538"/>
      <c r="N1033" s="540" t="str">
        <f>$F$6</f>
        <v>Powder Coating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178</v>
      </c>
      <c r="M1034" s="538"/>
      <c r="N1034" s="540" t="str">
        <f>$K$6</f>
        <v>White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248</v>
      </c>
      <c r="M1035" s="538"/>
      <c r="N1035" s="543" t="s">
        <v>256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249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250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251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252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253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127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247</v>
      </c>
      <c r="M1044" s="538"/>
      <c r="N1044" s="540" t="str">
        <f>$F$6</f>
        <v>Powder Coating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178</v>
      </c>
      <c r="M1045" s="538"/>
      <c r="N1045" s="540" t="str">
        <f>$K$6</f>
        <v>White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248</v>
      </c>
      <c r="M1046" s="538"/>
      <c r="N1046" s="543" t="s">
        <v>256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249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250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251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252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253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127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247</v>
      </c>
      <c r="M1055" s="538"/>
      <c r="N1055" s="540" t="str">
        <f>$F$6</f>
        <v>Powder Coating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178</v>
      </c>
      <c r="M1056" s="538"/>
      <c r="N1056" s="540" t="str">
        <f>$K$6</f>
        <v>White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248</v>
      </c>
      <c r="M1057" s="538"/>
      <c r="N1057" s="543" t="s">
        <v>256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249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250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251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252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253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127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247</v>
      </c>
      <c r="M1066" s="538"/>
      <c r="N1066" s="540" t="str">
        <f>$F$6</f>
        <v>Powder Coating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178</v>
      </c>
      <c r="M1067" s="538"/>
      <c r="N1067" s="540" t="str">
        <f>$K$6</f>
        <v>White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248</v>
      </c>
      <c r="M1068" s="538"/>
      <c r="N1068" s="543" t="s">
        <v>256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249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250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251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252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253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127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247</v>
      </c>
      <c r="M1077" s="538"/>
      <c r="N1077" s="540" t="str">
        <f>$F$6</f>
        <v>Powder Coating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178</v>
      </c>
      <c r="M1078" s="538"/>
      <c r="N1078" s="540" t="str">
        <f>$K$6</f>
        <v>White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248</v>
      </c>
      <c r="M1079" s="538"/>
      <c r="N1079" s="543" t="s">
        <v>256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249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250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251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252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253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127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247</v>
      </c>
      <c r="M1088" s="538"/>
      <c r="N1088" s="540" t="str">
        <f>$F$6</f>
        <v>Powder Coating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178</v>
      </c>
      <c r="M1089" s="538"/>
      <c r="N1089" s="540" t="str">
        <f>$K$6</f>
        <v>White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248</v>
      </c>
      <c r="M1090" s="538"/>
      <c r="N1090" s="543" t="s">
        <v>256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249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250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251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252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253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127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247</v>
      </c>
      <c r="M1099" s="538"/>
      <c r="N1099" s="540" t="str">
        <f>$F$6</f>
        <v>Powder Coating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178</v>
      </c>
      <c r="M1100" s="538"/>
      <c r="N1100" s="540" t="str">
        <f>$K$6</f>
        <v>White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248</v>
      </c>
      <c r="M1101" s="538"/>
      <c r="N1101" s="543" t="s">
        <v>256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249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250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251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252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253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263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1018</v>
      </c>
    </row>
    <row r="5" spans="3:5">
      <c r="C5" s="236" t="s">
        <v>396</v>
      </c>
      <c r="D5" s="236" t="s">
        <v>394</v>
      </c>
      <c r="E5" s="309">
        <f>ROUND(Pricing!U104,0.1)/40</f>
        <v>30.524999999999999</v>
      </c>
    </row>
    <row r="6" spans="3:5">
      <c r="C6" s="236" t="s">
        <v>83</v>
      </c>
      <c r="D6" s="236" t="s">
        <v>393</v>
      </c>
      <c r="E6" s="309">
        <f>ROUND(Pricing!V104,0.1)</f>
        <v>64</v>
      </c>
    </row>
    <row r="7" spans="3:5">
      <c r="C7" s="236" t="s">
        <v>400</v>
      </c>
      <c r="D7" s="236" t="s">
        <v>392</v>
      </c>
      <c r="E7" s="309">
        <f>ROUND(Pricing!W104,0.1)</f>
        <v>1018</v>
      </c>
    </row>
    <row r="8" spans="3:5">
      <c r="C8" s="236" t="s">
        <v>397</v>
      </c>
      <c r="D8" s="236" t="s">
        <v>392</v>
      </c>
      <c r="E8" s="309">
        <f>ROUND(Pricing!X104,0.1)</f>
        <v>2036</v>
      </c>
    </row>
    <row r="9" spans="3:5">
      <c r="C9" t="s">
        <v>223</v>
      </c>
      <c r="D9" s="236" t="s">
        <v>395</v>
      </c>
      <c r="E9" s="309">
        <f>ROUND(Pricing!Y104,0.1)</f>
        <v>611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5"/>
  <sheetViews>
    <sheetView topLeftCell="A2" workbookViewId="0">
      <selection activeCell="A16" sqref="A16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278</v>
      </c>
      <c r="U1" s="315" t="s">
        <v>415</v>
      </c>
    </row>
    <row r="2" spans="1:21">
      <c r="A2" s="318" t="str">
        <f>'BD Team'!B9</f>
        <v>W1</v>
      </c>
      <c r="B2" s="318" t="str">
        <f>'BD Team'!C9</f>
        <v>M900</v>
      </c>
      <c r="C2" s="318" t="str">
        <f>'BD Team'!D9</f>
        <v>3 TRACK 2 SHUTTER SLIDING WINDOW</v>
      </c>
      <c r="D2" s="318" t="str">
        <f>'BD Team'!E9</f>
        <v>8MM</v>
      </c>
      <c r="E2" s="318" t="str">
        <f>'BD Team'!G9</f>
        <v>NA</v>
      </c>
      <c r="F2" s="318" t="str">
        <f>'BD Team'!F9</f>
        <v>SS</v>
      </c>
      <c r="I2" s="318">
        <f>'BD Team'!H9</f>
        <v>1220</v>
      </c>
      <c r="J2" s="318">
        <f>'BD Team'!I9</f>
        <v>1525</v>
      </c>
      <c r="K2" s="318">
        <f>'BD Team'!J9</f>
        <v>20</v>
      </c>
      <c r="L2" s="319">
        <f>'BD Team'!K9</f>
        <v>106.4</v>
      </c>
      <c r="M2" s="318">
        <f>Pricing!O4</f>
        <v>1322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M900</v>
      </c>
      <c r="C3" s="318" t="str">
        <f>'BD Team'!D10</f>
        <v>3 TRACK 2 SHUTTER SLIDING WINDOW</v>
      </c>
      <c r="D3" s="318" t="str">
        <f>'BD Team'!E10</f>
        <v>8MM</v>
      </c>
      <c r="E3" s="318" t="str">
        <f>'BD Team'!G10</f>
        <v>NA</v>
      </c>
      <c r="F3" s="318" t="str">
        <f>'BD Team'!F10</f>
        <v>SS</v>
      </c>
      <c r="I3" s="318">
        <f>'BD Team'!H10</f>
        <v>1070</v>
      </c>
      <c r="J3" s="318">
        <f>'BD Team'!I10</f>
        <v>1525</v>
      </c>
      <c r="K3" s="318">
        <f>'BD Team'!J10</f>
        <v>2</v>
      </c>
      <c r="L3" s="319">
        <f>'BD Team'!K10</f>
        <v>103.39</v>
      </c>
      <c r="M3" s="318">
        <f>Pricing!O5</f>
        <v>1322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>SIDE HUNG WINDOW</v>
      </c>
      <c r="D4" s="318" t="str">
        <f>'BD Team'!E11</f>
        <v>8MM</v>
      </c>
      <c r="E4" s="318" t="str">
        <f>'BD Team'!G11</f>
        <v>NA</v>
      </c>
      <c r="F4" s="318" t="str">
        <f>'BD Team'!F11</f>
        <v>NO</v>
      </c>
      <c r="I4" s="318">
        <f>'BD Team'!H11</f>
        <v>690</v>
      </c>
      <c r="J4" s="318">
        <f>'BD Team'!I11</f>
        <v>1525</v>
      </c>
      <c r="K4" s="318">
        <f>'BD Team'!J11</f>
        <v>2</v>
      </c>
      <c r="L4" s="319">
        <f>'BD Team'!K11</f>
        <v>131.82</v>
      </c>
      <c r="M4" s="318">
        <f>Pricing!O6</f>
        <v>1322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8MM</v>
      </c>
      <c r="E5" s="318" t="str">
        <f>'BD Team'!G12</f>
        <v>NA</v>
      </c>
      <c r="F5" s="318" t="str">
        <f>'BD Team'!F12</f>
        <v>SS</v>
      </c>
      <c r="I5" s="318">
        <f>'BD Team'!H12</f>
        <v>1830</v>
      </c>
      <c r="J5" s="318">
        <f>'BD Team'!I12</f>
        <v>1525</v>
      </c>
      <c r="K5" s="318">
        <f>'BD Team'!J12</f>
        <v>2</v>
      </c>
      <c r="L5" s="319">
        <f>'BD Team'!K12</f>
        <v>118.64</v>
      </c>
      <c r="M5" s="318">
        <f>Pricing!O7</f>
        <v>1322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8MM</v>
      </c>
      <c r="E6" s="318" t="str">
        <f>'BD Team'!G13</f>
        <v>NA</v>
      </c>
      <c r="F6" s="318" t="str">
        <f>'BD Team'!F13</f>
        <v>SS</v>
      </c>
      <c r="I6" s="318">
        <f>'BD Team'!H13</f>
        <v>1220</v>
      </c>
      <c r="J6" s="318">
        <f>'BD Team'!I13</f>
        <v>1220</v>
      </c>
      <c r="K6" s="318">
        <f>'BD Team'!J13</f>
        <v>4</v>
      </c>
      <c r="L6" s="319">
        <f>'BD Team'!K13</f>
        <v>96.02</v>
      </c>
      <c r="M6" s="318">
        <f>Pricing!O8</f>
        <v>1322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M15000</v>
      </c>
      <c r="C7" s="318" t="str">
        <f>'BD Team'!D14</f>
        <v>SIDE HUNG WINDOW</v>
      </c>
      <c r="D7" s="318" t="str">
        <f>'BD Team'!E14</f>
        <v>8MM</v>
      </c>
      <c r="E7" s="318" t="str">
        <f>'BD Team'!G14</f>
        <v>NA</v>
      </c>
      <c r="F7" s="318" t="str">
        <f>'BD Team'!F14</f>
        <v>NO</v>
      </c>
      <c r="I7" s="318">
        <f>'BD Team'!H14</f>
        <v>610</v>
      </c>
      <c r="J7" s="318">
        <f>'BD Team'!I14</f>
        <v>915</v>
      </c>
      <c r="K7" s="318">
        <f>'BD Team'!J14</f>
        <v>18</v>
      </c>
      <c r="L7" s="319">
        <f>'BD Team'!K14</f>
        <v>104.81</v>
      </c>
      <c r="M7" s="318">
        <f>Pricing!O9</f>
        <v>1322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W7</v>
      </c>
      <c r="B8" s="318" t="str">
        <f>'BD Team'!C15</f>
        <v>M15000</v>
      </c>
      <c r="C8" s="318" t="str">
        <f>'BD Team'!D15</f>
        <v>SIDE HUNG WINDOW</v>
      </c>
      <c r="D8" s="318" t="str">
        <f>'BD Team'!E15</f>
        <v>8MM</v>
      </c>
      <c r="E8" s="318" t="str">
        <f>'BD Team'!G15</f>
        <v>NA</v>
      </c>
      <c r="F8" s="318" t="str">
        <f>'BD Team'!F15</f>
        <v>NO</v>
      </c>
      <c r="I8" s="318">
        <f>'BD Team'!H15</f>
        <v>610</v>
      </c>
      <c r="J8" s="318">
        <f>'BD Team'!I15</f>
        <v>610</v>
      </c>
      <c r="K8" s="318">
        <f>'BD Team'!J15</f>
        <v>3</v>
      </c>
      <c r="L8" s="319">
        <f>'BD Team'!K15</f>
        <v>95.54</v>
      </c>
      <c r="M8" s="318">
        <f>Pricing!O10</f>
        <v>1322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W8</v>
      </c>
      <c r="B9" s="318" t="str">
        <f>'BD Team'!C16</f>
        <v>M15000</v>
      </c>
      <c r="C9" s="318" t="str">
        <f>'BD Team'!D16</f>
        <v>FIXED GLASS</v>
      </c>
      <c r="D9" s="318" t="str">
        <f>'BD Team'!E16</f>
        <v>8MM</v>
      </c>
      <c r="E9" s="318" t="str">
        <f>'BD Team'!G16</f>
        <v>NA</v>
      </c>
      <c r="F9" s="318" t="str">
        <f>'BD Team'!F16</f>
        <v>NO</v>
      </c>
      <c r="I9" s="318">
        <f>'BD Team'!H16</f>
        <v>915</v>
      </c>
      <c r="J9" s="318">
        <f>'BD Team'!I16</f>
        <v>460</v>
      </c>
      <c r="K9" s="318">
        <f>'BD Team'!J16</f>
        <v>3</v>
      </c>
      <c r="L9" s="319">
        <f>'BD Team'!K16</f>
        <v>26.92</v>
      </c>
      <c r="M9" s="318">
        <f>Pricing!O11</f>
        <v>1322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</v>
      </c>
      <c r="B10" s="318" t="str">
        <f>'BD Team'!C17</f>
        <v>M900</v>
      </c>
      <c r="C10" s="318" t="str">
        <f>'BD Team'!D17</f>
        <v>3 TRACK 2 SHUTTER SLIDING WINDOW</v>
      </c>
      <c r="D10" s="318" t="str">
        <f>'BD Team'!E17</f>
        <v>8MM</v>
      </c>
      <c r="E10" s="318" t="str">
        <f>'BD Team'!G17</f>
        <v>NA</v>
      </c>
      <c r="F10" s="318" t="str">
        <f>'BD Team'!F17</f>
        <v>SS</v>
      </c>
      <c r="I10" s="318">
        <f>'BD Team'!H17</f>
        <v>1220</v>
      </c>
      <c r="J10" s="318">
        <f>'BD Team'!I17</f>
        <v>1525</v>
      </c>
      <c r="K10" s="318">
        <f>'BD Team'!J17</f>
        <v>3</v>
      </c>
      <c r="L10" s="319">
        <f>'BD Team'!K17</f>
        <v>106.4</v>
      </c>
      <c r="M10" s="318">
        <f>Pricing!O12</f>
        <v>1322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W10</v>
      </c>
      <c r="B11" s="318" t="str">
        <f>'BD Team'!C18</f>
        <v>M14600</v>
      </c>
      <c r="C11" s="318" t="str">
        <f>'BD Team'!D18</f>
        <v>3 TRACK 2 SHUTTER SLIDING DOOR</v>
      </c>
      <c r="D11" s="318" t="str">
        <f>'BD Team'!E18</f>
        <v>8MM</v>
      </c>
      <c r="E11" s="318" t="str">
        <f>'BD Team'!G18</f>
        <v>NA</v>
      </c>
      <c r="F11" s="318" t="str">
        <f>'BD Team'!F18</f>
        <v>SS</v>
      </c>
      <c r="I11" s="318">
        <f>'BD Team'!H18</f>
        <v>2440</v>
      </c>
      <c r="J11" s="318">
        <f>'BD Team'!I18</f>
        <v>2290</v>
      </c>
      <c r="K11" s="318">
        <f>'BD Team'!J18</f>
        <v>3</v>
      </c>
      <c r="L11" s="319">
        <f>'BD Team'!K18</f>
        <v>464.08</v>
      </c>
      <c r="M11" s="318">
        <f>Pricing!O13</f>
        <v>1322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W11</v>
      </c>
      <c r="B12" s="318" t="str">
        <f>'BD Team'!C19</f>
        <v>M900</v>
      </c>
      <c r="C12" s="318" t="str">
        <f>'BD Team'!D19</f>
        <v>3 TRACK 2 SHUTTER SLIDING WINDOW</v>
      </c>
      <c r="D12" s="318" t="str">
        <f>'BD Team'!E19</f>
        <v>8MM</v>
      </c>
      <c r="E12" s="318" t="str">
        <f>'BD Team'!G19</f>
        <v>NA</v>
      </c>
      <c r="F12" s="318" t="str">
        <f>'BD Team'!F19</f>
        <v>SS</v>
      </c>
      <c r="I12" s="318">
        <f>'BD Team'!H19</f>
        <v>1830</v>
      </c>
      <c r="J12" s="318">
        <f>'BD Team'!I19</f>
        <v>1220</v>
      </c>
      <c r="K12" s="318">
        <f>'BD Team'!J19</f>
        <v>2</v>
      </c>
      <c r="L12" s="319">
        <f>'BD Team'!K19</f>
        <v>108.26</v>
      </c>
      <c r="M12" s="318">
        <f>Pricing!O14</f>
        <v>1322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W12</v>
      </c>
      <c r="B13" s="318" t="str">
        <f>'BD Team'!C20</f>
        <v>M14600</v>
      </c>
      <c r="C13" s="318" t="str">
        <f>'BD Team'!D20</f>
        <v>3 TRACK 2 SHUTTER SLIDING DOOR</v>
      </c>
      <c r="D13" s="318" t="str">
        <f>'BD Team'!E20</f>
        <v>8MM</v>
      </c>
      <c r="E13" s="318" t="str">
        <f>'BD Team'!G20</f>
        <v>NA</v>
      </c>
      <c r="F13" s="318" t="str">
        <f>'BD Team'!F20</f>
        <v>SS</v>
      </c>
      <c r="I13" s="318">
        <f>'BD Team'!H20</f>
        <v>1220</v>
      </c>
      <c r="J13" s="318">
        <f>'BD Team'!I20</f>
        <v>2135</v>
      </c>
      <c r="K13" s="318">
        <f>'BD Team'!J20</f>
        <v>1</v>
      </c>
      <c r="L13" s="319">
        <f>'BD Team'!K20</f>
        <v>372.04</v>
      </c>
      <c r="M13" s="318">
        <f>Pricing!O15</f>
        <v>1322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W13</v>
      </c>
      <c r="B14" s="318" t="str">
        <f>'BD Team'!C21</f>
        <v>M900</v>
      </c>
      <c r="C14" s="318" t="str">
        <f>'BD Team'!D21</f>
        <v>3 TRACK 2 SHUTTER SLIDING WINDOW</v>
      </c>
      <c r="D14" s="318" t="str">
        <f>'BD Team'!E21</f>
        <v>8MM</v>
      </c>
      <c r="E14" s="318" t="str">
        <f>'BD Team'!G21</f>
        <v>NA</v>
      </c>
      <c r="F14" s="318" t="str">
        <f>'BD Team'!F21</f>
        <v>SS</v>
      </c>
      <c r="I14" s="318">
        <f>'BD Team'!H21</f>
        <v>1220</v>
      </c>
      <c r="J14" s="318">
        <f>'BD Team'!I21</f>
        <v>1220</v>
      </c>
      <c r="K14" s="318">
        <f>'BD Team'!J21</f>
        <v>1</v>
      </c>
      <c r="L14" s="319">
        <f>'BD Team'!K21</f>
        <v>96.02</v>
      </c>
      <c r="M14" s="318">
        <f>Pricing!O16</f>
        <v>1322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W14</v>
      </c>
      <c r="B15" s="318" t="str">
        <f>'BD Team'!C22</f>
        <v>M15000</v>
      </c>
      <c r="C15" s="318" t="str">
        <f>'BD Team'!D22</f>
        <v>SIDE HUNG WINDOW</v>
      </c>
      <c r="D15" s="318" t="str">
        <f>'BD Team'!E22</f>
        <v>8MM</v>
      </c>
      <c r="E15" s="318" t="str">
        <f>'BD Team'!G22</f>
        <v>NA</v>
      </c>
      <c r="F15" s="318" t="str">
        <f>'BD Team'!F22</f>
        <v>NO</v>
      </c>
      <c r="I15" s="318">
        <f>'BD Team'!H22</f>
        <v>915</v>
      </c>
      <c r="J15" s="318">
        <f>'BD Team'!I22</f>
        <v>1220</v>
      </c>
      <c r="K15" s="318">
        <f>'BD Team'!J22</f>
        <v>1</v>
      </c>
      <c r="L15" s="319">
        <f>'BD Team'!K22</f>
        <v>124.64</v>
      </c>
      <c r="M15" s="318">
        <f>Pricing!O17</f>
        <v>1322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23" sqref="B2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420</v>
      </c>
      <c r="F2" s="137"/>
      <c r="G2" s="163"/>
      <c r="H2" s="331" t="s">
        <v>185</v>
      </c>
      <c r="I2" s="332"/>
      <c r="J2" s="165" t="s">
        <v>445</v>
      </c>
      <c r="K2" s="167"/>
      <c r="L2" s="104" t="s">
        <v>208</v>
      </c>
      <c r="M2" s="104" t="s">
        <v>381</v>
      </c>
    </row>
    <row r="3" spans="1:13" s="104" customFormat="1">
      <c r="A3" s="330" t="s">
        <v>127</v>
      </c>
      <c r="B3" s="330"/>
      <c r="C3" s="330"/>
      <c r="D3" s="330"/>
      <c r="E3" s="162" t="s">
        <v>421</v>
      </c>
      <c r="F3" s="136" t="s">
        <v>183</v>
      </c>
      <c r="G3" s="162" t="s">
        <v>423</v>
      </c>
      <c r="H3" s="331" t="s">
        <v>186</v>
      </c>
      <c r="I3" s="332"/>
      <c r="J3" s="166">
        <v>43686</v>
      </c>
      <c r="K3" s="167"/>
      <c r="L3" s="104" t="s">
        <v>258</v>
      </c>
      <c r="M3" s="104" t="s">
        <v>382</v>
      </c>
    </row>
    <row r="4" spans="1:13" s="104" customFormat="1" ht="18">
      <c r="A4" s="330" t="s">
        <v>169</v>
      </c>
      <c r="B4" s="330"/>
      <c r="C4" s="330"/>
      <c r="D4" s="330"/>
      <c r="E4" s="162" t="s">
        <v>386</v>
      </c>
      <c r="F4" s="135"/>
      <c r="G4" s="164"/>
      <c r="H4" s="331" t="s">
        <v>187</v>
      </c>
      <c r="I4" s="332"/>
      <c r="J4" s="165" t="s">
        <v>403</v>
      </c>
      <c r="K4" s="167"/>
      <c r="L4" s="104" t="s">
        <v>259</v>
      </c>
      <c r="M4" s="104" t="s">
        <v>383</v>
      </c>
    </row>
    <row r="5" spans="1:13" s="104" customFormat="1">
      <c r="A5" s="330" t="s">
        <v>177</v>
      </c>
      <c r="B5" s="330"/>
      <c r="C5" s="330"/>
      <c r="D5" s="330"/>
      <c r="E5" s="162" t="s">
        <v>422</v>
      </c>
      <c r="F5" s="136" t="s">
        <v>184</v>
      </c>
      <c r="G5" s="162" t="s">
        <v>262</v>
      </c>
      <c r="H5" s="331" t="s">
        <v>375</v>
      </c>
      <c r="I5" s="332"/>
      <c r="J5" s="165"/>
      <c r="K5" s="167"/>
      <c r="L5" s="104" t="s">
        <v>260</v>
      </c>
      <c r="M5" s="104" t="s">
        <v>384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261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206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220</v>
      </c>
      <c r="L7" s="47" t="s">
        <v>262</v>
      </c>
      <c r="M7" s="47" t="s">
        <v>385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403</v>
      </c>
    </row>
    <row r="9" spans="1:13" ht="20.100000000000001" customHeight="1">
      <c r="A9" s="113">
        <v>1</v>
      </c>
      <c r="B9" s="113" t="s">
        <v>424</v>
      </c>
      <c r="C9" s="113" t="s">
        <v>446</v>
      </c>
      <c r="D9" s="113" t="s">
        <v>447</v>
      </c>
      <c r="E9" s="113" t="s">
        <v>426</v>
      </c>
      <c r="F9" s="113" t="s">
        <v>448</v>
      </c>
      <c r="G9" s="113" t="s">
        <v>428</v>
      </c>
      <c r="H9" s="113">
        <v>1220</v>
      </c>
      <c r="I9" s="113">
        <v>1525</v>
      </c>
      <c r="J9" s="113">
        <v>20</v>
      </c>
      <c r="K9" s="123">
        <v>106.4</v>
      </c>
    </row>
    <row r="10" spans="1:13" ht="20.100000000000001" customHeight="1">
      <c r="A10" s="113">
        <v>2</v>
      </c>
      <c r="B10" s="113" t="s">
        <v>429</v>
      </c>
      <c r="C10" s="113" t="s">
        <v>446</v>
      </c>
      <c r="D10" s="113" t="s">
        <v>447</v>
      </c>
      <c r="E10" s="113" t="s">
        <v>426</v>
      </c>
      <c r="F10" s="113" t="s">
        <v>448</v>
      </c>
      <c r="G10" s="113" t="s">
        <v>428</v>
      </c>
      <c r="H10" s="113">
        <v>1070</v>
      </c>
      <c r="I10" s="113">
        <v>1525</v>
      </c>
      <c r="J10" s="113">
        <v>2</v>
      </c>
      <c r="K10" s="123">
        <v>103.39</v>
      </c>
      <c r="L10" s="47" t="s">
        <v>283</v>
      </c>
    </row>
    <row r="11" spans="1:13" ht="20.100000000000001" customHeight="1">
      <c r="A11" s="113">
        <v>3</v>
      </c>
      <c r="B11" s="113" t="s">
        <v>430</v>
      </c>
      <c r="C11" s="113" t="s">
        <v>425</v>
      </c>
      <c r="D11" s="113" t="s">
        <v>431</v>
      </c>
      <c r="E11" s="113" t="s">
        <v>426</v>
      </c>
      <c r="F11" s="113" t="s">
        <v>427</v>
      </c>
      <c r="G11" s="113" t="s">
        <v>428</v>
      </c>
      <c r="H11" s="113">
        <v>690</v>
      </c>
      <c r="I11" s="113">
        <v>1525</v>
      </c>
      <c r="J11" s="113">
        <v>2</v>
      </c>
      <c r="K11" s="123">
        <v>131.82</v>
      </c>
      <c r="L11" s="47" t="s">
        <v>282</v>
      </c>
    </row>
    <row r="12" spans="1:13" ht="20.100000000000001" customHeight="1">
      <c r="A12" s="113">
        <v>4</v>
      </c>
      <c r="B12" s="113" t="s">
        <v>432</v>
      </c>
      <c r="C12" s="113" t="s">
        <v>446</v>
      </c>
      <c r="D12" s="113" t="s">
        <v>447</v>
      </c>
      <c r="E12" s="113" t="s">
        <v>426</v>
      </c>
      <c r="F12" s="113" t="s">
        <v>448</v>
      </c>
      <c r="G12" s="113" t="s">
        <v>428</v>
      </c>
      <c r="H12" s="113">
        <v>1830</v>
      </c>
      <c r="I12" s="113">
        <v>1525</v>
      </c>
      <c r="J12" s="113">
        <v>2</v>
      </c>
      <c r="K12" s="123">
        <v>118.64</v>
      </c>
      <c r="L12" s="47" t="s">
        <v>366</v>
      </c>
    </row>
    <row r="13" spans="1:13" ht="20.100000000000001" customHeight="1">
      <c r="A13" s="113">
        <v>5</v>
      </c>
      <c r="B13" s="113" t="s">
        <v>433</v>
      </c>
      <c r="C13" s="113" t="s">
        <v>446</v>
      </c>
      <c r="D13" s="113" t="s">
        <v>447</v>
      </c>
      <c r="E13" s="113" t="s">
        <v>426</v>
      </c>
      <c r="F13" s="113" t="s">
        <v>448</v>
      </c>
      <c r="G13" s="113" t="s">
        <v>428</v>
      </c>
      <c r="H13" s="113">
        <v>1220</v>
      </c>
      <c r="I13" s="113">
        <v>1220</v>
      </c>
      <c r="J13" s="113">
        <v>4</v>
      </c>
      <c r="K13" s="123">
        <v>96.02</v>
      </c>
      <c r="L13" s="47" t="s">
        <v>367</v>
      </c>
    </row>
    <row r="14" spans="1:13">
      <c r="A14" s="113">
        <v>6</v>
      </c>
      <c r="B14" s="113" t="s">
        <v>434</v>
      </c>
      <c r="C14" s="113" t="s">
        <v>425</v>
      </c>
      <c r="D14" s="113" t="s">
        <v>431</v>
      </c>
      <c r="E14" s="113" t="s">
        <v>426</v>
      </c>
      <c r="F14" s="113" t="s">
        <v>427</v>
      </c>
      <c r="G14" s="113" t="s">
        <v>428</v>
      </c>
      <c r="H14" s="113">
        <v>610</v>
      </c>
      <c r="I14" s="113">
        <v>915</v>
      </c>
      <c r="J14" s="113">
        <v>18</v>
      </c>
      <c r="K14" s="123">
        <v>104.81</v>
      </c>
      <c r="L14" s="47" t="s">
        <v>368</v>
      </c>
    </row>
    <row r="15" spans="1:13" ht="20.100000000000001" customHeight="1">
      <c r="A15" s="113">
        <v>7</v>
      </c>
      <c r="B15" s="113" t="s">
        <v>435</v>
      </c>
      <c r="C15" s="113" t="s">
        <v>425</v>
      </c>
      <c r="D15" s="113" t="s">
        <v>431</v>
      </c>
      <c r="E15" s="113" t="s">
        <v>426</v>
      </c>
      <c r="F15" s="113" t="s">
        <v>427</v>
      </c>
      <c r="G15" s="113" t="s">
        <v>428</v>
      </c>
      <c r="H15" s="113">
        <v>610</v>
      </c>
      <c r="I15" s="113">
        <v>610</v>
      </c>
      <c r="J15" s="113">
        <v>3</v>
      </c>
      <c r="K15" s="123">
        <v>95.54</v>
      </c>
      <c r="L15" s="47" t="s">
        <v>369</v>
      </c>
    </row>
    <row r="16" spans="1:13" ht="20.100000000000001" customHeight="1">
      <c r="A16" s="113">
        <v>8</v>
      </c>
      <c r="B16" s="113" t="s">
        <v>436</v>
      </c>
      <c r="C16" s="113" t="s">
        <v>425</v>
      </c>
      <c r="D16" s="113" t="s">
        <v>437</v>
      </c>
      <c r="E16" s="113" t="s">
        <v>426</v>
      </c>
      <c r="F16" s="113" t="s">
        <v>427</v>
      </c>
      <c r="G16" s="113" t="s">
        <v>428</v>
      </c>
      <c r="H16" s="113">
        <v>915</v>
      </c>
      <c r="I16" s="113">
        <v>460</v>
      </c>
      <c r="J16" s="113">
        <v>3</v>
      </c>
      <c r="K16" s="123">
        <v>26.92</v>
      </c>
      <c r="L16" s="47" t="s">
        <v>370</v>
      </c>
    </row>
    <row r="17" spans="1:13" ht="20.100000000000001" customHeight="1">
      <c r="A17" s="113">
        <v>9</v>
      </c>
      <c r="B17" s="113" t="s">
        <v>438</v>
      </c>
      <c r="C17" s="113" t="s">
        <v>446</v>
      </c>
      <c r="D17" s="113" t="s">
        <v>447</v>
      </c>
      <c r="E17" s="113" t="s">
        <v>426</v>
      </c>
      <c r="F17" s="113" t="s">
        <v>448</v>
      </c>
      <c r="G17" s="113" t="s">
        <v>428</v>
      </c>
      <c r="H17" s="113">
        <v>1220</v>
      </c>
      <c r="I17" s="113">
        <v>1525</v>
      </c>
      <c r="J17" s="113">
        <v>3</v>
      </c>
      <c r="K17" s="123">
        <v>106.4</v>
      </c>
      <c r="L17" s="47" t="s">
        <v>371</v>
      </c>
    </row>
    <row r="18" spans="1:13" ht="20.100000000000001" customHeight="1">
      <c r="A18" s="113">
        <v>10</v>
      </c>
      <c r="B18" s="113" t="s">
        <v>439</v>
      </c>
      <c r="C18" s="113" t="s">
        <v>449</v>
      </c>
      <c r="D18" s="113" t="s">
        <v>450</v>
      </c>
      <c r="E18" s="113" t="s">
        <v>426</v>
      </c>
      <c r="F18" s="113" t="s">
        <v>448</v>
      </c>
      <c r="G18" s="113" t="s">
        <v>428</v>
      </c>
      <c r="H18" s="113">
        <v>2440</v>
      </c>
      <c r="I18" s="113">
        <v>2290</v>
      </c>
      <c r="J18" s="113">
        <v>3</v>
      </c>
      <c r="K18" s="123">
        <v>464.08</v>
      </c>
      <c r="L18" s="47" t="s">
        <v>372</v>
      </c>
    </row>
    <row r="19" spans="1:13" ht="20.100000000000001" customHeight="1">
      <c r="A19" s="113">
        <v>11</v>
      </c>
      <c r="B19" s="113" t="s">
        <v>440</v>
      </c>
      <c r="C19" s="113" t="s">
        <v>446</v>
      </c>
      <c r="D19" s="113" t="s">
        <v>447</v>
      </c>
      <c r="E19" s="113" t="s">
        <v>426</v>
      </c>
      <c r="F19" s="113" t="s">
        <v>448</v>
      </c>
      <c r="G19" s="113" t="s">
        <v>428</v>
      </c>
      <c r="H19" s="113">
        <v>1830</v>
      </c>
      <c r="I19" s="113">
        <v>1220</v>
      </c>
      <c r="J19" s="113">
        <v>2</v>
      </c>
      <c r="K19" s="123">
        <v>108.26</v>
      </c>
      <c r="L19" s="47" t="s">
        <v>373</v>
      </c>
    </row>
    <row r="20" spans="1:13">
      <c r="A20" s="113">
        <v>12</v>
      </c>
      <c r="B20" s="113" t="s">
        <v>441</v>
      </c>
      <c r="C20" s="113" t="s">
        <v>449</v>
      </c>
      <c r="D20" s="113" t="s">
        <v>450</v>
      </c>
      <c r="E20" s="113" t="s">
        <v>426</v>
      </c>
      <c r="F20" s="113" t="s">
        <v>448</v>
      </c>
      <c r="G20" s="113" t="s">
        <v>428</v>
      </c>
      <c r="H20" s="113">
        <v>1220</v>
      </c>
      <c r="I20" s="113">
        <v>2135</v>
      </c>
      <c r="J20" s="113">
        <v>1</v>
      </c>
      <c r="K20" s="123">
        <v>372.04</v>
      </c>
      <c r="L20" s="47" t="s">
        <v>386</v>
      </c>
    </row>
    <row r="21" spans="1:13" ht="20.100000000000001" customHeight="1">
      <c r="A21" s="113">
        <v>13</v>
      </c>
      <c r="B21" s="113" t="s">
        <v>442</v>
      </c>
      <c r="C21" s="113" t="s">
        <v>446</v>
      </c>
      <c r="D21" s="113" t="s">
        <v>447</v>
      </c>
      <c r="E21" s="113" t="s">
        <v>426</v>
      </c>
      <c r="F21" s="113" t="s">
        <v>448</v>
      </c>
      <c r="G21" s="113" t="s">
        <v>428</v>
      </c>
      <c r="H21" s="113">
        <v>1220</v>
      </c>
      <c r="I21" s="113">
        <v>1220</v>
      </c>
      <c r="J21" s="113">
        <v>1</v>
      </c>
      <c r="K21" s="123">
        <v>96.02</v>
      </c>
      <c r="L21" s="47" t="s">
        <v>387</v>
      </c>
    </row>
    <row r="22" spans="1:13" ht="20.100000000000001" customHeight="1">
      <c r="A22" s="113">
        <v>14</v>
      </c>
      <c r="B22" s="113" t="s">
        <v>443</v>
      </c>
      <c r="C22" s="113" t="s">
        <v>425</v>
      </c>
      <c r="D22" s="113" t="s">
        <v>431</v>
      </c>
      <c r="E22" s="113" t="s">
        <v>426</v>
      </c>
      <c r="F22" s="113" t="s">
        <v>427</v>
      </c>
      <c r="G22" s="113" t="s">
        <v>428</v>
      </c>
      <c r="H22" s="113">
        <v>915</v>
      </c>
      <c r="I22" s="113">
        <v>1220</v>
      </c>
      <c r="J22" s="113">
        <v>1</v>
      </c>
      <c r="K22" s="123">
        <v>124.64</v>
      </c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416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417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32" sqref="O32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M900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NA</v>
      </c>
      <c r="G4" s="118">
        <f>'BD Team'!H9</f>
        <v>1220</v>
      </c>
      <c r="H4" s="118">
        <f>'BD Team'!I9</f>
        <v>1525</v>
      </c>
      <c r="I4" s="118">
        <f>'BD Team'!J9</f>
        <v>20</v>
      </c>
      <c r="J4" s="103">
        <f t="shared" ref="J4:J53" si="0">G4*H4*I4*10.764/1000000</f>
        <v>400.52843999999999</v>
      </c>
      <c r="K4" s="172">
        <f>'BD Team'!K9</f>
        <v>106.4</v>
      </c>
      <c r="L4" s="171">
        <f>K4*I4</f>
        <v>2128</v>
      </c>
      <c r="M4" s="170">
        <f>L4*'Changable Values'!$D$4</f>
        <v>176624</v>
      </c>
      <c r="N4" s="170" t="str">
        <f>'BD Team'!E9</f>
        <v>8MM</v>
      </c>
      <c r="O4" s="172">
        <v>1322</v>
      </c>
      <c r="P4" s="241"/>
      <c r="Q4" s="173">
        <f>50*10.764</f>
        <v>538.19999999999993</v>
      </c>
      <c r="R4" s="185"/>
      <c r="S4" s="312"/>
      <c r="T4" s="313">
        <f>(G4+H4)*I4*2/300</f>
        <v>366</v>
      </c>
      <c r="U4" s="313">
        <f>SUM(G4:H4)*I4*2*4/1000</f>
        <v>439.2</v>
      </c>
      <c r="V4" s="313">
        <f>SUM(G4:H4)*I4*5*5*4/(1000*240)</f>
        <v>22.875</v>
      </c>
      <c r="W4" s="313">
        <f>T4</f>
        <v>366</v>
      </c>
      <c r="X4" s="313">
        <f>W4*2</f>
        <v>732</v>
      </c>
      <c r="Y4" s="313">
        <f>SUM(G4:H4)*I4*4/1000</f>
        <v>219.6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M900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NA</v>
      </c>
      <c r="G5" s="118">
        <f>'BD Team'!H10</f>
        <v>1070</v>
      </c>
      <c r="H5" s="118">
        <f>'BD Team'!I10</f>
        <v>1525</v>
      </c>
      <c r="I5" s="118">
        <f>'BD Team'!J10</f>
        <v>2</v>
      </c>
      <c r="J5" s="103">
        <f t="shared" si="0"/>
        <v>35.128314000000003</v>
      </c>
      <c r="K5" s="172">
        <f>'BD Team'!K10</f>
        <v>103.39</v>
      </c>
      <c r="L5" s="171">
        <f t="shared" ref="L5:L53" si="1">K5*I5</f>
        <v>206.78</v>
      </c>
      <c r="M5" s="170">
        <f>L5*'Changable Values'!$D$4</f>
        <v>17162.740000000002</v>
      </c>
      <c r="N5" s="170" t="str">
        <f>'BD Team'!E10</f>
        <v>8MM</v>
      </c>
      <c r="O5" s="172">
        <v>1322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34.6</v>
      </c>
      <c r="U5" s="313">
        <f t="shared" ref="U5:U68" si="3">SUM(G5:H5)*I5*2*4/1000</f>
        <v>41.52</v>
      </c>
      <c r="V5" s="313">
        <f t="shared" ref="V5:V68" si="4">SUM(G5:H5)*I5*5*5*4/(1000*240)</f>
        <v>2.1625000000000001</v>
      </c>
      <c r="W5" s="313">
        <f t="shared" ref="W5:W68" si="5">T5</f>
        <v>34.6</v>
      </c>
      <c r="X5" s="313">
        <f t="shared" ref="X5:X68" si="6">W5*2</f>
        <v>69.2</v>
      </c>
      <c r="Y5" s="313">
        <f t="shared" ref="Y5:Y68" si="7">SUM(G5:H5)*I5*4/1000</f>
        <v>20.76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SIDE HUNG WINDOW</v>
      </c>
      <c r="E6" s="118" t="str">
        <f>'BD Team'!F11</f>
        <v>NO</v>
      </c>
      <c r="F6" s="121" t="str">
        <f>'BD Team'!G11</f>
        <v>NA</v>
      </c>
      <c r="G6" s="118">
        <f>'BD Team'!H11</f>
        <v>690</v>
      </c>
      <c r="H6" s="118">
        <f>'BD Team'!I11</f>
        <v>1525</v>
      </c>
      <c r="I6" s="118">
        <f>'BD Team'!J11</f>
        <v>2</v>
      </c>
      <c r="J6" s="103">
        <f t="shared" si="0"/>
        <v>22.652837999999999</v>
      </c>
      <c r="K6" s="172">
        <f>'BD Team'!K11</f>
        <v>131.82</v>
      </c>
      <c r="L6" s="171">
        <f t="shared" si="1"/>
        <v>263.64</v>
      </c>
      <c r="M6" s="170">
        <f>L6*'Changable Values'!$D$4</f>
        <v>21882.12</v>
      </c>
      <c r="N6" s="170" t="str">
        <f>'BD Team'!E11</f>
        <v>8MM</v>
      </c>
      <c r="O6" s="172">
        <v>1322</v>
      </c>
      <c r="P6" s="241"/>
      <c r="Q6" s="173"/>
      <c r="R6" s="185"/>
      <c r="S6" s="312"/>
      <c r="T6" s="313">
        <f t="shared" si="2"/>
        <v>29.533333333333335</v>
      </c>
      <c r="U6" s="313">
        <f t="shared" si="3"/>
        <v>35.44</v>
      </c>
      <c r="V6" s="313">
        <f t="shared" si="4"/>
        <v>1.8458333333333334</v>
      </c>
      <c r="W6" s="313">
        <f t="shared" si="5"/>
        <v>29.533333333333335</v>
      </c>
      <c r="X6" s="313">
        <f t="shared" si="6"/>
        <v>59.06666666666667</v>
      </c>
      <c r="Y6" s="313">
        <f t="shared" si="7"/>
        <v>17.72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NA</v>
      </c>
      <c r="G7" s="118">
        <f>'BD Team'!H12</f>
        <v>1830</v>
      </c>
      <c r="H7" s="118">
        <f>'BD Team'!I12</f>
        <v>1525</v>
      </c>
      <c r="I7" s="118">
        <f>'BD Team'!J12</f>
        <v>2</v>
      </c>
      <c r="J7" s="103">
        <f t="shared" si="0"/>
        <v>60.079265999999997</v>
      </c>
      <c r="K7" s="172">
        <f>'BD Team'!K12</f>
        <v>118.64</v>
      </c>
      <c r="L7" s="171">
        <f t="shared" si="1"/>
        <v>237.28</v>
      </c>
      <c r="M7" s="170">
        <f>L7*'Changable Values'!$D$4</f>
        <v>19694.240000000002</v>
      </c>
      <c r="N7" s="170" t="str">
        <f>'BD Team'!E12</f>
        <v>8MM</v>
      </c>
      <c r="O7" s="172">
        <v>1322</v>
      </c>
      <c r="P7" s="241"/>
      <c r="Q7" s="173">
        <f t="shared" ref="Q7:Q8" si="8">50*10.764</f>
        <v>538.19999999999993</v>
      </c>
      <c r="R7" s="185"/>
      <c r="S7" s="312"/>
      <c r="T7" s="313">
        <f t="shared" si="2"/>
        <v>44.733333333333334</v>
      </c>
      <c r="U7" s="313">
        <f t="shared" si="3"/>
        <v>53.68</v>
      </c>
      <c r="V7" s="313">
        <f t="shared" si="4"/>
        <v>2.7958333333333334</v>
      </c>
      <c r="W7" s="313">
        <f t="shared" si="5"/>
        <v>44.733333333333334</v>
      </c>
      <c r="X7" s="313">
        <f t="shared" si="6"/>
        <v>89.466666666666669</v>
      </c>
      <c r="Y7" s="313">
        <f t="shared" si="7"/>
        <v>26.84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NA</v>
      </c>
      <c r="G8" s="118">
        <f>'BD Team'!H13</f>
        <v>1220</v>
      </c>
      <c r="H8" s="118">
        <f>'BD Team'!I13</f>
        <v>1220</v>
      </c>
      <c r="I8" s="118">
        <f>'BD Team'!J13</f>
        <v>4</v>
      </c>
      <c r="J8" s="103">
        <f t="shared" si="0"/>
        <v>64.084550399999998</v>
      </c>
      <c r="K8" s="172">
        <f>'BD Team'!K13</f>
        <v>96.02</v>
      </c>
      <c r="L8" s="171">
        <f t="shared" si="1"/>
        <v>384.08</v>
      </c>
      <c r="M8" s="170">
        <f>L8*'Changable Values'!$D$4</f>
        <v>31878.639999999999</v>
      </c>
      <c r="N8" s="170" t="str">
        <f>'BD Team'!E13</f>
        <v>8MM</v>
      </c>
      <c r="O8" s="172">
        <v>1322</v>
      </c>
      <c r="P8" s="241"/>
      <c r="Q8" s="173">
        <f t="shared" si="8"/>
        <v>538.19999999999993</v>
      </c>
      <c r="R8" s="185"/>
      <c r="S8" s="312"/>
      <c r="T8" s="313">
        <f t="shared" si="2"/>
        <v>65.066666666666663</v>
      </c>
      <c r="U8" s="313">
        <f t="shared" si="3"/>
        <v>78.08</v>
      </c>
      <c r="V8" s="313">
        <f t="shared" si="4"/>
        <v>4.0666666666666664</v>
      </c>
      <c r="W8" s="313">
        <f t="shared" si="5"/>
        <v>65.066666666666663</v>
      </c>
      <c r="X8" s="313">
        <f t="shared" si="6"/>
        <v>130.13333333333333</v>
      </c>
      <c r="Y8" s="313">
        <f t="shared" si="7"/>
        <v>39.04</v>
      </c>
    </row>
    <row r="9" spans="1:25">
      <c r="A9" s="118">
        <f>'BD Team'!A14</f>
        <v>6</v>
      </c>
      <c r="B9" s="118" t="str">
        <f>'BD Team'!B14</f>
        <v>W6</v>
      </c>
      <c r="C9" s="118" t="str">
        <f>'BD Team'!C14</f>
        <v>M15000</v>
      </c>
      <c r="D9" s="118" t="str">
        <f>'BD Team'!D14</f>
        <v>SIDE HUNG WINDOW</v>
      </c>
      <c r="E9" s="118" t="str">
        <f>'BD Team'!F14</f>
        <v>NO</v>
      </c>
      <c r="F9" s="121" t="str">
        <f>'BD Team'!G14</f>
        <v>NA</v>
      </c>
      <c r="G9" s="118">
        <f>'BD Team'!H14</f>
        <v>610</v>
      </c>
      <c r="H9" s="118">
        <f>'BD Team'!I14</f>
        <v>915</v>
      </c>
      <c r="I9" s="118">
        <f>'BD Team'!J14</f>
        <v>18</v>
      </c>
      <c r="J9" s="103">
        <f t="shared" si="0"/>
        <v>108.1426788</v>
      </c>
      <c r="K9" s="172">
        <f>'BD Team'!K14</f>
        <v>104.81</v>
      </c>
      <c r="L9" s="171">
        <f t="shared" si="1"/>
        <v>1886.58</v>
      </c>
      <c r="M9" s="170">
        <f>L9*'Changable Values'!$D$4</f>
        <v>156586.13999999998</v>
      </c>
      <c r="N9" s="170" t="str">
        <f>'BD Team'!E14</f>
        <v>8MM</v>
      </c>
      <c r="O9" s="172">
        <v>1322</v>
      </c>
      <c r="P9" s="241"/>
      <c r="Q9" s="173"/>
      <c r="R9" s="185"/>
      <c r="S9" s="312"/>
      <c r="T9" s="313">
        <f t="shared" si="2"/>
        <v>183</v>
      </c>
      <c r="U9" s="313">
        <f t="shared" si="3"/>
        <v>219.6</v>
      </c>
      <c r="V9" s="313">
        <f t="shared" si="4"/>
        <v>11.4375</v>
      </c>
      <c r="W9" s="313">
        <f t="shared" si="5"/>
        <v>183</v>
      </c>
      <c r="X9" s="313">
        <f t="shared" si="6"/>
        <v>366</v>
      </c>
      <c r="Y9" s="313">
        <f t="shared" si="7"/>
        <v>109.8</v>
      </c>
    </row>
    <row r="10" spans="1:25">
      <c r="A10" s="118">
        <f>'BD Team'!A15</f>
        <v>7</v>
      </c>
      <c r="B10" s="118" t="str">
        <f>'BD Team'!B15</f>
        <v>W7</v>
      </c>
      <c r="C10" s="118" t="str">
        <f>'BD Team'!C15</f>
        <v>M15000</v>
      </c>
      <c r="D10" s="118" t="str">
        <f>'BD Team'!D15</f>
        <v>SIDE HUNG WINDOW</v>
      </c>
      <c r="E10" s="118" t="str">
        <f>'BD Team'!F15</f>
        <v>NO</v>
      </c>
      <c r="F10" s="121" t="str">
        <f>'BD Team'!G15</f>
        <v>NA</v>
      </c>
      <c r="G10" s="118">
        <f>'BD Team'!H15</f>
        <v>610</v>
      </c>
      <c r="H10" s="118">
        <f>'BD Team'!I15</f>
        <v>610</v>
      </c>
      <c r="I10" s="118">
        <f>'BD Team'!J15</f>
        <v>3</v>
      </c>
      <c r="J10" s="103">
        <f t="shared" si="0"/>
        <v>12.015853199999999</v>
      </c>
      <c r="K10" s="172">
        <f>'BD Team'!K15</f>
        <v>95.54</v>
      </c>
      <c r="L10" s="171">
        <f t="shared" si="1"/>
        <v>286.62</v>
      </c>
      <c r="M10" s="170">
        <f>L10*'Changable Values'!$D$4</f>
        <v>23789.46</v>
      </c>
      <c r="N10" s="170" t="str">
        <f>'BD Team'!E15</f>
        <v>8MM</v>
      </c>
      <c r="O10" s="172">
        <v>1322</v>
      </c>
      <c r="P10" s="241"/>
      <c r="Q10" s="173"/>
      <c r="R10" s="185"/>
      <c r="S10" s="312"/>
      <c r="T10" s="313">
        <f t="shared" si="2"/>
        <v>24.4</v>
      </c>
      <c r="U10" s="313">
        <f t="shared" si="3"/>
        <v>29.28</v>
      </c>
      <c r="V10" s="313">
        <f t="shared" si="4"/>
        <v>1.5249999999999999</v>
      </c>
      <c r="W10" s="313">
        <f t="shared" si="5"/>
        <v>24.4</v>
      </c>
      <c r="X10" s="313">
        <f t="shared" si="6"/>
        <v>48.8</v>
      </c>
      <c r="Y10" s="313">
        <f t="shared" si="7"/>
        <v>14.64</v>
      </c>
    </row>
    <row r="11" spans="1:25">
      <c r="A11" s="118">
        <f>'BD Team'!A16</f>
        <v>8</v>
      </c>
      <c r="B11" s="118" t="str">
        <f>'BD Team'!B16</f>
        <v>W8</v>
      </c>
      <c r="C11" s="118" t="str">
        <f>'BD Team'!C16</f>
        <v>M15000</v>
      </c>
      <c r="D11" s="118" t="str">
        <f>'BD Team'!D16</f>
        <v>FIXED GLASS</v>
      </c>
      <c r="E11" s="118" t="str">
        <f>'BD Team'!F16</f>
        <v>NO</v>
      </c>
      <c r="F11" s="121" t="str">
        <f>'BD Team'!G16</f>
        <v>NA</v>
      </c>
      <c r="G11" s="118">
        <f>'BD Team'!H16</f>
        <v>915</v>
      </c>
      <c r="H11" s="118">
        <f>'BD Team'!I16</f>
        <v>460</v>
      </c>
      <c r="I11" s="118">
        <f>'BD Team'!J16</f>
        <v>3</v>
      </c>
      <c r="J11" s="103">
        <f t="shared" si="0"/>
        <v>13.591702799999998</v>
      </c>
      <c r="K11" s="172">
        <f>'BD Team'!K16</f>
        <v>26.92</v>
      </c>
      <c r="L11" s="171">
        <f t="shared" si="1"/>
        <v>80.760000000000005</v>
      </c>
      <c r="M11" s="170">
        <f>L11*'Changable Values'!$D$4</f>
        <v>6703.0800000000008</v>
      </c>
      <c r="N11" s="170" t="str">
        <f>'BD Team'!E16</f>
        <v>8MM</v>
      </c>
      <c r="O11" s="172">
        <v>1322</v>
      </c>
      <c r="P11" s="241"/>
      <c r="Q11" s="173"/>
      <c r="R11" s="185"/>
      <c r="S11" s="312"/>
      <c r="T11" s="313">
        <f t="shared" si="2"/>
        <v>27.5</v>
      </c>
      <c r="U11" s="313">
        <f t="shared" si="3"/>
        <v>33</v>
      </c>
      <c r="V11" s="313">
        <f t="shared" si="4"/>
        <v>1.71875</v>
      </c>
      <c r="W11" s="313">
        <f t="shared" si="5"/>
        <v>27.5</v>
      </c>
      <c r="X11" s="313">
        <f t="shared" si="6"/>
        <v>55</v>
      </c>
      <c r="Y11" s="313">
        <f t="shared" si="7"/>
        <v>16.5</v>
      </c>
    </row>
    <row r="12" spans="1:25">
      <c r="A12" s="118">
        <f>'BD Team'!A17</f>
        <v>9</v>
      </c>
      <c r="B12" s="118" t="str">
        <f>'BD Team'!B17</f>
        <v>W9</v>
      </c>
      <c r="C12" s="118" t="str">
        <f>'BD Team'!C17</f>
        <v>M900</v>
      </c>
      <c r="D12" s="118" t="str">
        <f>'BD Team'!D17</f>
        <v>3 TRACK 2 SHUTTER SLIDING WINDOW</v>
      </c>
      <c r="E12" s="118" t="str">
        <f>'BD Team'!F17</f>
        <v>SS</v>
      </c>
      <c r="F12" s="121" t="str">
        <f>'BD Team'!G17</f>
        <v>NA</v>
      </c>
      <c r="G12" s="118">
        <f>'BD Team'!H17</f>
        <v>1220</v>
      </c>
      <c r="H12" s="118">
        <f>'BD Team'!I17</f>
        <v>1525</v>
      </c>
      <c r="I12" s="118">
        <f>'BD Team'!J17</f>
        <v>3</v>
      </c>
      <c r="J12" s="103">
        <f t="shared" si="0"/>
        <v>60.079265999999997</v>
      </c>
      <c r="K12" s="172">
        <f>'BD Team'!K17</f>
        <v>106.4</v>
      </c>
      <c r="L12" s="171">
        <f t="shared" si="1"/>
        <v>319.20000000000005</v>
      </c>
      <c r="M12" s="170">
        <f>L12*'Changable Values'!$D$4</f>
        <v>26493.600000000002</v>
      </c>
      <c r="N12" s="170" t="str">
        <f>'BD Team'!E17</f>
        <v>8MM</v>
      </c>
      <c r="O12" s="172">
        <v>1322</v>
      </c>
      <c r="P12" s="241"/>
      <c r="Q12" s="173">
        <f t="shared" ref="Q12:Q16" si="9">50*10.764</f>
        <v>538.19999999999993</v>
      </c>
      <c r="R12" s="185"/>
      <c r="S12" s="312"/>
      <c r="T12" s="313">
        <f t="shared" si="2"/>
        <v>54.9</v>
      </c>
      <c r="U12" s="313">
        <f t="shared" si="3"/>
        <v>65.88</v>
      </c>
      <c r="V12" s="313">
        <f t="shared" si="4"/>
        <v>3.4312499999999999</v>
      </c>
      <c r="W12" s="313">
        <f t="shared" si="5"/>
        <v>54.9</v>
      </c>
      <c r="X12" s="313">
        <f t="shared" si="6"/>
        <v>109.8</v>
      </c>
      <c r="Y12" s="313">
        <f t="shared" si="7"/>
        <v>32.94</v>
      </c>
    </row>
    <row r="13" spans="1:25">
      <c r="A13" s="118">
        <f>'BD Team'!A18</f>
        <v>10</v>
      </c>
      <c r="B13" s="118" t="str">
        <f>'BD Team'!B18</f>
        <v>W10</v>
      </c>
      <c r="C13" s="118" t="str">
        <f>'BD Team'!C18</f>
        <v>M14600</v>
      </c>
      <c r="D13" s="118" t="str">
        <f>'BD Team'!D18</f>
        <v>3 TRACK 2 SHUTTER SLIDING DOOR</v>
      </c>
      <c r="E13" s="118" t="str">
        <f>'BD Team'!F18</f>
        <v>SS</v>
      </c>
      <c r="F13" s="121" t="str">
        <f>'BD Team'!G18</f>
        <v>NA</v>
      </c>
      <c r="G13" s="118">
        <f>'BD Team'!H18</f>
        <v>2440</v>
      </c>
      <c r="H13" s="118">
        <f>'BD Team'!I18</f>
        <v>2290</v>
      </c>
      <c r="I13" s="118">
        <f>'BD Team'!J18</f>
        <v>3</v>
      </c>
      <c r="J13" s="103">
        <f t="shared" si="0"/>
        <v>180.43477919999998</v>
      </c>
      <c r="K13" s="172">
        <f>'BD Team'!K18</f>
        <v>464.08</v>
      </c>
      <c r="L13" s="171">
        <f t="shared" si="1"/>
        <v>1392.24</v>
      </c>
      <c r="M13" s="170">
        <f>L13*'Changable Values'!$D$4</f>
        <v>115555.92</v>
      </c>
      <c r="N13" s="170" t="str">
        <f>'BD Team'!E18</f>
        <v>8MM</v>
      </c>
      <c r="O13" s="172">
        <v>1322</v>
      </c>
      <c r="P13" s="241"/>
      <c r="Q13" s="173">
        <f t="shared" si="9"/>
        <v>538.19999999999993</v>
      </c>
      <c r="R13" s="185"/>
      <c r="S13" s="312"/>
      <c r="T13" s="313">
        <f t="shared" si="2"/>
        <v>94.6</v>
      </c>
      <c r="U13" s="313">
        <f t="shared" si="3"/>
        <v>113.52</v>
      </c>
      <c r="V13" s="313">
        <f t="shared" si="4"/>
        <v>5.9124999999999996</v>
      </c>
      <c r="W13" s="313">
        <f t="shared" si="5"/>
        <v>94.6</v>
      </c>
      <c r="X13" s="313">
        <f t="shared" si="6"/>
        <v>189.2</v>
      </c>
      <c r="Y13" s="313">
        <f t="shared" si="7"/>
        <v>56.76</v>
      </c>
    </row>
    <row r="14" spans="1:25">
      <c r="A14" s="118">
        <f>'BD Team'!A19</f>
        <v>11</v>
      </c>
      <c r="B14" s="118" t="str">
        <f>'BD Team'!B19</f>
        <v>W11</v>
      </c>
      <c r="C14" s="118" t="str">
        <f>'BD Team'!C19</f>
        <v>M900</v>
      </c>
      <c r="D14" s="118" t="str">
        <f>'BD Team'!D19</f>
        <v>3 TRACK 2 SHUTTER SLIDING WINDOW</v>
      </c>
      <c r="E14" s="118" t="str">
        <f>'BD Team'!F19</f>
        <v>SS</v>
      </c>
      <c r="F14" s="121" t="str">
        <f>'BD Team'!G19</f>
        <v>NA</v>
      </c>
      <c r="G14" s="118">
        <f>'BD Team'!H19</f>
        <v>1830</v>
      </c>
      <c r="H14" s="118">
        <f>'BD Team'!I19</f>
        <v>1220</v>
      </c>
      <c r="I14" s="118">
        <f>'BD Team'!J19</f>
        <v>2</v>
      </c>
      <c r="J14" s="103">
        <f t="shared" si="0"/>
        <v>48.063412799999995</v>
      </c>
      <c r="K14" s="172">
        <f>'BD Team'!K19</f>
        <v>108.26</v>
      </c>
      <c r="L14" s="171">
        <f t="shared" si="1"/>
        <v>216.52</v>
      </c>
      <c r="M14" s="170">
        <f>L14*'Changable Values'!$D$4</f>
        <v>17971.16</v>
      </c>
      <c r="N14" s="170" t="str">
        <f>'BD Team'!E19</f>
        <v>8MM</v>
      </c>
      <c r="O14" s="172">
        <v>1322</v>
      </c>
      <c r="P14" s="241"/>
      <c r="Q14" s="173">
        <f t="shared" si="9"/>
        <v>538.19999999999993</v>
      </c>
      <c r="R14" s="185"/>
      <c r="S14" s="312"/>
      <c r="T14" s="313">
        <f t="shared" si="2"/>
        <v>40.666666666666664</v>
      </c>
      <c r="U14" s="313">
        <f t="shared" si="3"/>
        <v>48.8</v>
      </c>
      <c r="V14" s="313">
        <f t="shared" si="4"/>
        <v>2.5416666666666665</v>
      </c>
      <c r="W14" s="313">
        <f t="shared" si="5"/>
        <v>40.666666666666664</v>
      </c>
      <c r="X14" s="313">
        <f t="shared" si="6"/>
        <v>81.333333333333329</v>
      </c>
      <c r="Y14" s="313">
        <f t="shared" si="7"/>
        <v>24.4</v>
      </c>
    </row>
    <row r="15" spans="1:25">
      <c r="A15" s="118">
        <f>'BD Team'!A20</f>
        <v>12</v>
      </c>
      <c r="B15" s="118" t="str">
        <f>'BD Team'!B20</f>
        <v>W12</v>
      </c>
      <c r="C15" s="118" t="str">
        <f>'BD Team'!C20</f>
        <v>M14600</v>
      </c>
      <c r="D15" s="118" t="str">
        <f>'BD Team'!D20</f>
        <v>3 TRACK 2 SHUTTER SLIDING DOOR</v>
      </c>
      <c r="E15" s="118" t="str">
        <f>'BD Team'!F20</f>
        <v>SS</v>
      </c>
      <c r="F15" s="121" t="str">
        <f>'BD Team'!G20</f>
        <v>NA</v>
      </c>
      <c r="G15" s="118">
        <f>'BD Team'!H20</f>
        <v>1220</v>
      </c>
      <c r="H15" s="118">
        <f>'BD Team'!I20</f>
        <v>2135</v>
      </c>
      <c r="I15" s="118">
        <f>'BD Team'!J20</f>
        <v>1</v>
      </c>
      <c r="J15" s="103">
        <f t="shared" si="0"/>
        <v>28.036990799999998</v>
      </c>
      <c r="K15" s="172">
        <f>'BD Team'!K20</f>
        <v>372.04</v>
      </c>
      <c r="L15" s="171">
        <f t="shared" si="1"/>
        <v>372.04</v>
      </c>
      <c r="M15" s="170">
        <f>L15*'Changable Values'!$D$4</f>
        <v>30879.320000000003</v>
      </c>
      <c r="N15" s="170" t="str">
        <f>'BD Team'!E20</f>
        <v>8MM</v>
      </c>
      <c r="O15" s="172">
        <v>1322</v>
      </c>
      <c r="P15" s="241"/>
      <c r="Q15" s="173">
        <f t="shared" si="9"/>
        <v>538.19999999999993</v>
      </c>
      <c r="R15" s="185"/>
      <c r="S15" s="312"/>
      <c r="T15" s="313">
        <f t="shared" si="2"/>
        <v>22.366666666666667</v>
      </c>
      <c r="U15" s="313">
        <f t="shared" si="3"/>
        <v>26.84</v>
      </c>
      <c r="V15" s="313">
        <f t="shared" si="4"/>
        <v>1.3979166666666667</v>
      </c>
      <c r="W15" s="313">
        <f t="shared" si="5"/>
        <v>22.366666666666667</v>
      </c>
      <c r="X15" s="313">
        <f t="shared" si="6"/>
        <v>44.733333333333334</v>
      </c>
      <c r="Y15" s="313">
        <f t="shared" si="7"/>
        <v>13.42</v>
      </c>
    </row>
    <row r="16" spans="1:25">
      <c r="A16" s="118">
        <f>'BD Team'!A21</f>
        <v>13</v>
      </c>
      <c r="B16" s="118" t="str">
        <f>'BD Team'!B21</f>
        <v>W13</v>
      </c>
      <c r="C16" s="118" t="str">
        <f>'BD Team'!C21</f>
        <v>M900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NA</v>
      </c>
      <c r="G16" s="118">
        <f>'BD Team'!H21</f>
        <v>1220</v>
      </c>
      <c r="H16" s="118">
        <f>'BD Team'!I21</f>
        <v>1220</v>
      </c>
      <c r="I16" s="118">
        <f>'BD Team'!J21</f>
        <v>1</v>
      </c>
      <c r="J16" s="103">
        <f t="shared" si="0"/>
        <v>16.021137599999999</v>
      </c>
      <c r="K16" s="172">
        <f>'BD Team'!K21</f>
        <v>96.02</v>
      </c>
      <c r="L16" s="171">
        <f t="shared" si="1"/>
        <v>96.02</v>
      </c>
      <c r="M16" s="170">
        <f>L16*'Changable Values'!$D$4</f>
        <v>7969.66</v>
      </c>
      <c r="N16" s="170" t="str">
        <f>'BD Team'!E21</f>
        <v>8MM</v>
      </c>
      <c r="O16" s="172">
        <v>1322</v>
      </c>
      <c r="P16" s="241"/>
      <c r="Q16" s="173">
        <f t="shared" si="9"/>
        <v>538.19999999999993</v>
      </c>
      <c r="R16" s="185"/>
      <c r="S16" s="312"/>
      <c r="T16" s="313">
        <f t="shared" si="2"/>
        <v>16.266666666666666</v>
      </c>
      <c r="U16" s="313">
        <f t="shared" si="3"/>
        <v>19.52</v>
      </c>
      <c r="V16" s="313">
        <f t="shared" si="4"/>
        <v>1.0166666666666666</v>
      </c>
      <c r="W16" s="313">
        <f t="shared" si="5"/>
        <v>16.266666666666666</v>
      </c>
      <c r="X16" s="313">
        <f t="shared" si="6"/>
        <v>32.533333333333331</v>
      </c>
      <c r="Y16" s="313">
        <f t="shared" si="7"/>
        <v>9.76</v>
      </c>
    </row>
    <row r="17" spans="1:25">
      <c r="A17" s="118">
        <f>'BD Team'!A22</f>
        <v>14</v>
      </c>
      <c r="B17" s="118" t="str">
        <f>'BD Team'!B22</f>
        <v>W14</v>
      </c>
      <c r="C17" s="118" t="str">
        <f>'BD Team'!C22</f>
        <v>M15000</v>
      </c>
      <c r="D17" s="118" t="str">
        <f>'BD Team'!D22</f>
        <v>SIDE HUNG WINDOW</v>
      </c>
      <c r="E17" s="118" t="str">
        <f>'BD Team'!F22</f>
        <v>NO</v>
      </c>
      <c r="F17" s="121" t="str">
        <f>'BD Team'!G22</f>
        <v>NA</v>
      </c>
      <c r="G17" s="118">
        <f>'BD Team'!H22</f>
        <v>915</v>
      </c>
      <c r="H17" s="118">
        <f>'BD Team'!I22</f>
        <v>1220</v>
      </c>
      <c r="I17" s="118">
        <f>'BD Team'!J22</f>
        <v>1</v>
      </c>
      <c r="J17" s="103">
        <f t="shared" si="0"/>
        <v>12.015853199999999</v>
      </c>
      <c r="K17" s="172">
        <f>'BD Team'!K22</f>
        <v>124.64</v>
      </c>
      <c r="L17" s="171">
        <f t="shared" si="1"/>
        <v>124.64</v>
      </c>
      <c r="M17" s="170">
        <f>L17*'Changable Values'!$D$4</f>
        <v>10345.120000000001</v>
      </c>
      <c r="N17" s="170" t="str">
        <f>'BD Team'!E22</f>
        <v>8MM</v>
      </c>
      <c r="O17" s="172">
        <v>1322</v>
      </c>
      <c r="P17" s="241"/>
      <c r="Q17" s="173"/>
      <c r="R17" s="185"/>
      <c r="S17" s="312"/>
      <c r="T17" s="313">
        <f t="shared" si="2"/>
        <v>14.233333333333333</v>
      </c>
      <c r="U17" s="313">
        <f t="shared" si="3"/>
        <v>17.079999999999998</v>
      </c>
      <c r="V17" s="313">
        <f t="shared" si="4"/>
        <v>0.88958333333333328</v>
      </c>
      <c r="W17" s="313">
        <f t="shared" si="5"/>
        <v>14.233333333333333</v>
      </c>
      <c r="X17" s="313">
        <f t="shared" si="6"/>
        <v>28.466666666666665</v>
      </c>
      <c r="Y17" s="313">
        <f t="shared" si="7"/>
        <v>8.5399999999999991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2054.9799999999996</v>
      </c>
      <c r="L104" s="168">
        <f>SUM(L4:L103)</f>
        <v>7994.4000000000015</v>
      </c>
      <c r="M104" s="168">
        <f>SUM(M4:M103)</f>
        <v>663535.20000000007</v>
      </c>
      <c r="T104" s="314">
        <f t="shared" ref="T104:Y104" si="18">SUM(T4:T103)</f>
        <v>1017.8666666666667</v>
      </c>
      <c r="U104" s="314">
        <f t="shared" si="18"/>
        <v>1221.4399999999998</v>
      </c>
      <c r="V104" s="314">
        <f t="shared" si="18"/>
        <v>63.616666666666667</v>
      </c>
      <c r="W104" s="314">
        <f t="shared" si="18"/>
        <v>1017.8666666666667</v>
      </c>
      <c r="X104" s="314">
        <f t="shared" si="18"/>
        <v>2035.7333333333333</v>
      </c>
      <c r="Y104" s="314">
        <f t="shared" si="18"/>
        <v>610.71999999999991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1322.2439999999999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281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189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190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238</v>
      </c>
      <c r="AK4" s="383" t="s">
        <v>239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215</v>
      </c>
      <c r="AW4" s="368" t="s">
        <v>213</v>
      </c>
      <c r="AX4" s="371" t="s">
        <v>214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212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W1</v>
      </c>
      <c r="E8" s="132" t="str">
        <f>Pricing!N4</f>
        <v>8MM</v>
      </c>
      <c r="F8" s="68">
        <f>Pricing!G4</f>
        <v>1220</v>
      </c>
      <c r="G8" s="68">
        <f>Pricing!H4</f>
        <v>1525</v>
      </c>
      <c r="H8" s="100">
        <f t="shared" ref="H8:H57" si="0">(F8*G8)/1000000</f>
        <v>1.8605</v>
      </c>
      <c r="I8" s="70">
        <f>Pricing!I4</f>
        <v>20</v>
      </c>
      <c r="J8" s="69">
        <f t="shared" ref="J8" si="1">H8*I8</f>
        <v>37.21</v>
      </c>
      <c r="K8" s="71">
        <f t="shared" ref="K8" si="2">J8*10.764</f>
        <v>400.52843999999999</v>
      </c>
      <c r="L8" s="69"/>
      <c r="M8" s="72"/>
      <c r="N8" s="72"/>
      <c r="O8" s="72">
        <f t="shared" ref="O8:O35" si="3">N8*M8*L8/1000000</f>
        <v>0</v>
      </c>
      <c r="P8" s="73">
        <f>Pricing!M4</f>
        <v>176624</v>
      </c>
      <c r="Q8" s="74">
        <f t="shared" ref="Q8:Q56" si="4">P8*$Q$6</f>
        <v>17662.400000000001</v>
      </c>
      <c r="R8" s="74">
        <f t="shared" ref="R8:R56" si="5">(P8+Q8)*$R$6</f>
        <v>21371.504000000001</v>
      </c>
      <c r="S8" s="74">
        <f t="shared" ref="S8:S56" si="6">(P8+Q8+R8)*$S$6</f>
        <v>1078.2895199999998</v>
      </c>
      <c r="T8" s="74">
        <f t="shared" ref="T8:T56" si="7">(P8+Q8+R8+S8)*$T$6</f>
        <v>2167.3619351999996</v>
      </c>
      <c r="U8" s="72">
        <f t="shared" ref="U8:U56" si="8">SUM(P8:T8)</f>
        <v>218903.55545519997</v>
      </c>
      <c r="V8" s="74">
        <f t="shared" ref="V8:V56" si="9">U8*$V$6</f>
        <v>3283.5533318279995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49191.62</v>
      </c>
      <c r="AE8" s="76">
        <f>((((F8+G8)*2)/305)*I8*$AE$7)</f>
        <v>9000</v>
      </c>
      <c r="AF8" s="342">
        <f>(((((F8*4)+(G8*4))/1000)*$AF$6*$AG$6)/300)*I8*$AF$7</f>
        <v>9223.1999999999989</v>
      </c>
      <c r="AG8" s="343"/>
      <c r="AH8" s="76">
        <f>(((F8+G8))*I8/1000)*8*$AH$7</f>
        <v>329.4</v>
      </c>
      <c r="AI8" s="76">
        <f t="shared" ref="AI8:AI57" si="15">(((F8+G8)*2*I8)/1000)*2*$AI$7</f>
        <v>1098</v>
      </c>
      <c r="AJ8" s="76">
        <f>J8*Pricing!Q4</f>
        <v>20026.421999999999</v>
      </c>
      <c r="AK8" s="76">
        <f>J8*Pricing!R4</f>
        <v>0</v>
      </c>
      <c r="AL8" s="76">
        <f t="shared" ref="AL8:AL39" si="16">J8*$AL$6</f>
        <v>40052.843999999997</v>
      </c>
      <c r="AM8" s="77">
        <f t="shared" ref="AM8:AM39" si="17">$AM$6*J8</f>
        <v>0</v>
      </c>
      <c r="AN8" s="76">
        <f t="shared" ref="AN8:AN39" si="18">$AN$6*J8</f>
        <v>32042.275199999996</v>
      </c>
      <c r="AO8" s="72">
        <f t="shared" ref="AO8:AO39" si="19">SUM(U8:V8)+SUM(AC8:AI8)-AD8</f>
        <v>241837.70878702798</v>
      </c>
      <c r="AP8" s="74">
        <f t="shared" ref="AP8:AP39" si="20">AO8*$AP$6</f>
        <v>302297.13598378497</v>
      </c>
      <c r="AQ8" s="74">
        <f t="shared" ref="AQ8:AQ56" si="21">(AO8+AP8)*$AQ$6</f>
        <v>0</v>
      </c>
      <c r="AR8" s="74">
        <f t="shared" ref="AR8:AR39" si="22">SUM(AO8:AQ8)/J8</f>
        <v>14623.349765407494</v>
      </c>
      <c r="AS8" s="72">
        <f t="shared" ref="AS8:AS39" si="23">SUM(AJ8:AQ8)+AD8+AB8</f>
        <v>685448.00597081298</v>
      </c>
      <c r="AT8" s="72">
        <f t="shared" ref="AT8:AT39" si="24">AS8/J8</f>
        <v>18421.069765407497</v>
      </c>
      <c r="AU8" s="78">
        <f t="shared" ref="AU8:AU56" si="25">AT8/10.764</f>
        <v>1711.3591383693329</v>
      </c>
      <c r="AV8" s="79">
        <f t="shared" ref="AV8:AV39" si="26">K8/$K$109</f>
        <v>0.37754533638670545</v>
      </c>
      <c r="AW8" s="80">
        <f t="shared" ref="AW8:AW39" si="27">(U8+V8)/(J8*10.764)</f>
        <v>554.73491167575514</v>
      </c>
      <c r="AX8" s="81">
        <f t="shared" ref="AX8:AX39" si="28">SUM(W8:AN8,AP8)/(J8*10.764)</f>
        <v>1156.6242266935776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W2</v>
      </c>
      <c r="E9" s="132" t="str">
        <f>Pricing!N5</f>
        <v>8MM</v>
      </c>
      <c r="F9" s="68">
        <f>Pricing!G5</f>
        <v>1070</v>
      </c>
      <c r="G9" s="68">
        <f>Pricing!H5</f>
        <v>1525</v>
      </c>
      <c r="H9" s="100">
        <f t="shared" si="0"/>
        <v>1.63175</v>
      </c>
      <c r="I9" s="70">
        <f>Pricing!I5</f>
        <v>2</v>
      </c>
      <c r="J9" s="69">
        <f t="shared" ref="J9:J58" si="30">H9*I9</f>
        <v>3.2635000000000001</v>
      </c>
      <c r="K9" s="71">
        <f t="shared" ref="K9:K58" si="31">J9*10.764</f>
        <v>35.128313999999996</v>
      </c>
      <c r="L9" s="69"/>
      <c r="M9" s="72"/>
      <c r="N9" s="72"/>
      <c r="O9" s="72">
        <f t="shared" si="3"/>
        <v>0</v>
      </c>
      <c r="P9" s="73">
        <f>Pricing!M5</f>
        <v>17162.740000000002</v>
      </c>
      <c r="Q9" s="74">
        <f t="shared" ref="Q9:Q14" si="32">P9*$Q$6</f>
        <v>1716.2740000000003</v>
      </c>
      <c r="R9" s="74">
        <f t="shared" ref="R9:R14" si="33">(P9+Q9)*$R$6</f>
        <v>2076.6915400000003</v>
      </c>
      <c r="S9" s="74">
        <f t="shared" ref="S9:S14" si="34">(P9+Q9+R9)*$S$6</f>
        <v>104.77852770000001</v>
      </c>
      <c r="T9" s="74">
        <f t="shared" ref="T9:T14" si="35">(P9+Q9+R9+S9)*$T$6</f>
        <v>210.60484067700003</v>
      </c>
      <c r="U9" s="72">
        <f t="shared" ref="U9:U14" si="36">SUM(P9:T9)</f>
        <v>21271.088908377002</v>
      </c>
      <c r="V9" s="74">
        <f t="shared" ref="V9:V14" si="37">U9*$V$6</f>
        <v>319.06633362565503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4314.3469999999998</v>
      </c>
      <c r="AE9" s="76">
        <f t="shared" ref="AE9:AE57" si="43">((((F9+G9)*2)/305)*I9*$AE$7)</f>
        <v>850.81967213114763</v>
      </c>
      <c r="AF9" s="342">
        <f t="shared" ref="AF9:AF57" si="44">(((((F9*4)+(G9*4))/1000)*$AF$6*$AG$6)/300)*I9*$AF$7</f>
        <v>871.92000000000007</v>
      </c>
      <c r="AG9" s="343"/>
      <c r="AH9" s="76">
        <f t="shared" ref="AH9:AH72" si="45">(((F9+G9))*I9/1000)*8*$AH$7</f>
        <v>31.14</v>
      </c>
      <c r="AI9" s="76">
        <f t="shared" si="15"/>
        <v>103.80000000000001</v>
      </c>
      <c r="AJ9" s="76">
        <f>J9*Pricing!Q5</f>
        <v>1756.4156999999998</v>
      </c>
      <c r="AK9" s="76">
        <f>J9*Pricing!R5</f>
        <v>0</v>
      </c>
      <c r="AL9" s="76">
        <f t="shared" si="16"/>
        <v>3512.8313999999996</v>
      </c>
      <c r="AM9" s="77">
        <f t="shared" si="17"/>
        <v>0</v>
      </c>
      <c r="AN9" s="76">
        <f t="shared" si="18"/>
        <v>2810.2651199999996</v>
      </c>
      <c r="AO9" s="72">
        <f t="shared" si="19"/>
        <v>23447.834914133804</v>
      </c>
      <c r="AP9" s="74">
        <f t="shared" si="20"/>
        <v>29309.793642667253</v>
      </c>
      <c r="AQ9" s="74">
        <f t="shared" ref="AQ9:AQ14" si="46">(AO9+AP9)*$AQ$6</f>
        <v>0</v>
      </c>
      <c r="AR9" s="74">
        <f t="shared" si="22"/>
        <v>16165.965545212519</v>
      </c>
      <c r="AS9" s="72">
        <f t="shared" si="23"/>
        <v>65151.487776801056</v>
      </c>
      <c r="AT9" s="72">
        <f t="shared" si="24"/>
        <v>19963.68554521252</v>
      </c>
      <c r="AU9" s="78">
        <f t="shared" ref="AU9:AU14" si="47">AT9/10.764</f>
        <v>1854.671641138287</v>
      </c>
      <c r="AV9" s="79">
        <f t="shared" si="26"/>
        <v>3.3112582781456949E-2</v>
      </c>
      <c r="AW9" s="80">
        <f t="shared" si="27"/>
        <v>614.60835387666657</v>
      </c>
      <c r="AX9" s="81">
        <f t="shared" si="28"/>
        <v>1240.0632872616204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SIDE HUNG WINDOW</v>
      </c>
      <c r="D10" s="131" t="str">
        <f>Pricing!B6</f>
        <v>W3</v>
      </c>
      <c r="E10" s="132" t="str">
        <f>Pricing!N6</f>
        <v>8MM</v>
      </c>
      <c r="F10" s="68">
        <f>Pricing!G6</f>
        <v>690</v>
      </c>
      <c r="G10" s="68">
        <f>Pricing!H6</f>
        <v>1525</v>
      </c>
      <c r="H10" s="100">
        <f t="shared" si="0"/>
        <v>1.0522499999999999</v>
      </c>
      <c r="I10" s="70">
        <f>Pricing!I6</f>
        <v>2</v>
      </c>
      <c r="J10" s="69">
        <f t="shared" si="30"/>
        <v>2.1044999999999998</v>
      </c>
      <c r="K10" s="71">
        <f t="shared" si="31"/>
        <v>22.652837999999996</v>
      </c>
      <c r="L10" s="69"/>
      <c r="M10" s="72"/>
      <c r="N10" s="72"/>
      <c r="O10" s="72">
        <f t="shared" si="3"/>
        <v>0</v>
      </c>
      <c r="P10" s="73">
        <f>Pricing!M6</f>
        <v>21882.12</v>
      </c>
      <c r="Q10" s="74">
        <f t="shared" si="32"/>
        <v>2188.212</v>
      </c>
      <c r="R10" s="74">
        <f t="shared" si="33"/>
        <v>2647.7365199999999</v>
      </c>
      <c r="S10" s="74">
        <f t="shared" si="34"/>
        <v>133.59034259999999</v>
      </c>
      <c r="T10" s="74">
        <f t="shared" si="35"/>
        <v>268.51658862599999</v>
      </c>
      <c r="U10" s="72">
        <f t="shared" si="36"/>
        <v>27120.175451225998</v>
      </c>
      <c r="V10" s="74">
        <f t="shared" si="37"/>
        <v>406.80263176838997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2782.1489999999999</v>
      </c>
      <c r="AE10" s="76">
        <f t="shared" si="43"/>
        <v>726.22950819672133</v>
      </c>
      <c r="AF10" s="342">
        <f t="shared" si="44"/>
        <v>744.2399999999999</v>
      </c>
      <c r="AG10" s="343"/>
      <c r="AH10" s="76">
        <f t="shared" si="45"/>
        <v>26.58</v>
      </c>
      <c r="AI10" s="76">
        <f t="shared" si="15"/>
        <v>88.6</v>
      </c>
      <c r="AJ10" s="76">
        <f>J10*Pricing!Q6</f>
        <v>0</v>
      </c>
      <c r="AK10" s="76">
        <f>J10*Pricing!R6</f>
        <v>0</v>
      </c>
      <c r="AL10" s="76">
        <f t="shared" si="16"/>
        <v>2265.2837999999997</v>
      </c>
      <c r="AM10" s="77">
        <f t="shared" si="17"/>
        <v>0</v>
      </c>
      <c r="AN10" s="76">
        <f t="shared" si="18"/>
        <v>1812.2270399999995</v>
      </c>
      <c r="AO10" s="72">
        <f t="shared" si="19"/>
        <v>29112.627591191111</v>
      </c>
      <c r="AP10" s="74">
        <f t="shared" si="20"/>
        <v>36390.784488988887</v>
      </c>
      <c r="AQ10" s="74">
        <f t="shared" si="46"/>
        <v>0</v>
      </c>
      <c r="AR10" s="74">
        <f t="shared" si="22"/>
        <v>31125.403696925638</v>
      </c>
      <c r="AS10" s="72">
        <f t="shared" si="23"/>
        <v>72363.071920179995</v>
      </c>
      <c r="AT10" s="72">
        <f t="shared" si="24"/>
        <v>34384.923696925638</v>
      </c>
      <c r="AU10" s="78">
        <f t="shared" si="47"/>
        <v>3194.4373557158715</v>
      </c>
      <c r="AV10" s="79">
        <f t="shared" si="26"/>
        <v>2.1352973943182519E-2</v>
      </c>
      <c r="AW10" s="80">
        <f t="shared" si="27"/>
        <v>1215.1668626683506</v>
      </c>
      <c r="AX10" s="81">
        <f t="shared" si="28"/>
        <v>1979.2704930475209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W4</v>
      </c>
      <c r="E11" s="132" t="str">
        <f>Pricing!N7</f>
        <v>8MM</v>
      </c>
      <c r="F11" s="68">
        <f>Pricing!G7</f>
        <v>1830</v>
      </c>
      <c r="G11" s="68">
        <f>Pricing!H7</f>
        <v>1525</v>
      </c>
      <c r="H11" s="100">
        <f t="shared" si="0"/>
        <v>2.7907500000000001</v>
      </c>
      <c r="I11" s="70">
        <f>Pricing!I7</f>
        <v>2</v>
      </c>
      <c r="J11" s="69">
        <f t="shared" si="30"/>
        <v>5.5815000000000001</v>
      </c>
      <c r="K11" s="71">
        <f t="shared" si="31"/>
        <v>60.079265999999997</v>
      </c>
      <c r="L11" s="69"/>
      <c r="M11" s="72"/>
      <c r="N11" s="72"/>
      <c r="O11" s="72">
        <f t="shared" si="3"/>
        <v>0</v>
      </c>
      <c r="P11" s="73">
        <f>Pricing!M7</f>
        <v>19694.240000000002</v>
      </c>
      <c r="Q11" s="74">
        <f t="shared" si="32"/>
        <v>1969.4240000000002</v>
      </c>
      <c r="R11" s="74">
        <f t="shared" si="33"/>
        <v>2383.0030400000001</v>
      </c>
      <c r="S11" s="74">
        <f t="shared" si="34"/>
        <v>120.2333352</v>
      </c>
      <c r="T11" s="74">
        <f t="shared" si="35"/>
        <v>241.66900375199998</v>
      </c>
      <c r="U11" s="72">
        <f t="shared" si="36"/>
        <v>24408.569378951997</v>
      </c>
      <c r="V11" s="74">
        <f t="shared" si="37"/>
        <v>366.12854068427993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7378.7430000000004</v>
      </c>
      <c r="AE11" s="76">
        <f t="shared" si="43"/>
        <v>1100</v>
      </c>
      <c r="AF11" s="342">
        <f t="shared" si="44"/>
        <v>1127.28</v>
      </c>
      <c r="AG11" s="343"/>
      <c r="AH11" s="76">
        <f t="shared" si="45"/>
        <v>40.26</v>
      </c>
      <c r="AI11" s="76">
        <f t="shared" si="15"/>
        <v>134.19999999999999</v>
      </c>
      <c r="AJ11" s="76">
        <f>J11*Pricing!Q7</f>
        <v>3003.9632999999999</v>
      </c>
      <c r="AK11" s="76">
        <f>J11*Pricing!R7</f>
        <v>0</v>
      </c>
      <c r="AL11" s="76">
        <f t="shared" si="16"/>
        <v>6007.9265999999998</v>
      </c>
      <c r="AM11" s="77">
        <f t="shared" si="17"/>
        <v>0</v>
      </c>
      <c r="AN11" s="76">
        <f t="shared" si="18"/>
        <v>4806.3412799999996</v>
      </c>
      <c r="AO11" s="72">
        <f t="shared" si="19"/>
        <v>27176.437919636279</v>
      </c>
      <c r="AP11" s="74">
        <f t="shared" si="20"/>
        <v>33970.54739954535</v>
      </c>
      <c r="AQ11" s="74">
        <f t="shared" si="46"/>
        <v>0</v>
      </c>
      <c r="AR11" s="74">
        <f t="shared" si="22"/>
        <v>10955.29612455104</v>
      </c>
      <c r="AS11" s="72">
        <f t="shared" si="23"/>
        <v>82343.959499181627</v>
      </c>
      <c r="AT11" s="72">
        <f t="shared" si="24"/>
        <v>14753.016124551039</v>
      </c>
      <c r="AU11" s="78">
        <f t="shared" si="47"/>
        <v>1370.5886403336158</v>
      </c>
      <c r="AV11" s="79">
        <f t="shared" si="26"/>
        <v>5.6631800458005817E-2</v>
      </c>
      <c r="AW11" s="80">
        <f t="shared" si="27"/>
        <v>412.36685414292975</v>
      </c>
      <c r="AX11" s="81">
        <f t="shared" si="28"/>
        <v>958.22178619068609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W5</v>
      </c>
      <c r="E12" s="132" t="str">
        <f>Pricing!N8</f>
        <v>8MM</v>
      </c>
      <c r="F12" s="68">
        <f>Pricing!G8</f>
        <v>1220</v>
      </c>
      <c r="G12" s="68">
        <f>Pricing!H8</f>
        <v>1220</v>
      </c>
      <c r="H12" s="100">
        <f t="shared" si="0"/>
        <v>1.4883999999999999</v>
      </c>
      <c r="I12" s="70">
        <f>Pricing!I8</f>
        <v>4</v>
      </c>
      <c r="J12" s="69">
        <f t="shared" si="30"/>
        <v>5.9535999999999998</v>
      </c>
      <c r="K12" s="71">
        <f t="shared" si="31"/>
        <v>64.084550399999998</v>
      </c>
      <c r="L12" s="69"/>
      <c r="M12" s="72"/>
      <c r="N12" s="72"/>
      <c r="O12" s="72">
        <f t="shared" si="3"/>
        <v>0</v>
      </c>
      <c r="P12" s="73">
        <f>Pricing!M8</f>
        <v>31878.639999999999</v>
      </c>
      <c r="Q12" s="74">
        <f t="shared" si="32"/>
        <v>3187.864</v>
      </c>
      <c r="R12" s="74">
        <f t="shared" si="33"/>
        <v>3857.3154400000003</v>
      </c>
      <c r="S12" s="74">
        <f t="shared" si="34"/>
        <v>194.6190972</v>
      </c>
      <c r="T12" s="74">
        <f t="shared" si="35"/>
        <v>391.18438537199995</v>
      </c>
      <c r="U12" s="72">
        <f t="shared" si="36"/>
        <v>39509.622922571994</v>
      </c>
      <c r="V12" s="74">
        <f t="shared" si="37"/>
        <v>592.64434383857986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7870.6592000000001</v>
      </c>
      <c r="AE12" s="76">
        <f t="shared" si="43"/>
        <v>1600</v>
      </c>
      <c r="AF12" s="342">
        <f t="shared" si="44"/>
        <v>1639.68</v>
      </c>
      <c r="AG12" s="343"/>
      <c r="AH12" s="76">
        <f t="shared" si="45"/>
        <v>58.56</v>
      </c>
      <c r="AI12" s="76">
        <f t="shared" si="15"/>
        <v>195.2</v>
      </c>
      <c r="AJ12" s="76">
        <f>J12*Pricing!Q8</f>
        <v>3204.2275199999995</v>
      </c>
      <c r="AK12" s="76">
        <f>J12*Pricing!R8</f>
        <v>0</v>
      </c>
      <c r="AL12" s="76">
        <f t="shared" si="16"/>
        <v>6408.4550399999989</v>
      </c>
      <c r="AM12" s="77">
        <f t="shared" si="17"/>
        <v>0</v>
      </c>
      <c r="AN12" s="76">
        <f t="shared" si="18"/>
        <v>5126.7640319999991</v>
      </c>
      <c r="AO12" s="72">
        <f t="shared" si="19"/>
        <v>43595.707266410573</v>
      </c>
      <c r="AP12" s="74">
        <f t="shared" si="20"/>
        <v>54494.634083013218</v>
      </c>
      <c r="AQ12" s="74">
        <f t="shared" si="46"/>
        <v>0</v>
      </c>
      <c r="AR12" s="74">
        <f t="shared" si="22"/>
        <v>16475.803102227863</v>
      </c>
      <c r="AS12" s="72">
        <f t="shared" si="23"/>
        <v>120700.44714142379</v>
      </c>
      <c r="AT12" s="72">
        <f t="shared" si="24"/>
        <v>20273.52310222786</v>
      </c>
      <c r="AU12" s="78">
        <f t="shared" si="47"/>
        <v>1883.45625252953</v>
      </c>
      <c r="AV12" s="79">
        <f t="shared" si="26"/>
        <v>6.0407253821872869E-2</v>
      </c>
      <c r="AW12" s="80">
        <f t="shared" si="27"/>
        <v>625.77121967934693</v>
      </c>
      <c r="AX12" s="81">
        <f t="shared" si="28"/>
        <v>1257.6850328501832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WINDOW</v>
      </c>
      <c r="D13" s="131" t="str">
        <f>Pricing!B9</f>
        <v>W6</v>
      </c>
      <c r="E13" s="132" t="str">
        <f>Pricing!N9</f>
        <v>8MM</v>
      </c>
      <c r="F13" s="68">
        <f>Pricing!G9</f>
        <v>610</v>
      </c>
      <c r="G13" s="68">
        <f>Pricing!H9</f>
        <v>915</v>
      </c>
      <c r="H13" s="100">
        <f t="shared" si="0"/>
        <v>0.55815000000000003</v>
      </c>
      <c r="I13" s="70">
        <f>Pricing!I9</f>
        <v>18</v>
      </c>
      <c r="J13" s="69">
        <f t="shared" si="30"/>
        <v>10.046700000000001</v>
      </c>
      <c r="K13" s="71">
        <f t="shared" si="31"/>
        <v>108.14267880000001</v>
      </c>
      <c r="L13" s="69"/>
      <c r="M13" s="72"/>
      <c r="N13" s="72"/>
      <c r="O13" s="72">
        <f t="shared" si="3"/>
        <v>0</v>
      </c>
      <c r="P13" s="73">
        <f>Pricing!M9</f>
        <v>156586.13999999998</v>
      </c>
      <c r="Q13" s="74">
        <f t="shared" si="32"/>
        <v>15658.614</v>
      </c>
      <c r="R13" s="74">
        <f t="shared" si="33"/>
        <v>18946.92294</v>
      </c>
      <c r="S13" s="74">
        <f t="shared" si="34"/>
        <v>955.9583846999999</v>
      </c>
      <c r="T13" s="74">
        <f t="shared" si="35"/>
        <v>1921.4763532469999</v>
      </c>
      <c r="U13" s="72">
        <f t="shared" si="36"/>
        <v>194069.11167794699</v>
      </c>
      <c r="V13" s="74">
        <f t="shared" si="37"/>
        <v>2911.0366751692045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13281.737400000002</v>
      </c>
      <c r="AE13" s="76">
        <f t="shared" si="43"/>
        <v>4500</v>
      </c>
      <c r="AF13" s="342">
        <f t="shared" si="44"/>
        <v>4611.5999999999995</v>
      </c>
      <c r="AG13" s="343"/>
      <c r="AH13" s="76">
        <f t="shared" si="45"/>
        <v>164.7</v>
      </c>
      <c r="AI13" s="76">
        <f t="shared" si="15"/>
        <v>549</v>
      </c>
      <c r="AJ13" s="76">
        <f>J13*Pricing!Q9</f>
        <v>0</v>
      </c>
      <c r="AK13" s="76">
        <f>J13*Pricing!R9</f>
        <v>0</v>
      </c>
      <c r="AL13" s="76">
        <f t="shared" si="16"/>
        <v>10814.267879999999</v>
      </c>
      <c r="AM13" s="77">
        <f t="shared" si="17"/>
        <v>0</v>
      </c>
      <c r="AN13" s="76">
        <f t="shared" si="18"/>
        <v>8651.4143039999999</v>
      </c>
      <c r="AO13" s="72">
        <f t="shared" si="19"/>
        <v>206805.44835311617</v>
      </c>
      <c r="AP13" s="74">
        <f t="shared" si="20"/>
        <v>258506.81044139521</v>
      </c>
      <c r="AQ13" s="74">
        <f t="shared" si="46"/>
        <v>0</v>
      </c>
      <c r="AR13" s="74">
        <f t="shared" si="22"/>
        <v>46314.935132382903</v>
      </c>
      <c r="AS13" s="72">
        <f t="shared" si="23"/>
        <v>498059.67837851134</v>
      </c>
      <c r="AT13" s="72">
        <f t="shared" si="24"/>
        <v>49574.4551323829</v>
      </c>
      <c r="AU13" s="78">
        <f t="shared" si="47"/>
        <v>4605.5792579322651</v>
      </c>
      <c r="AV13" s="79">
        <f t="shared" si="26"/>
        <v>0.10193724082441048</v>
      </c>
      <c r="AW13" s="80">
        <f t="shared" si="27"/>
        <v>1821.4839001483672</v>
      </c>
      <c r="AX13" s="81">
        <f t="shared" si="28"/>
        <v>2784.0953577838982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WINDOW</v>
      </c>
      <c r="D14" s="131" t="str">
        <f>Pricing!B10</f>
        <v>W7</v>
      </c>
      <c r="E14" s="132" t="str">
        <f>Pricing!N10</f>
        <v>8MM</v>
      </c>
      <c r="F14" s="68">
        <f>Pricing!G10</f>
        <v>610</v>
      </c>
      <c r="G14" s="68">
        <f>Pricing!H10</f>
        <v>610</v>
      </c>
      <c r="H14" s="100">
        <f t="shared" si="0"/>
        <v>0.37209999999999999</v>
      </c>
      <c r="I14" s="70">
        <f>Pricing!I10</f>
        <v>3</v>
      </c>
      <c r="J14" s="69">
        <f t="shared" si="30"/>
        <v>1.1162999999999998</v>
      </c>
      <c r="K14" s="71">
        <f t="shared" si="31"/>
        <v>12.015853199999997</v>
      </c>
      <c r="L14" s="69"/>
      <c r="M14" s="72"/>
      <c r="N14" s="72"/>
      <c r="O14" s="72">
        <f t="shared" si="3"/>
        <v>0</v>
      </c>
      <c r="P14" s="73">
        <f>Pricing!M10</f>
        <v>23789.46</v>
      </c>
      <c r="Q14" s="74">
        <f t="shared" si="32"/>
        <v>2378.9459999999999</v>
      </c>
      <c r="R14" s="74">
        <f t="shared" si="33"/>
        <v>2878.52466</v>
      </c>
      <c r="S14" s="74">
        <f t="shared" si="34"/>
        <v>145.23465329999999</v>
      </c>
      <c r="T14" s="74">
        <f t="shared" si="35"/>
        <v>291.92165313300001</v>
      </c>
      <c r="U14" s="72">
        <f t="shared" si="36"/>
        <v>29484.086966432998</v>
      </c>
      <c r="V14" s="74">
        <f t="shared" si="37"/>
        <v>442.26130449649497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1475.7485999999999</v>
      </c>
      <c r="AE14" s="76">
        <f t="shared" si="43"/>
        <v>600</v>
      </c>
      <c r="AF14" s="342">
        <f t="shared" si="44"/>
        <v>614.88</v>
      </c>
      <c r="AG14" s="343"/>
      <c r="AH14" s="76">
        <f t="shared" si="45"/>
        <v>21.96</v>
      </c>
      <c r="AI14" s="76">
        <f t="shared" si="15"/>
        <v>73.2</v>
      </c>
      <c r="AJ14" s="76">
        <f>J14*Pricing!Q10</f>
        <v>0</v>
      </c>
      <c r="AK14" s="76">
        <f>J14*Pricing!R10</f>
        <v>0</v>
      </c>
      <c r="AL14" s="76">
        <f t="shared" si="16"/>
        <v>1201.5853199999997</v>
      </c>
      <c r="AM14" s="77">
        <f t="shared" si="17"/>
        <v>0</v>
      </c>
      <c r="AN14" s="76">
        <f t="shared" si="18"/>
        <v>961.26825599999972</v>
      </c>
      <c r="AO14" s="72">
        <f t="shared" si="19"/>
        <v>31236.388270929496</v>
      </c>
      <c r="AP14" s="74">
        <f t="shared" si="20"/>
        <v>39045.485338661871</v>
      </c>
      <c r="AQ14" s="74">
        <f t="shared" si="46"/>
        <v>0</v>
      </c>
      <c r="AR14" s="74">
        <f t="shared" si="22"/>
        <v>62959.664614880741</v>
      </c>
      <c r="AS14" s="72">
        <f t="shared" si="23"/>
        <v>73920.475785591363</v>
      </c>
      <c r="AT14" s="72">
        <f t="shared" si="24"/>
        <v>66219.184614880738</v>
      </c>
      <c r="AU14" s="78">
        <f t="shared" si="47"/>
        <v>6151.9123573839415</v>
      </c>
      <c r="AV14" s="79">
        <f t="shared" si="26"/>
        <v>1.1326360091601161E-2</v>
      </c>
      <c r="AW14" s="80">
        <f t="shared" si="27"/>
        <v>2490.5720611607921</v>
      </c>
      <c r="AX14" s="81">
        <f t="shared" si="28"/>
        <v>3661.3402962231498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</v>
      </c>
      <c r="D15" s="131" t="str">
        <f>Pricing!B11</f>
        <v>W8</v>
      </c>
      <c r="E15" s="132" t="str">
        <f>Pricing!N11</f>
        <v>8MM</v>
      </c>
      <c r="F15" s="68">
        <f>Pricing!G11</f>
        <v>915</v>
      </c>
      <c r="G15" s="68">
        <f>Pricing!H11</f>
        <v>460</v>
      </c>
      <c r="H15" s="100">
        <f t="shared" si="0"/>
        <v>0.4209</v>
      </c>
      <c r="I15" s="70">
        <f>Pricing!I11</f>
        <v>3</v>
      </c>
      <c r="J15" s="69">
        <f t="shared" si="30"/>
        <v>1.2626999999999999</v>
      </c>
      <c r="K15" s="71">
        <f t="shared" si="31"/>
        <v>13.591702799999998</v>
      </c>
      <c r="L15" s="69"/>
      <c r="M15" s="72"/>
      <c r="N15" s="72"/>
      <c r="O15" s="72">
        <f t="shared" si="3"/>
        <v>0</v>
      </c>
      <c r="P15" s="73">
        <f>Pricing!M11</f>
        <v>6703.0800000000008</v>
      </c>
      <c r="Q15" s="74">
        <f t="shared" si="4"/>
        <v>670.30800000000011</v>
      </c>
      <c r="R15" s="74">
        <f t="shared" si="5"/>
        <v>811.0726800000001</v>
      </c>
      <c r="S15" s="74">
        <f t="shared" si="6"/>
        <v>40.922303400000004</v>
      </c>
      <c r="T15" s="74">
        <f t="shared" si="7"/>
        <v>82.253829834000015</v>
      </c>
      <c r="U15" s="72">
        <f t="shared" si="8"/>
        <v>8307.6368132340012</v>
      </c>
      <c r="V15" s="74">
        <f t="shared" si="9"/>
        <v>124.61455219851001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1669.2893999999999</v>
      </c>
      <c r="AE15" s="76">
        <f t="shared" si="43"/>
        <v>676.22950819672133</v>
      </c>
      <c r="AF15" s="342">
        <f t="shared" si="44"/>
        <v>693</v>
      </c>
      <c r="AG15" s="343"/>
      <c r="AH15" s="76">
        <f t="shared" si="45"/>
        <v>24.75</v>
      </c>
      <c r="AI15" s="76">
        <f t="shared" ref="AI15:AI20" si="49">(((F15+G15)*2*I15)/1000)*2*$AI$7</f>
        <v>82.5</v>
      </c>
      <c r="AJ15" s="76">
        <f>J15*Pricing!Q11</f>
        <v>0</v>
      </c>
      <c r="AK15" s="76">
        <f>J15*Pricing!R11</f>
        <v>0</v>
      </c>
      <c r="AL15" s="76">
        <f t="shared" si="16"/>
        <v>1359.1702799999998</v>
      </c>
      <c r="AM15" s="77">
        <f t="shared" si="17"/>
        <v>0</v>
      </c>
      <c r="AN15" s="76">
        <f t="shared" si="18"/>
        <v>1087.3362239999999</v>
      </c>
      <c r="AO15" s="72">
        <f t="shared" si="19"/>
        <v>9908.7308736292343</v>
      </c>
      <c r="AP15" s="74">
        <f t="shared" si="20"/>
        <v>12385.913592036542</v>
      </c>
      <c r="AQ15" s="74">
        <f t="shared" si="21"/>
        <v>0</v>
      </c>
      <c r="AR15" s="74">
        <f t="shared" si="22"/>
        <v>17656.32728729372</v>
      </c>
      <c r="AS15" s="72">
        <f t="shared" si="23"/>
        <v>26410.440369665776</v>
      </c>
      <c r="AT15" s="72">
        <f t="shared" si="24"/>
        <v>20915.847287293716</v>
      </c>
      <c r="AU15" s="78">
        <f t="shared" si="25"/>
        <v>1943.1296253524449</v>
      </c>
      <c r="AV15" s="79">
        <f t="shared" si="26"/>
        <v>1.2811784365909512E-2</v>
      </c>
      <c r="AW15" s="80">
        <f t="shared" si="27"/>
        <v>620.39697965088772</v>
      </c>
      <c r="AX15" s="81">
        <f t="shared" si="28"/>
        <v>1322.7326457015574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WINDOW</v>
      </c>
      <c r="D16" s="131" t="str">
        <f>Pricing!B12</f>
        <v>W9</v>
      </c>
      <c r="E16" s="132" t="str">
        <f>Pricing!N12</f>
        <v>8MM</v>
      </c>
      <c r="F16" s="68">
        <f>Pricing!G12</f>
        <v>1220</v>
      </c>
      <c r="G16" s="68">
        <f>Pricing!H12</f>
        <v>1525</v>
      </c>
      <c r="H16" s="100">
        <f t="shared" si="0"/>
        <v>1.8605</v>
      </c>
      <c r="I16" s="70">
        <f>Pricing!I12</f>
        <v>3</v>
      </c>
      <c r="J16" s="69">
        <f t="shared" si="30"/>
        <v>5.5815000000000001</v>
      </c>
      <c r="K16" s="71">
        <f t="shared" si="31"/>
        <v>60.079265999999997</v>
      </c>
      <c r="L16" s="69"/>
      <c r="M16" s="72"/>
      <c r="N16" s="72"/>
      <c r="O16" s="72">
        <f t="shared" si="3"/>
        <v>0</v>
      </c>
      <c r="P16" s="73">
        <f>Pricing!M12</f>
        <v>26493.600000000002</v>
      </c>
      <c r="Q16" s="74">
        <f t="shared" si="4"/>
        <v>2649.3600000000006</v>
      </c>
      <c r="R16" s="74">
        <f t="shared" si="5"/>
        <v>3205.7256000000002</v>
      </c>
      <c r="S16" s="74">
        <f t="shared" si="6"/>
        <v>161.74342800000002</v>
      </c>
      <c r="T16" s="74">
        <f t="shared" si="7"/>
        <v>325.10429028000004</v>
      </c>
      <c r="U16" s="72">
        <f t="shared" si="8"/>
        <v>32835.53331828001</v>
      </c>
      <c r="V16" s="74">
        <f t="shared" si="9"/>
        <v>492.53299977420011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7378.7430000000004</v>
      </c>
      <c r="AE16" s="76">
        <f t="shared" si="43"/>
        <v>1350</v>
      </c>
      <c r="AF16" s="342">
        <f t="shared" si="44"/>
        <v>1383.48</v>
      </c>
      <c r="AG16" s="343"/>
      <c r="AH16" s="76">
        <f t="shared" si="45"/>
        <v>49.41</v>
      </c>
      <c r="AI16" s="76">
        <f t="shared" si="49"/>
        <v>164.7</v>
      </c>
      <c r="AJ16" s="76">
        <f>J16*Pricing!Q12</f>
        <v>3003.9632999999999</v>
      </c>
      <c r="AK16" s="76">
        <f>J16*Pricing!R12</f>
        <v>0</v>
      </c>
      <c r="AL16" s="76">
        <f t="shared" si="16"/>
        <v>6007.9265999999998</v>
      </c>
      <c r="AM16" s="77">
        <f t="shared" si="17"/>
        <v>0</v>
      </c>
      <c r="AN16" s="76">
        <f t="shared" si="18"/>
        <v>4806.3412799999996</v>
      </c>
      <c r="AO16" s="72">
        <f t="shared" si="19"/>
        <v>36275.656318054207</v>
      </c>
      <c r="AP16" s="74">
        <f t="shared" si="20"/>
        <v>45344.570397567761</v>
      </c>
      <c r="AQ16" s="74">
        <f t="shared" si="21"/>
        <v>0</v>
      </c>
      <c r="AR16" s="74">
        <f t="shared" si="22"/>
        <v>14623.349765407502</v>
      </c>
      <c r="AS16" s="72">
        <f t="shared" si="23"/>
        <v>102817.20089562197</v>
      </c>
      <c r="AT16" s="72">
        <f t="shared" si="24"/>
        <v>18421.069765407501</v>
      </c>
      <c r="AU16" s="78">
        <f t="shared" si="25"/>
        <v>1711.3591383693331</v>
      </c>
      <c r="AV16" s="79">
        <f t="shared" si="26"/>
        <v>5.6631800458005817E-2</v>
      </c>
      <c r="AW16" s="80">
        <f t="shared" si="27"/>
        <v>554.73491167575537</v>
      </c>
      <c r="AX16" s="81">
        <f t="shared" si="28"/>
        <v>1156.6242266935778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DOOR</v>
      </c>
      <c r="D17" s="131" t="str">
        <f>Pricing!B13</f>
        <v>W10</v>
      </c>
      <c r="E17" s="132" t="str">
        <f>Pricing!N13</f>
        <v>8MM</v>
      </c>
      <c r="F17" s="68">
        <f>Pricing!G13</f>
        <v>2440</v>
      </c>
      <c r="G17" s="68">
        <f>Pricing!H13</f>
        <v>2290</v>
      </c>
      <c r="H17" s="100">
        <f t="shared" si="0"/>
        <v>5.5876000000000001</v>
      </c>
      <c r="I17" s="70">
        <f>Pricing!I13</f>
        <v>3</v>
      </c>
      <c r="J17" s="69">
        <f t="shared" si="30"/>
        <v>16.762799999999999</v>
      </c>
      <c r="K17" s="71">
        <f t="shared" si="31"/>
        <v>180.43477919999998</v>
      </c>
      <c r="L17" s="69"/>
      <c r="M17" s="72"/>
      <c r="N17" s="72"/>
      <c r="O17" s="72">
        <f t="shared" si="3"/>
        <v>0</v>
      </c>
      <c r="P17" s="73">
        <f>Pricing!M13</f>
        <v>115555.92</v>
      </c>
      <c r="Q17" s="74">
        <f t="shared" si="4"/>
        <v>11555.592000000001</v>
      </c>
      <c r="R17" s="74">
        <f t="shared" si="5"/>
        <v>13982.266320000001</v>
      </c>
      <c r="S17" s="74">
        <f t="shared" si="6"/>
        <v>705.46889160000012</v>
      </c>
      <c r="T17" s="74">
        <f t="shared" si="7"/>
        <v>1417.9924721160003</v>
      </c>
      <c r="U17" s="72">
        <f t="shared" si="8"/>
        <v>143217.239683716</v>
      </c>
      <c r="V17" s="74">
        <f t="shared" si="9"/>
        <v>2148.2585952557401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22160.421599999998</v>
      </c>
      <c r="AE17" s="76">
        <f t="shared" si="43"/>
        <v>2326.2295081967213</v>
      </c>
      <c r="AF17" s="342">
        <f t="shared" si="44"/>
        <v>2383.9200000000005</v>
      </c>
      <c r="AG17" s="343"/>
      <c r="AH17" s="76">
        <f t="shared" si="45"/>
        <v>85.14</v>
      </c>
      <c r="AI17" s="76">
        <f t="shared" si="49"/>
        <v>283.8</v>
      </c>
      <c r="AJ17" s="76">
        <f>J17*Pricing!Q13</f>
        <v>9021.7389599999988</v>
      </c>
      <c r="AK17" s="76">
        <f>J17*Pricing!R13</f>
        <v>0</v>
      </c>
      <c r="AL17" s="76">
        <f t="shared" si="16"/>
        <v>18043.477919999998</v>
      </c>
      <c r="AM17" s="77">
        <f t="shared" si="17"/>
        <v>0</v>
      </c>
      <c r="AN17" s="76">
        <f t="shared" si="18"/>
        <v>14434.782335999997</v>
      </c>
      <c r="AO17" s="72">
        <f t="shared" si="19"/>
        <v>150444.58778716845</v>
      </c>
      <c r="AP17" s="74">
        <f t="shared" si="20"/>
        <v>188055.73473396056</v>
      </c>
      <c r="AQ17" s="74">
        <f t="shared" si="21"/>
        <v>0</v>
      </c>
      <c r="AR17" s="74">
        <f t="shared" si="22"/>
        <v>20193.542995271022</v>
      </c>
      <c r="AS17" s="72">
        <f t="shared" si="23"/>
        <v>402160.74333712901</v>
      </c>
      <c r="AT17" s="72">
        <f t="shared" si="24"/>
        <v>23991.262995271019</v>
      </c>
      <c r="AU17" s="78">
        <f t="shared" si="25"/>
        <v>2228.8427160229489</v>
      </c>
      <c r="AV17" s="79">
        <f t="shared" si="26"/>
        <v>0.170081079408306</v>
      </c>
      <c r="AW17" s="80">
        <f t="shared" si="27"/>
        <v>805.64012616350271</v>
      </c>
      <c r="AX17" s="81">
        <f t="shared" si="28"/>
        <v>1423.2025898594461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WINDOW</v>
      </c>
      <c r="D18" s="131" t="str">
        <f>Pricing!B14</f>
        <v>W11</v>
      </c>
      <c r="E18" s="132" t="str">
        <f>Pricing!N14</f>
        <v>8MM</v>
      </c>
      <c r="F18" s="68">
        <f>Pricing!G14</f>
        <v>1830</v>
      </c>
      <c r="G18" s="68">
        <f>Pricing!H14</f>
        <v>1220</v>
      </c>
      <c r="H18" s="100">
        <f t="shared" si="0"/>
        <v>2.2326000000000001</v>
      </c>
      <c r="I18" s="70">
        <f>Pricing!I14</f>
        <v>2</v>
      </c>
      <c r="J18" s="69">
        <f t="shared" si="30"/>
        <v>4.4652000000000003</v>
      </c>
      <c r="K18" s="71">
        <f t="shared" si="31"/>
        <v>48.063412800000002</v>
      </c>
      <c r="L18" s="69"/>
      <c r="M18" s="72"/>
      <c r="N18" s="72"/>
      <c r="O18" s="72">
        <f t="shared" si="3"/>
        <v>0</v>
      </c>
      <c r="P18" s="73">
        <f>Pricing!M14</f>
        <v>17971.16</v>
      </c>
      <c r="Q18" s="74">
        <f t="shared" si="4"/>
        <v>1797.116</v>
      </c>
      <c r="R18" s="74">
        <f t="shared" si="5"/>
        <v>2174.5103599999998</v>
      </c>
      <c r="S18" s="74">
        <f t="shared" si="6"/>
        <v>109.7139318</v>
      </c>
      <c r="T18" s="74">
        <f t="shared" si="7"/>
        <v>220.52500291799998</v>
      </c>
      <c r="U18" s="72">
        <f t="shared" si="8"/>
        <v>22273.025294717998</v>
      </c>
      <c r="V18" s="74">
        <f t="shared" si="9"/>
        <v>334.09537942076997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5902.9944000000005</v>
      </c>
      <c r="AE18" s="76">
        <f t="shared" si="43"/>
        <v>1000</v>
      </c>
      <c r="AF18" s="342">
        <f t="shared" si="44"/>
        <v>1024.7999999999997</v>
      </c>
      <c r="AG18" s="343"/>
      <c r="AH18" s="76">
        <f t="shared" si="45"/>
        <v>36.599999999999994</v>
      </c>
      <c r="AI18" s="76">
        <f t="shared" si="49"/>
        <v>122</v>
      </c>
      <c r="AJ18" s="76">
        <f>J18*Pricing!Q14</f>
        <v>2403.1706399999998</v>
      </c>
      <c r="AK18" s="76">
        <f>J18*Pricing!R14</f>
        <v>0</v>
      </c>
      <c r="AL18" s="76">
        <f t="shared" si="16"/>
        <v>4806.3412799999996</v>
      </c>
      <c r="AM18" s="77">
        <f t="shared" si="17"/>
        <v>0</v>
      </c>
      <c r="AN18" s="76">
        <f t="shared" si="18"/>
        <v>3845.0730239999998</v>
      </c>
      <c r="AO18" s="72">
        <f t="shared" si="19"/>
        <v>24790.52067413877</v>
      </c>
      <c r="AP18" s="74">
        <f t="shared" si="20"/>
        <v>30988.150842673462</v>
      </c>
      <c r="AQ18" s="74">
        <f t="shared" si="21"/>
        <v>0</v>
      </c>
      <c r="AR18" s="74">
        <f t="shared" si="22"/>
        <v>12491.864086001126</v>
      </c>
      <c r="AS18" s="72">
        <f t="shared" si="23"/>
        <v>72736.25086081223</v>
      </c>
      <c r="AT18" s="72">
        <f t="shared" si="24"/>
        <v>16289.584086001125</v>
      </c>
      <c r="AU18" s="78">
        <f t="shared" si="25"/>
        <v>1513.3392870681091</v>
      </c>
      <c r="AV18" s="79">
        <f t="shared" si="26"/>
        <v>4.5305440366404659E-2</v>
      </c>
      <c r="AW18" s="80">
        <f t="shared" si="27"/>
        <v>470.36028773509747</v>
      </c>
      <c r="AX18" s="81">
        <f t="shared" si="28"/>
        <v>1042.9789993330116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DOOR</v>
      </c>
      <c r="D19" s="131" t="str">
        <f>Pricing!B15</f>
        <v>W12</v>
      </c>
      <c r="E19" s="132" t="str">
        <f>Pricing!N15</f>
        <v>8MM</v>
      </c>
      <c r="F19" s="68">
        <f>Pricing!G15</f>
        <v>1220</v>
      </c>
      <c r="G19" s="68">
        <f>Pricing!H15</f>
        <v>2135</v>
      </c>
      <c r="H19" s="100">
        <f t="shared" si="0"/>
        <v>2.6046999999999998</v>
      </c>
      <c r="I19" s="70">
        <f>Pricing!I15</f>
        <v>1</v>
      </c>
      <c r="J19" s="69">
        <f t="shared" si="30"/>
        <v>2.6046999999999998</v>
      </c>
      <c r="K19" s="71">
        <f t="shared" si="31"/>
        <v>28.036990799999995</v>
      </c>
      <c r="L19" s="69"/>
      <c r="M19" s="72"/>
      <c r="N19" s="72"/>
      <c r="O19" s="72">
        <f t="shared" si="3"/>
        <v>0</v>
      </c>
      <c r="P19" s="73">
        <f>Pricing!M15</f>
        <v>30879.320000000003</v>
      </c>
      <c r="Q19" s="74">
        <f t="shared" si="4"/>
        <v>3087.9320000000007</v>
      </c>
      <c r="R19" s="74">
        <f t="shared" si="5"/>
        <v>3736.3977200000008</v>
      </c>
      <c r="S19" s="74">
        <f t="shared" si="6"/>
        <v>188.51824860000005</v>
      </c>
      <c r="T19" s="74">
        <f t="shared" si="7"/>
        <v>378.92167968600006</v>
      </c>
      <c r="U19" s="72">
        <f t="shared" si="8"/>
        <v>38271.089648286004</v>
      </c>
      <c r="V19" s="74">
        <f t="shared" si="9"/>
        <v>574.06634472429005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3443.4133999999999</v>
      </c>
      <c r="AE19" s="76">
        <f t="shared" si="43"/>
        <v>550</v>
      </c>
      <c r="AF19" s="342">
        <f t="shared" si="44"/>
        <v>563.64</v>
      </c>
      <c r="AG19" s="343"/>
      <c r="AH19" s="76">
        <f t="shared" si="45"/>
        <v>20.13</v>
      </c>
      <c r="AI19" s="76">
        <f t="shared" si="49"/>
        <v>67.099999999999994</v>
      </c>
      <c r="AJ19" s="76">
        <f>J19*Pricing!Q15</f>
        <v>1401.8495399999997</v>
      </c>
      <c r="AK19" s="76">
        <f>J19*Pricing!R15</f>
        <v>0</v>
      </c>
      <c r="AL19" s="76">
        <f t="shared" si="16"/>
        <v>2803.6990799999994</v>
      </c>
      <c r="AM19" s="77">
        <f t="shared" si="17"/>
        <v>0</v>
      </c>
      <c r="AN19" s="76">
        <f t="shared" si="18"/>
        <v>2242.9592639999996</v>
      </c>
      <c r="AO19" s="72">
        <f t="shared" si="19"/>
        <v>40046.025993010298</v>
      </c>
      <c r="AP19" s="74">
        <f t="shared" si="20"/>
        <v>50057.532491262871</v>
      </c>
      <c r="AQ19" s="74">
        <f t="shared" si="21"/>
        <v>0</v>
      </c>
      <c r="AR19" s="74">
        <f t="shared" si="22"/>
        <v>34592.681876712551</v>
      </c>
      <c r="AS19" s="72">
        <f t="shared" si="23"/>
        <v>99995.479768273173</v>
      </c>
      <c r="AT19" s="72">
        <f t="shared" si="24"/>
        <v>38390.401876712553</v>
      </c>
      <c r="AU19" s="78">
        <f t="shared" si="25"/>
        <v>3566.5553582973389</v>
      </c>
      <c r="AV19" s="79">
        <f t="shared" si="26"/>
        <v>2.6428173547069379E-2</v>
      </c>
      <c r="AW19" s="80">
        <f t="shared" si="27"/>
        <v>1385.4966201654674</v>
      </c>
      <c r="AX19" s="81">
        <f t="shared" si="28"/>
        <v>2181.058738131871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W13</v>
      </c>
      <c r="E20" s="132" t="str">
        <f>Pricing!N16</f>
        <v>8MM</v>
      </c>
      <c r="F20" s="68">
        <f>Pricing!G16</f>
        <v>1220</v>
      </c>
      <c r="G20" s="68">
        <f>Pricing!H16</f>
        <v>1220</v>
      </c>
      <c r="H20" s="100">
        <f t="shared" si="0"/>
        <v>1.4883999999999999</v>
      </c>
      <c r="I20" s="70">
        <f>Pricing!I16</f>
        <v>1</v>
      </c>
      <c r="J20" s="69">
        <f t="shared" si="30"/>
        <v>1.4883999999999999</v>
      </c>
      <c r="K20" s="71">
        <f t="shared" si="31"/>
        <v>16.021137599999999</v>
      </c>
      <c r="L20" s="69"/>
      <c r="M20" s="72"/>
      <c r="N20" s="72"/>
      <c r="O20" s="72">
        <f t="shared" si="3"/>
        <v>0</v>
      </c>
      <c r="P20" s="73">
        <f>Pricing!M16</f>
        <v>7969.66</v>
      </c>
      <c r="Q20" s="74">
        <f t="shared" si="4"/>
        <v>796.96600000000001</v>
      </c>
      <c r="R20" s="74">
        <f t="shared" si="5"/>
        <v>964.32886000000008</v>
      </c>
      <c r="S20" s="74">
        <f t="shared" si="6"/>
        <v>48.6547743</v>
      </c>
      <c r="T20" s="74">
        <f t="shared" si="7"/>
        <v>97.796096342999988</v>
      </c>
      <c r="U20" s="72">
        <f t="shared" si="8"/>
        <v>9877.4057306429986</v>
      </c>
      <c r="V20" s="74">
        <f t="shared" si="9"/>
        <v>148.16108595964496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1967.6648</v>
      </c>
      <c r="AE20" s="76">
        <f t="shared" si="43"/>
        <v>400</v>
      </c>
      <c r="AF20" s="342">
        <f t="shared" si="44"/>
        <v>409.92</v>
      </c>
      <c r="AG20" s="343"/>
      <c r="AH20" s="76">
        <f t="shared" si="45"/>
        <v>14.64</v>
      </c>
      <c r="AI20" s="76">
        <f t="shared" si="49"/>
        <v>48.8</v>
      </c>
      <c r="AJ20" s="76">
        <f>J20*Pricing!Q16</f>
        <v>801.05687999999986</v>
      </c>
      <c r="AK20" s="76">
        <f>J20*Pricing!R16</f>
        <v>0</v>
      </c>
      <c r="AL20" s="76">
        <f t="shared" si="16"/>
        <v>1602.1137599999997</v>
      </c>
      <c r="AM20" s="77">
        <f t="shared" si="17"/>
        <v>0</v>
      </c>
      <c r="AN20" s="76">
        <f t="shared" si="18"/>
        <v>1281.6910079999998</v>
      </c>
      <c r="AO20" s="72">
        <f t="shared" si="19"/>
        <v>10898.926816602643</v>
      </c>
      <c r="AP20" s="74">
        <f t="shared" si="20"/>
        <v>13623.658520753304</v>
      </c>
      <c r="AQ20" s="74">
        <f t="shared" si="21"/>
        <v>0</v>
      </c>
      <c r="AR20" s="74">
        <f t="shared" si="22"/>
        <v>16475.803102227863</v>
      </c>
      <c r="AS20" s="72">
        <f t="shared" si="23"/>
        <v>30175.111785355948</v>
      </c>
      <c r="AT20" s="72">
        <f t="shared" si="24"/>
        <v>20273.52310222786</v>
      </c>
      <c r="AU20" s="78">
        <f t="shared" si="25"/>
        <v>1883.45625252953</v>
      </c>
      <c r="AV20" s="79">
        <f t="shared" si="26"/>
        <v>1.5101813455468217E-2</v>
      </c>
      <c r="AW20" s="80">
        <f t="shared" si="27"/>
        <v>625.77121967934693</v>
      </c>
      <c r="AX20" s="81">
        <f t="shared" si="28"/>
        <v>1257.6850328501832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SIDE HUNG WINDOW</v>
      </c>
      <c r="D21" s="131" t="str">
        <f>Pricing!B17</f>
        <v>W14</v>
      </c>
      <c r="E21" s="132" t="str">
        <f>Pricing!N17</f>
        <v>8MM</v>
      </c>
      <c r="F21" s="68">
        <f>Pricing!G17</f>
        <v>915</v>
      </c>
      <c r="G21" s="68">
        <f>Pricing!H17</f>
        <v>1220</v>
      </c>
      <c r="H21" s="100">
        <f t="shared" si="0"/>
        <v>1.1163000000000001</v>
      </c>
      <c r="I21" s="70">
        <f>Pricing!I17</f>
        <v>1</v>
      </c>
      <c r="J21" s="69">
        <f t="shared" si="30"/>
        <v>1.1163000000000001</v>
      </c>
      <c r="K21" s="71">
        <f t="shared" si="31"/>
        <v>12.0158532</v>
      </c>
      <c r="L21" s="69"/>
      <c r="M21" s="72"/>
      <c r="N21" s="72"/>
      <c r="O21" s="72">
        <f t="shared" si="3"/>
        <v>0</v>
      </c>
      <c r="P21" s="73">
        <f>Pricing!M17</f>
        <v>10345.120000000001</v>
      </c>
      <c r="Q21" s="74">
        <f t="shared" ref="Q21:Q26" si="50">P21*$Q$6</f>
        <v>1034.5120000000002</v>
      </c>
      <c r="R21" s="74">
        <f t="shared" ref="R21:R26" si="51">(P21+Q21)*$R$6</f>
        <v>1251.7595200000001</v>
      </c>
      <c r="S21" s="74">
        <f t="shared" ref="S21:S26" si="52">(P21+Q21+R21)*$S$6</f>
        <v>63.156957600000005</v>
      </c>
      <c r="T21" s="74">
        <f t="shared" ref="T21:T26" si="53">(P21+Q21+R21+S21)*$T$6</f>
        <v>126.94548477600001</v>
      </c>
      <c r="U21" s="72">
        <f t="shared" ref="U21:U26" si="54">SUM(P21:T21)</f>
        <v>12821.493962376002</v>
      </c>
      <c r="V21" s="74">
        <f t="shared" ref="V21:V26" si="55">U21*$V$6</f>
        <v>192.32240943564003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1475.7486000000001</v>
      </c>
      <c r="AE21" s="76">
        <f t="shared" si="43"/>
        <v>350</v>
      </c>
      <c r="AF21" s="342">
        <f t="shared" si="44"/>
        <v>358.67999999999989</v>
      </c>
      <c r="AG21" s="343"/>
      <c r="AH21" s="76">
        <f t="shared" si="45"/>
        <v>12.809999999999999</v>
      </c>
      <c r="AI21" s="76">
        <f t="shared" si="15"/>
        <v>42.699999999999996</v>
      </c>
      <c r="AJ21" s="76">
        <f>J21*Pricing!Q17</f>
        <v>0</v>
      </c>
      <c r="AK21" s="76">
        <f>J21*Pricing!R17</f>
        <v>0</v>
      </c>
      <c r="AL21" s="76">
        <f t="shared" si="16"/>
        <v>1201.5853199999999</v>
      </c>
      <c r="AM21" s="77">
        <f t="shared" si="17"/>
        <v>0</v>
      </c>
      <c r="AN21" s="76">
        <f t="shared" si="18"/>
        <v>961.26825599999995</v>
      </c>
      <c r="AO21" s="72">
        <f t="shared" si="19"/>
        <v>13778.00637181164</v>
      </c>
      <c r="AP21" s="74">
        <f t="shared" si="20"/>
        <v>17222.507964764551</v>
      </c>
      <c r="AQ21" s="74">
        <f t="shared" ref="AQ21:AQ26" si="61">(AO21+AP21)*$AQ$6</f>
        <v>0</v>
      </c>
      <c r="AR21" s="74">
        <f t="shared" si="22"/>
        <v>27770.773391181752</v>
      </c>
      <c r="AS21" s="72">
        <f t="shared" si="23"/>
        <v>34639.116512576191</v>
      </c>
      <c r="AT21" s="72">
        <f t="shared" si="24"/>
        <v>31030.293391181753</v>
      </c>
      <c r="AU21" s="78">
        <f t="shared" ref="AU21:AU26" si="62">AT21/10.764</f>
        <v>2882.7845959849269</v>
      </c>
      <c r="AV21" s="79">
        <f t="shared" si="26"/>
        <v>1.1326360091601165E-2</v>
      </c>
      <c r="AW21" s="80">
        <f t="shared" si="27"/>
        <v>1083.0538751764743</v>
      </c>
      <c r="AX21" s="81">
        <f t="shared" si="28"/>
        <v>1799.7307208084524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25.064900000000002</v>
      </c>
      <c r="I109" s="87">
        <f>SUM(I8:I108)</f>
        <v>65</v>
      </c>
      <c r="J109" s="88">
        <f>SUM(J8:J108)</f>
        <v>98.557699999999983</v>
      </c>
      <c r="K109" s="89">
        <f>SUM(K8:K108)</f>
        <v>1060.8750828</v>
      </c>
      <c r="L109" s="88">
        <f>SUM(L8:L8)</f>
        <v>0</v>
      </c>
      <c r="M109" s="88"/>
      <c r="N109" s="88"/>
      <c r="O109" s="88"/>
      <c r="P109" s="87">
        <f>SUM(P8:P108)</f>
        <v>663535.20000000007</v>
      </c>
      <c r="Q109" s="88">
        <f t="shared" ref="Q109:AE109" si="156">SUM(Q8:Q108)</f>
        <v>66353.51999999999</v>
      </c>
      <c r="R109" s="88">
        <f t="shared" si="156"/>
        <v>80287.7592</v>
      </c>
      <c r="S109" s="88">
        <f t="shared" si="156"/>
        <v>4050.882396</v>
      </c>
      <c r="T109" s="88">
        <f t="shared" si="156"/>
        <v>8142.273615959999</v>
      </c>
      <c r="U109" s="88">
        <f t="shared" si="156"/>
        <v>822369.63521195983</v>
      </c>
      <c r="V109" s="88">
        <f t="shared" si="156"/>
        <v>12335.544528179398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130293.27940000001</v>
      </c>
      <c r="AE109" s="88">
        <f t="shared" si="156"/>
        <v>25029.508196721308</v>
      </c>
      <c r="AF109" s="353">
        <f>SUM(AF8:AG108)</f>
        <v>25650.239999999998</v>
      </c>
      <c r="AG109" s="354"/>
      <c r="AH109" s="88">
        <f t="shared" ref="AH109:AQ109" si="157">SUM(AH8:AH108)</f>
        <v>916.07999999999981</v>
      </c>
      <c r="AI109" s="88">
        <f t="shared" si="157"/>
        <v>3053.6</v>
      </c>
      <c r="AJ109" s="88">
        <f t="shared" ref="AJ109" si="158">SUM(AJ8:AJ108)</f>
        <v>44622.807839999994</v>
      </c>
      <c r="AK109" s="88">
        <f t="shared" si="157"/>
        <v>0</v>
      </c>
      <c r="AL109" s="88">
        <f t="shared" si="157"/>
        <v>106087.50827999999</v>
      </c>
      <c r="AM109" s="88">
        <f t="shared" si="157"/>
        <v>0</v>
      </c>
      <c r="AN109" s="88">
        <f t="shared" si="157"/>
        <v>84870.006623999972</v>
      </c>
      <c r="AO109" s="88">
        <f t="shared" si="157"/>
        <v>889354.60793686053</v>
      </c>
      <c r="AP109" s="88">
        <f t="shared" si="157"/>
        <v>1111693.2599210758</v>
      </c>
      <c r="AQ109" s="88">
        <f t="shared" si="157"/>
        <v>0</v>
      </c>
      <c r="AR109" s="88"/>
      <c r="AS109" s="87">
        <f>SUM(AS8:AS108)</f>
        <v>2366921.4700019364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25650.239999999998</v>
      </c>
      <c r="AW110" s="84"/>
    </row>
    <row r="111" spans="2:54">
      <c r="AF111" s="174"/>
      <c r="AG111" s="174"/>
      <c r="AH111" s="174">
        <f>SUM(AE109:AI109,AC109)</f>
        <v>54649.42819672131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9" sqref="O9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7.140625" style="122" customWidth="1"/>
    <col min="6" max="6" width="72.5703125" style="122" customWidth="1"/>
    <col min="7" max="7" width="18.7109375" style="122" customWidth="1"/>
    <col min="8" max="8" width="19.425781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6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8"/>
    </row>
    <row r="2" spans="2:15" ht="23.25" customHeight="1">
      <c r="B2" s="419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1"/>
    </row>
    <row r="3" spans="2:15" ht="23.25" customHeight="1">
      <c r="B3" s="419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1"/>
    </row>
    <row r="4" spans="2:15" ht="30" customHeight="1">
      <c r="B4" s="419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1"/>
    </row>
    <row r="5" spans="2:15" ht="30" customHeight="1" thickBot="1">
      <c r="B5" s="419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1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ABPL-DE-19.20-2151-OP-2</v>
      </c>
      <c r="N6" s="472"/>
    </row>
    <row r="7" spans="2:15" ht="24.95" customHeight="1">
      <c r="B7" s="491" t="s">
        <v>126</v>
      </c>
      <c r="C7" s="492"/>
      <c r="D7" s="492"/>
      <c r="E7" s="492"/>
      <c r="F7" s="425" t="str">
        <f>'BD Team'!E2</f>
        <v>Eterna PS Group Reality Limited</v>
      </c>
      <c r="G7" s="425"/>
      <c r="H7" s="425"/>
      <c r="I7" s="425"/>
      <c r="J7" s="426"/>
      <c r="K7" s="499" t="s">
        <v>104</v>
      </c>
      <c r="L7" s="492"/>
      <c r="M7" s="497">
        <f>'BD Team'!J3</f>
        <v>43686</v>
      </c>
      <c r="N7" s="498"/>
    </row>
    <row r="8" spans="2:15" ht="24.95" customHeight="1">
      <c r="B8" s="491" t="s">
        <v>127</v>
      </c>
      <c r="C8" s="492"/>
      <c r="D8" s="492"/>
      <c r="E8" s="492"/>
      <c r="F8" s="215" t="str">
        <f>'BD Team'!E3</f>
        <v>Chennai</v>
      </c>
      <c r="G8" s="483" t="s">
        <v>180</v>
      </c>
      <c r="H8" s="484"/>
      <c r="I8" s="425" t="str">
        <f>'BD Team'!G3</f>
        <v>1.7Kpa</v>
      </c>
      <c r="J8" s="426"/>
      <c r="K8" s="499" t="s">
        <v>105</v>
      </c>
      <c r="L8" s="492"/>
      <c r="M8" s="178" t="s">
        <v>365</v>
      </c>
      <c r="N8" s="179">
        <v>43686</v>
      </c>
    </row>
    <row r="9" spans="2:15" ht="24.95" customHeight="1">
      <c r="B9" s="491" t="s">
        <v>169</v>
      </c>
      <c r="C9" s="492"/>
      <c r="D9" s="492"/>
      <c r="E9" s="492"/>
      <c r="F9" s="425" t="str">
        <f>'BD Team'!E4</f>
        <v>Mr. Raju Savasi : 9840355091</v>
      </c>
      <c r="G9" s="425"/>
      <c r="H9" s="425"/>
      <c r="I9" s="425"/>
      <c r="J9" s="426"/>
      <c r="K9" s="499" t="s">
        <v>179</v>
      </c>
      <c r="L9" s="492"/>
      <c r="M9" s="473" t="str">
        <f>'BD Team'!J4</f>
        <v>Bal Kumari</v>
      </c>
      <c r="N9" s="474"/>
    </row>
    <row r="10" spans="2:15" ht="27.75" customHeight="1" thickBot="1">
      <c r="B10" s="493" t="s">
        <v>177</v>
      </c>
      <c r="C10" s="494"/>
      <c r="D10" s="494"/>
      <c r="E10" s="494"/>
      <c r="F10" s="217" t="str">
        <f>'BD Team'!E5</f>
        <v>Powder Coating</v>
      </c>
      <c r="G10" s="504" t="s">
        <v>178</v>
      </c>
      <c r="H10" s="505"/>
      <c r="I10" s="502" t="str">
        <f>'BD Team'!G5</f>
        <v>White</v>
      </c>
      <c r="J10" s="503"/>
      <c r="K10" s="500" t="s">
        <v>374</v>
      </c>
      <c r="L10" s="501"/>
      <c r="M10" s="495">
        <f>'BD Team'!J5</f>
        <v>0</v>
      </c>
      <c r="N10" s="496"/>
    </row>
    <row r="11" spans="2:15" ht="19.5" thickTop="1">
      <c r="B11" s="422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4"/>
    </row>
    <row r="12" spans="2:15" s="93" customFormat="1" ht="19.5" thickBot="1">
      <c r="B12" s="422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423"/>
      <c r="N12" s="424"/>
    </row>
    <row r="13" spans="2:15" s="93" customFormat="1" ht="18" customHeight="1" thickTop="1" thickBot="1">
      <c r="B13" s="485" t="s">
        <v>170</v>
      </c>
      <c r="C13" s="486"/>
      <c r="D13" s="489" t="s">
        <v>171</v>
      </c>
      <c r="E13" s="489" t="s">
        <v>172</v>
      </c>
      <c r="F13" s="489" t="s">
        <v>37</v>
      </c>
      <c r="G13" s="487" t="s">
        <v>63</v>
      </c>
      <c r="H13" s="487" t="s">
        <v>210</v>
      </c>
      <c r="I13" s="487" t="s">
        <v>209</v>
      </c>
      <c r="J13" s="488" t="s">
        <v>173</v>
      </c>
      <c r="K13" s="488" t="s">
        <v>174</v>
      </c>
      <c r="L13" s="486" t="s">
        <v>211</v>
      </c>
      <c r="M13" s="488" t="s">
        <v>175</v>
      </c>
      <c r="N13" s="490" t="s">
        <v>176</v>
      </c>
    </row>
    <row r="14" spans="2:15" s="94" customFormat="1" ht="18" customHeight="1" thickTop="1" thickBot="1">
      <c r="B14" s="485"/>
      <c r="C14" s="486"/>
      <c r="D14" s="489"/>
      <c r="E14" s="489"/>
      <c r="F14" s="489"/>
      <c r="G14" s="487"/>
      <c r="H14" s="487"/>
      <c r="I14" s="487"/>
      <c r="J14" s="488"/>
      <c r="K14" s="488"/>
      <c r="L14" s="486"/>
      <c r="M14" s="488"/>
      <c r="N14" s="490"/>
    </row>
    <row r="15" spans="2:15" s="94" customFormat="1" ht="26.25" customHeight="1" thickTop="1" thickBot="1">
      <c r="B15" s="485"/>
      <c r="C15" s="486"/>
      <c r="D15" s="489"/>
      <c r="E15" s="489"/>
      <c r="F15" s="489"/>
      <c r="G15" s="487"/>
      <c r="H15" s="487"/>
      <c r="I15" s="487"/>
      <c r="J15" s="488"/>
      <c r="K15" s="488"/>
      <c r="L15" s="486"/>
      <c r="M15" s="488"/>
      <c r="N15" s="490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W1</v>
      </c>
      <c r="E16" s="187" t="str">
        <f>Pricing!C4</f>
        <v>M900</v>
      </c>
      <c r="F16" s="187" t="str">
        <f>Pricing!D4</f>
        <v>3 TRACK 2 SHUTTER SLIDING WINDOW</v>
      </c>
      <c r="G16" s="187" t="str">
        <f>Pricing!N4</f>
        <v>8MM</v>
      </c>
      <c r="H16" s="187" t="str">
        <f>Pricing!F4</f>
        <v>NA</v>
      </c>
      <c r="I16" s="216" t="str">
        <f>Pricing!E4</f>
        <v>SS</v>
      </c>
      <c r="J16" s="216">
        <f>Pricing!G4</f>
        <v>1220</v>
      </c>
      <c r="K16" s="216">
        <f>Pricing!H4</f>
        <v>1525</v>
      </c>
      <c r="L16" s="216">
        <f>Pricing!I4</f>
        <v>20</v>
      </c>
      <c r="M16" s="188">
        <f t="shared" ref="M16:M24" si="0">J16*K16*L16/1000000</f>
        <v>37.21</v>
      </c>
      <c r="N16" s="189">
        <f>'Cost Calculation'!AS8</f>
        <v>685448.00597081298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W2</v>
      </c>
      <c r="E17" s="187" t="str">
        <f>Pricing!C5</f>
        <v>M900</v>
      </c>
      <c r="F17" s="187" t="str">
        <f>Pricing!D5</f>
        <v>3 TRACK 2 SHUTTER SLIDING WINDOW</v>
      </c>
      <c r="G17" s="187" t="str">
        <f>Pricing!N5</f>
        <v>8MM</v>
      </c>
      <c r="H17" s="187" t="str">
        <f>Pricing!F5</f>
        <v>NA</v>
      </c>
      <c r="I17" s="216" t="str">
        <f>Pricing!E5</f>
        <v>SS</v>
      </c>
      <c r="J17" s="216">
        <f>Pricing!G5</f>
        <v>1070</v>
      </c>
      <c r="K17" s="216">
        <f>Pricing!H5</f>
        <v>1525</v>
      </c>
      <c r="L17" s="216">
        <f>Pricing!I5</f>
        <v>2</v>
      </c>
      <c r="M17" s="188">
        <f t="shared" si="0"/>
        <v>3.2635000000000001</v>
      </c>
      <c r="N17" s="189">
        <f>'Cost Calculation'!AS9</f>
        <v>65151.487776801056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W3</v>
      </c>
      <c r="E18" s="187" t="str">
        <f>Pricing!C6</f>
        <v>M15000</v>
      </c>
      <c r="F18" s="187" t="str">
        <f>Pricing!D6</f>
        <v>SIDE HUNG WINDOW</v>
      </c>
      <c r="G18" s="187" t="str">
        <f>Pricing!N6</f>
        <v>8MM</v>
      </c>
      <c r="H18" s="187" t="str">
        <f>Pricing!F6</f>
        <v>NA</v>
      </c>
      <c r="I18" s="216" t="str">
        <f>Pricing!E6</f>
        <v>NO</v>
      </c>
      <c r="J18" s="216">
        <f>Pricing!G6</f>
        <v>690</v>
      </c>
      <c r="K18" s="216">
        <f>Pricing!H6</f>
        <v>1525</v>
      </c>
      <c r="L18" s="216">
        <f>Pricing!I6</f>
        <v>2</v>
      </c>
      <c r="M18" s="188">
        <f t="shared" si="0"/>
        <v>2.1044999999999998</v>
      </c>
      <c r="N18" s="189">
        <f>'Cost Calculation'!AS10</f>
        <v>72363.071920179995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W4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8MM</v>
      </c>
      <c r="H19" s="187" t="str">
        <f>Pricing!F7</f>
        <v>NA</v>
      </c>
      <c r="I19" s="216" t="str">
        <f>Pricing!E7</f>
        <v>SS</v>
      </c>
      <c r="J19" s="216">
        <f>Pricing!G7</f>
        <v>1830</v>
      </c>
      <c r="K19" s="216">
        <f>Pricing!H7</f>
        <v>1525</v>
      </c>
      <c r="L19" s="216">
        <f>Pricing!I7</f>
        <v>2</v>
      </c>
      <c r="M19" s="188">
        <f t="shared" si="0"/>
        <v>5.5815000000000001</v>
      </c>
      <c r="N19" s="189">
        <f>'Cost Calculation'!AS11</f>
        <v>82343.959499181627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W5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8MM</v>
      </c>
      <c r="H20" s="187" t="str">
        <f>Pricing!F8</f>
        <v>NA</v>
      </c>
      <c r="I20" s="216" t="str">
        <f>Pricing!E8</f>
        <v>SS</v>
      </c>
      <c r="J20" s="216">
        <f>Pricing!G8</f>
        <v>1220</v>
      </c>
      <c r="K20" s="216">
        <f>Pricing!H8</f>
        <v>1220</v>
      </c>
      <c r="L20" s="216">
        <f>Pricing!I8</f>
        <v>4</v>
      </c>
      <c r="M20" s="188">
        <f t="shared" si="0"/>
        <v>5.9535999999999998</v>
      </c>
      <c r="N20" s="189">
        <f>'Cost Calculation'!AS12</f>
        <v>120700.44714142379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W6</v>
      </c>
      <c r="E21" s="187" t="str">
        <f>Pricing!C9</f>
        <v>M15000</v>
      </c>
      <c r="F21" s="187" t="str">
        <f>Pricing!D9</f>
        <v>SIDE HUNG WINDOW</v>
      </c>
      <c r="G21" s="187" t="str">
        <f>Pricing!N9</f>
        <v>8MM</v>
      </c>
      <c r="H21" s="187" t="str">
        <f>Pricing!F9</f>
        <v>NA</v>
      </c>
      <c r="I21" s="216" t="str">
        <f>Pricing!E9</f>
        <v>NO</v>
      </c>
      <c r="J21" s="216">
        <f>Pricing!G9</f>
        <v>610</v>
      </c>
      <c r="K21" s="216">
        <f>Pricing!H9</f>
        <v>915</v>
      </c>
      <c r="L21" s="216">
        <f>Pricing!I9</f>
        <v>18</v>
      </c>
      <c r="M21" s="188">
        <f t="shared" si="0"/>
        <v>10.0467</v>
      </c>
      <c r="N21" s="189">
        <f>'Cost Calculation'!AS13</f>
        <v>498059.67837851134</v>
      </c>
      <c r="O21" s="95"/>
    </row>
    <row r="22" spans="2:15" s="94" customFormat="1" ht="49.9" customHeight="1" thickTop="1" thickBot="1">
      <c r="B22" s="410">
        <f>Pricing!A10</f>
        <v>7</v>
      </c>
      <c r="C22" s="411"/>
      <c r="D22" s="187" t="str">
        <f>Pricing!B10</f>
        <v>W7</v>
      </c>
      <c r="E22" s="187" t="str">
        <f>Pricing!C10</f>
        <v>M15000</v>
      </c>
      <c r="F22" s="187" t="str">
        <f>Pricing!D10</f>
        <v>SIDE HUNG WINDOW</v>
      </c>
      <c r="G22" s="187" t="str">
        <f>Pricing!N10</f>
        <v>8MM</v>
      </c>
      <c r="H22" s="187" t="str">
        <f>Pricing!F10</f>
        <v>NA</v>
      </c>
      <c r="I22" s="216" t="str">
        <f>Pricing!E10</f>
        <v>NO</v>
      </c>
      <c r="J22" s="216">
        <f>Pricing!G10</f>
        <v>610</v>
      </c>
      <c r="K22" s="216">
        <f>Pricing!H10</f>
        <v>610</v>
      </c>
      <c r="L22" s="216">
        <f>Pricing!I10</f>
        <v>3</v>
      </c>
      <c r="M22" s="188">
        <f t="shared" si="0"/>
        <v>1.1163000000000001</v>
      </c>
      <c r="N22" s="189">
        <f>'Cost Calculation'!AS14</f>
        <v>73920.475785591363</v>
      </c>
      <c r="O22" s="95"/>
    </row>
    <row r="23" spans="2:15" s="94" customFormat="1" ht="49.9" customHeight="1" thickTop="1" thickBot="1">
      <c r="B23" s="410">
        <f>Pricing!A11</f>
        <v>8</v>
      </c>
      <c r="C23" s="411"/>
      <c r="D23" s="187" t="str">
        <f>Pricing!B11</f>
        <v>W8</v>
      </c>
      <c r="E23" s="187" t="str">
        <f>Pricing!C11</f>
        <v>M15000</v>
      </c>
      <c r="F23" s="187" t="str">
        <f>Pricing!D11</f>
        <v>FIXED GLASS</v>
      </c>
      <c r="G23" s="187" t="str">
        <f>Pricing!N11</f>
        <v>8MM</v>
      </c>
      <c r="H23" s="187" t="str">
        <f>Pricing!F11</f>
        <v>NA</v>
      </c>
      <c r="I23" s="216" t="str">
        <f>Pricing!E11</f>
        <v>NO</v>
      </c>
      <c r="J23" s="216">
        <f>Pricing!G11</f>
        <v>915</v>
      </c>
      <c r="K23" s="216">
        <f>Pricing!H11</f>
        <v>460</v>
      </c>
      <c r="L23" s="216">
        <f>Pricing!I11</f>
        <v>3</v>
      </c>
      <c r="M23" s="188">
        <f t="shared" si="0"/>
        <v>1.2626999999999999</v>
      </c>
      <c r="N23" s="189">
        <f>'Cost Calculation'!AS15</f>
        <v>26410.440369665776</v>
      </c>
      <c r="O23" s="95"/>
    </row>
    <row r="24" spans="2:15" s="94" customFormat="1" ht="49.9" customHeight="1" thickTop="1" thickBot="1">
      <c r="B24" s="410">
        <f>Pricing!A12</f>
        <v>9</v>
      </c>
      <c r="C24" s="411"/>
      <c r="D24" s="187" t="str">
        <f>Pricing!B12</f>
        <v>W9</v>
      </c>
      <c r="E24" s="187" t="str">
        <f>Pricing!C12</f>
        <v>M900</v>
      </c>
      <c r="F24" s="187" t="str">
        <f>Pricing!D12</f>
        <v>3 TRACK 2 SHUTTER SLIDING WINDOW</v>
      </c>
      <c r="G24" s="187" t="str">
        <f>Pricing!N12</f>
        <v>8MM</v>
      </c>
      <c r="H24" s="187" t="str">
        <f>Pricing!F12</f>
        <v>NA</v>
      </c>
      <c r="I24" s="216" t="str">
        <f>Pricing!E12</f>
        <v>SS</v>
      </c>
      <c r="J24" s="216">
        <f>Pricing!G12</f>
        <v>1220</v>
      </c>
      <c r="K24" s="216">
        <f>Pricing!H12</f>
        <v>1525</v>
      </c>
      <c r="L24" s="216">
        <f>Pricing!I12</f>
        <v>3</v>
      </c>
      <c r="M24" s="188">
        <f t="shared" si="0"/>
        <v>5.5815000000000001</v>
      </c>
      <c r="N24" s="189">
        <f>'Cost Calculation'!AS16</f>
        <v>102817.20089562197</v>
      </c>
      <c r="O24" s="95"/>
    </row>
    <row r="25" spans="2:15" s="94" customFormat="1" ht="49.9" customHeight="1" thickTop="1" thickBot="1">
      <c r="B25" s="410">
        <f>Pricing!A13</f>
        <v>10</v>
      </c>
      <c r="C25" s="411"/>
      <c r="D25" s="187" t="str">
        <f>Pricing!B13</f>
        <v>W10</v>
      </c>
      <c r="E25" s="187" t="str">
        <f>Pricing!C13</f>
        <v>M14600</v>
      </c>
      <c r="F25" s="187" t="str">
        <f>Pricing!D13</f>
        <v>3 TRACK 2 SHUTTER SLIDING DOOR</v>
      </c>
      <c r="G25" s="187" t="str">
        <f>Pricing!N13</f>
        <v>8MM</v>
      </c>
      <c r="H25" s="187" t="str">
        <f>Pricing!F13</f>
        <v>NA</v>
      </c>
      <c r="I25" s="216" t="str">
        <f>Pricing!E13</f>
        <v>SS</v>
      </c>
      <c r="J25" s="216">
        <f>Pricing!G13</f>
        <v>2440</v>
      </c>
      <c r="K25" s="216">
        <f>Pricing!H13</f>
        <v>2290</v>
      </c>
      <c r="L25" s="216">
        <f>Pricing!I13</f>
        <v>3</v>
      </c>
      <c r="M25" s="188">
        <f t="shared" ref="M25:M42" si="1">J25*K25*L25/1000000</f>
        <v>16.762799999999999</v>
      </c>
      <c r="N25" s="189">
        <f>'Cost Calculation'!AS17</f>
        <v>402160.74333712901</v>
      </c>
      <c r="O25" s="95"/>
    </row>
    <row r="26" spans="2:15" s="94" customFormat="1" ht="49.9" customHeight="1" thickTop="1" thickBot="1">
      <c r="B26" s="410">
        <f>Pricing!A14</f>
        <v>11</v>
      </c>
      <c r="C26" s="411"/>
      <c r="D26" s="187" t="str">
        <f>Pricing!B14</f>
        <v>W11</v>
      </c>
      <c r="E26" s="187" t="str">
        <f>Pricing!C14</f>
        <v>M900</v>
      </c>
      <c r="F26" s="187" t="str">
        <f>Pricing!D14</f>
        <v>3 TRACK 2 SHUTTER SLIDING WINDOW</v>
      </c>
      <c r="G26" s="187" t="str">
        <f>Pricing!N14</f>
        <v>8MM</v>
      </c>
      <c r="H26" s="187" t="str">
        <f>Pricing!F14</f>
        <v>NA</v>
      </c>
      <c r="I26" s="216" t="str">
        <f>Pricing!E14</f>
        <v>SS</v>
      </c>
      <c r="J26" s="216">
        <f>Pricing!G14</f>
        <v>1830</v>
      </c>
      <c r="K26" s="216">
        <f>Pricing!H14</f>
        <v>1220</v>
      </c>
      <c r="L26" s="216">
        <f>Pricing!I14</f>
        <v>2</v>
      </c>
      <c r="M26" s="188">
        <f t="shared" si="1"/>
        <v>4.4652000000000003</v>
      </c>
      <c r="N26" s="189">
        <f>'Cost Calculation'!AS18</f>
        <v>72736.25086081223</v>
      </c>
      <c r="O26" s="95"/>
    </row>
    <row r="27" spans="2:15" s="94" customFormat="1" ht="49.9" customHeight="1" thickTop="1" thickBot="1">
      <c r="B27" s="410">
        <f>Pricing!A15</f>
        <v>12</v>
      </c>
      <c r="C27" s="411"/>
      <c r="D27" s="187" t="str">
        <f>Pricing!B15</f>
        <v>W12</v>
      </c>
      <c r="E27" s="187" t="str">
        <f>Pricing!C15</f>
        <v>M14600</v>
      </c>
      <c r="F27" s="187" t="str">
        <f>Pricing!D15</f>
        <v>3 TRACK 2 SHUTTER SLIDING DOOR</v>
      </c>
      <c r="G27" s="187" t="str">
        <f>Pricing!N15</f>
        <v>8MM</v>
      </c>
      <c r="H27" s="187" t="str">
        <f>Pricing!F15</f>
        <v>NA</v>
      </c>
      <c r="I27" s="216" t="str">
        <f>Pricing!E15</f>
        <v>SS</v>
      </c>
      <c r="J27" s="216">
        <f>Pricing!G15</f>
        <v>1220</v>
      </c>
      <c r="K27" s="216">
        <f>Pricing!H15</f>
        <v>2135</v>
      </c>
      <c r="L27" s="216">
        <f>Pricing!I15</f>
        <v>1</v>
      </c>
      <c r="M27" s="188">
        <f t="shared" si="1"/>
        <v>2.6046999999999998</v>
      </c>
      <c r="N27" s="189">
        <f>'Cost Calculation'!AS19</f>
        <v>99995.479768273173</v>
      </c>
      <c r="O27" s="95"/>
    </row>
    <row r="28" spans="2:15" s="94" customFormat="1" ht="49.9" customHeight="1" thickTop="1" thickBot="1">
      <c r="B28" s="410">
        <f>Pricing!A16</f>
        <v>13</v>
      </c>
      <c r="C28" s="411"/>
      <c r="D28" s="187" t="str">
        <f>Pricing!B16</f>
        <v>W13</v>
      </c>
      <c r="E28" s="187" t="str">
        <f>Pricing!C16</f>
        <v>M900</v>
      </c>
      <c r="F28" s="187" t="str">
        <f>Pricing!D16</f>
        <v>3 TRACK 2 SHUTTER SLIDING WINDOW</v>
      </c>
      <c r="G28" s="187" t="str">
        <f>Pricing!N16</f>
        <v>8MM</v>
      </c>
      <c r="H28" s="187" t="str">
        <f>Pricing!F16</f>
        <v>NA</v>
      </c>
      <c r="I28" s="216" t="str">
        <f>Pricing!E16</f>
        <v>SS</v>
      </c>
      <c r="J28" s="216">
        <f>Pricing!G16</f>
        <v>1220</v>
      </c>
      <c r="K28" s="216">
        <f>Pricing!H16</f>
        <v>1220</v>
      </c>
      <c r="L28" s="216">
        <f>Pricing!I16</f>
        <v>1</v>
      </c>
      <c r="M28" s="188">
        <f t="shared" si="1"/>
        <v>1.4883999999999999</v>
      </c>
      <c r="N28" s="189">
        <f>'Cost Calculation'!AS20</f>
        <v>30175.111785355948</v>
      </c>
      <c r="O28" s="95"/>
    </row>
    <row r="29" spans="2:15" s="94" customFormat="1" ht="49.9" customHeight="1" thickTop="1" thickBot="1">
      <c r="B29" s="410">
        <f>Pricing!A17</f>
        <v>14</v>
      </c>
      <c r="C29" s="411"/>
      <c r="D29" s="187" t="str">
        <f>Pricing!B17</f>
        <v>W14</v>
      </c>
      <c r="E29" s="187" t="str">
        <f>Pricing!C17</f>
        <v>M15000</v>
      </c>
      <c r="F29" s="187" t="str">
        <f>Pricing!D17</f>
        <v>SIDE HUNG WINDOW</v>
      </c>
      <c r="G29" s="187" t="str">
        <f>Pricing!N17</f>
        <v>8MM</v>
      </c>
      <c r="H29" s="187" t="str">
        <f>Pricing!F17</f>
        <v>NA</v>
      </c>
      <c r="I29" s="216" t="str">
        <f>Pricing!E17</f>
        <v>NO</v>
      </c>
      <c r="J29" s="216">
        <f>Pricing!G17</f>
        <v>915</v>
      </c>
      <c r="K29" s="216">
        <f>Pricing!H17</f>
        <v>1220</v>
      </c>
      <c r="L29" s="216">
        <f>Pricing!I17</f>
        <v>1</v>
      </c>
      <c r="M29" s="188">
        <f t="shared" si="1"/>
        <v>1.1163000000000001</v>
      </c>
      <c r="N29" s="189">
        <f>'Cost Calculation'!AS21</f>
        <v>34639.116512576191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6"/>
      <c r="C116" s="507"/>
      <c r="D116" s="507"/>
      <c r="E116" s="507"/>
      <c r="F116" s="507"/>
      <c r="G116" s="507"/>
      <c r="H116" s="507"/>
      <c r="I116" s="507"/>
      <c r="J116" s="507"/>
      <c r="K116" s="508"/>
      <c r="L116" s="190">
        <f>SUM(L16:L115)</f>
        <v>65</v>
      </c>
      <c r="M116" s="191">
        <f>SUM(M16:M115)</f>
        <v>98.557699999999983</v>
      </c>
      <c r="N116" s="186"/>
      <c r="O116" s="95"/>
    </row>
    <row r="117" spans="2:15" s="94" customFormat="1" ht="30" customHeight="1" thickTop="1" thickBot="1">
      <c r="B117" s="509" t="s">
        <v>181</v>
      </c>
      <c r="C117" s="510"/>
      <c r="D117" s="510"/>
      <c r="E117" s="510"/>
      <c r="F117" s="510"/>
      <c r="G117" s="510"/>
      <c r="H117" s="510"/>
      <c r="I117" s="510"/>
      <c r="J117" s="510"/>
      <c r="K117" s="510"/>
      <c r="L117" s="510"/>
      <c r="M117" s="511"/>
      <c r="N117" s="192">
        <f>ROUND(SUM(N16:N115),0.1)</f>
        <v>2366921</v>
      </c>
      <c r="O117" s="95">
        <f>N117/SUM(M116)</f>
        <v>24015.58680853957</v>
      </c>
    </row>
    <row r="118" spans="2:15" s="94" customFormat="1" ht="30" customHeight="1" thickTop="1" thickBot="1">
      <c r="B118" s="509" t="s">
        <v>111</v>
      </c>
      <c r="C118" s="510"/>
      <c r="D118" s="510"/>
      <c r="E118" s="510"/>
      <c r="F118" s="510"/>
      <c r="G118" s="510"/>
      <c r="H118" s="510"/>
      <c r="I118" s="510"/>
      <c r="J118" s="510"/>
      <c r="K118" s="510"/>
      <c r="L118" s="510"/>
      <c r="M118" s="511"/>
      <c r="N118" s="192">
        <f>ROUND(N117*18%,0.1)</f>
        <v>426046</v>
      </c>
      <c r="O118" s="95">
        <f>N118/SUM(M116)</f>
        <v>4322.8078577320703</v>
      </c>
    </row>
    <row r="119" spans="2:15" s="94" customFormat="1" ht="30" customHeight="1" thickTop="1" thickBot="1">
      <c r="B119" s="509" t="s">
        <v>182</v>
      </c>
      <c r="C119" s="510"/>
      <c r="D119" s="510"/>
      <c r="E119" s="510"/>
      <c r="F119" s="510"/>
      <c r="G119" s="510"/>
      <c r="H119" s="510"/>
      <c r="I119" s="510"/>
      <c r="J119" s="510"/>
      <c r="K119" s="510"/>
      <c r="L119" s="510"/>
      <c r="M119" s="511"/>
      <c r="N119" s="192">
        <f>ROUND(SUM(N117:N118),0.1)</f>
        <v>2792967</v>
      </c>
      <c r="O119" s="95">
        <f>N119/SUM(M116)</f>
        <v>28338.394666271641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2231.1024534131893</v>
      </c>
    </row>
    <row r="121" spans="2:15" s="139" customFormat="1" ht="30" customHeight="1" thickTop="1">
      <c r="B121" s="477" t="s">
        <v>237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33">
        <v>2</v>
      </c>
      <c r="C123" s="480"/>
      <c r="D123" s="481"/>
      <c r="E123" s="481"/>
      <c r="F123" s="481"/>
      <c r="G123" s="481"/>
      <c r="H123" s="481"/>
      <c r="I123" s="481"/>
      <c r="J123" s="481"/>
      <c r="K123" s="481"/>
      <c r="L123" s="481"/>
      <c r="M123" s="481"/>
      <c r="N123" s="482"/>
    </row>
    <row r="124" spans="2:15" s="139" customFormat="1" ht="30" customHeight="1">
      <c r="B124" s="444" t="s">
        <v>207</v>
      </c>
      <c r="C124" s="445"/>
      <c r="D124" s="445"/>
      <c r="E124" s="445"/>
      <c r="F124" s="445"/>
      <c r="G124" s="445"/>
      <c r="H124" s="445"/>
      <c r="I124" s="445"/>
      <c r="J124" s="445"/>
      <c r="K124" s="445"/>
      <c r="L124" s="445"/>
      <c r="M124" s="445"/>
      <c r="N124" s="446"/>
      <c r="O124" s="138"/>
    </row>
    <row r="125" spans="2:15" s="93" customFormat="1" ht="24.95" customHeight="1">
      <c r="B125" s="412">
        <v>1</v>
      </c>
      <c r="C125" s="413"/>
      <c r="D125" s="414" t="s">
        <v>444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139" customFormat="1" ht="30" customHeight="1">
      <c r="B126" s="444" t="s">
        <v>140</v>
      </c>
      <c r="C126" s="445"/>
      <c r="D126" s="445"/>
      <c r="E126" s="445"/>
      <c r="F126" s="445"/>
      <c r="G126" s="445"/>
      <c r="H126" s="445"/>
      <c r="I126" s="445"/>
      <c r="J126" s="445"/>
      <c r="K126" s="445"/>
      <c r="L126" s="445"/>
      <c r="M126" s="445"/>
      <c r="N126" s="446"/>
      <c r="O126" s="138"/>
    </row>
    <row r="127" spans="2:15" s="93" customFormat="1" ht="24.95" customHeight="1">
      <c r="B127" s="412">
        <v>1</v>
      </c>
      <c r="C127" s="413"/>
      <c r="D127" s="414" t="s">
        <v>364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93" customFormat="1" ht="24.95" customHeight="1">
      <c r="B128" s="412">
        <v>2</v>
      </c>
      <c r="C128" s="413"/>
      <c r="D128" s="414" t="s">
        <v>389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139" customFormat="1" ht="30" customHeight="1">
      <c r="B129" s="427" t="s">
        <v>141</v>
      </c>
      <c r="C129" s="428"/>
      <c r="D129" s="428"/>
      <c r="E129" s="428"/>
      <c r="F129" s="428"/>
      <c r="G129" s="428"/>
      <c r="H129" s="428"/>
      <c r="I129" s="428"/>
      <c r="J129" s="428"/>
      <c r="K129" s="428"/>
      <c r="L129" s="428"/>
      <c r="M129" s="428"/>
      <c r="N129" s="429"/>
    </row>
    <row r="130" spans="2:14" s="93" customFormat="1" ht="24.95" customHeight="1">
      <c r="B130" s="412">
        <v>1</v>
      </c>
      <c r="C130" s="413"/>
      <c r="D130" s="414" t="s">
        <v>142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93" customFormat="1" ht="24.95" customHeight="1">
      <c r="B131" s="412">
        <v>2</v>
      </c>
      <c r="C131" s="413"/>
      <c r="D131" s="414" t="s">
        <v>143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3</v>
      </c>
      <c r="C132" s="413"/>
      <c r="D132" s="414" t="s">
        <v>144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27" t="s">
        <v>145</v>
      </c>
      <c r="C133" s="428"/>
      <c r="D133" s="428"/>
      <c r="E133" s="428"/>
      <c r="F133" s="428"/>
      <c r="G133" s="428"/>
      <c r="H133" s="428"/>
      <c r="I133" s="428"/>
      <c r="J133" s="428"/>
      <c r="K133" s="428"/>
      <c r="L133" s="428"/>
      <c r="M133" s="428"/>
      <c r="N133" s="429"/>
    </row>
    <row r="134" spans="2:14" s="139" customFormat="1" ht="30" customHeight="1">
      <c r="B134" s="430" t="s">
        <v>146</v>
      </c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2"/>
    </row>
    <row r="135" spans="2:14" s="93" customFormat="1" ht="24.95" customHeight="1">
      <c r="B135" s="412">
        <v>1</v>
      </c>
      <c r="C135" s="413"/>
      <c r="D135" s="414" t="s">
        <v>147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93" customFormat="1" ht="24.95" customHeight="1">
      <c r="B136" s="412">
        <v>2</v>
      </c>
      <c r="C136" s="413"/>
      <c r="D136" s="414" t="s">
        <v>402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93" customFormat="1" ht="24.95" customHeight="1">
      <c r="B137" s="412">
        <v>3</v>
      </c>
      <c r="C137" s="413"/>
      <c r="D137" s="414" t="s">
        <v>148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4</v>
      </c>
      <c r="C138" s="413"/>
      <c r="D138" s="414" t="s">
        <v>149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5</v>
      </c>
      <c r="C139" s="413"/>
      <c r="D139" s="414" t="s">
        <v>150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6</v>
      </c>
      <c r="C140" s="413"/>
      <c r="D140" s="414" t="s">
        <v>151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140" customFormat="1" ht="30" customHeight="1">
      <c r="B141" s="427" t="s">
        <v>152</v>
      </c>
      <c r="C141" s="428"/>
      <c r="D141" s="428"/>
      <c r="E141" s="428"/>
      <c r="F141" s="428"/>
      <c r="G141" s="428"/>
      <c r="H141" s="428"/>
      <c r="I141" s="428"/>
      <c r="J141" s="428"/>
      <c r="K141" s="428"/>
      <c r="L141" s="428"/>
      <c r="M141" s="428"/>
      <c r="N141" s="429"/>
    </row>
    <row r="142" spans="2:14" s="93" customFormat="1" ht="24.95" customHeight="1">
      <c r="B142" s="412">
        <v>1</v>
      </c>
      <c r="C142" s="413"/>
      <c r="D142" s="414" t="s">
        <v>153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93" customFormat="1" ht="135" customHeight="1">
      <c r="B143" s="412">
        <v>2</v>
      </c>
      <c r="C143" s="413"/>
      <c r="D143" s="441" t="s">
        <v>154</v>
      </c>
      <c r="E143" s="442"/>
      <c r="F143" s="442"/>
      <c r="G143" s="442"/>
      <c r="H143" s="442"/>
      <c r="I143" s="442"/>
      <c r="J143" s="442"/>
      <c r="K143" s="442"/>
      <c r="L143" s="442"/>
      <c r="M143" s="442"/>
      <c r="N143" s="443"/>
    </row>
    <row r="144" spans="2:14" s="93" customFormat="1" ht="24.95" customHeight="1">
      <c r="B144" s="412">
        <v>3</v>
      </c>
      <c r="C144" s="413"/>
      <c r="D144" s="414" t="s">
        <v>155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93" customFormat="1" ht="24.95" customHeight="1">
      <c r="B145" s="412">
        <v>4</v>
      </c>
      <c r="C145" s="413"/>
      <c r="D145" s="414" t="s">
        <v>156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140" customFormat="1" ht="30" customHeight="1">
      <c r="B146" s="427" t="s">
        <v>157</v>
      </c>
      <c r="C146" s="428"/>
      <c r="D146" s="428"/>
      <c r="E146" s="428"/>
      <c r="F146" s="428"/>
      <c r="G146" s="428"/>
      <c r="H146" s="428"/>
      <c r="I146" s="428"/>
      <c r="J146" s="428"/>
      <c r="K146" s="428"/>
      <c r="L146" s="428"/>
      <c r="M146" s="428"/>
      <c r="N146" s="429"/>
    </row>
    <row r="147" spans="2:14" s="93" customFormat="1" ht="24.95" customHeight="1">
      <c r="B147" s="412">
        <v>1</v>
      </c>
      <c r="C147" s="413"/>
      <c r="D147" s="414" t="s">
        <v>158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93" customFormat="1" ht="55.9" customHeight="1">
      <c r="B148" s="412">
        <v>2</v>
      </c>
      <c r="C148" s="413"/>
      <c r="D148" s="441" t="s">
        <v>159</v>
      </c>
      <c r="E148" s="442"/>
      <c r="F148" s="442"/>
      <c r="G148" s="442"/>
      <c r="H148" s="442"/>
      <c r="I148" s="442"/>
      <c r="J148" s="442"/>
      <c r="K148" s="442"/>
      <c r="L148" s="442"/>
      <c r="M148" s="442"/>
      <c r="N148" s="443"/>
    </row>
    <row r="149" spans="2:14" s="140" customFormat="1" ht="30" customHeight="1">
      <c r="B149" s="427" t="s">
        <v>160</v>
      </c>
      <c r="C149" s="428"/>
      <c r="D149" s="428"/>
      <c r="E149" s="428"/>
      <c r="F149" s="428"/>
      <c r="G149" s="428"/>
      <c r="H149" s="428"/>
      <c r="I149" s="428"/>
      <c r="J149" s="428"/>
      <c r="K149" s="428"/>
      <c r="L149" s="428"/>
      <c r="M149" s="428"/>
      <c r="N149" s="429"/>
    </row>
    <row r="150" spans="2:14" s="93" customFormat="1" ht="24.95" customHeight="1">
      <c r="B150" s="412">
        <v>1</v>
      </c>
      <c r="C150" s="413"/>
      <c r="D150" s="439" t="s">
        <v>161</v>
      </c>
      <c r="E150" s="439"/>
      <c r="F150" s="439"/>
      <c r="G150" s="439"/>
      <c r="H150" s="439"/>
      <c r="I150" s="439"/>
      <c r="J150" s="439"/>
      <c r="K150" s="439"/>
      <c r="L150" s="439"/>
      <c r="M150" s="439"/>
      <c r="N150" s="440"/>
    </row>
    <row r="151" spans="2:14" s="93" customFormat="1" ht="24.95" customHeight="1">
      <c r="B151" s="412">
        <v>2</v>
      </c>
      <c r="C151" s="413"/>
      <c r="D151" s="439" t="s">
        <v>162</v>
      </c>
      <c r="E151" s="439"/>
      <c r="F151" s="439"/>
      <c r="G151" s="439"/>
      <c r="H151" s="439"/>
      <c r="I151" s="439"/>
      <c r="J151" s="439"/>
      <c r="K151" s="439"/>
      <c r="L151" s="439"/>
      <c r="M151" s="439"/>
      <c r="N151" s="440"/>
    </row>
    <row r="152" spans="2:14" s="93" customFormat="1" ht="49.9" customHeight="1">
      <c r="B152" s="412">
        <v>3</v>
      </c>
      <c r="C152" s="413"/>
      <c r="D152" s="436" t="s">
        <v>163</v>
      </c>
      <c r="E152" s="437"/>
      <c r="F152" s="437"/>
      <c r="G152" s="437"/>
      <c r="H152" s="437"/>
      <c r="I152" s="437"/>
      <c r="J152" s="437"/>
      <c r="K152" s="437"/>
      <c r="L152" s="437"/>
      <c r="M152" s="437"/>
      <c r="N152" s="438"/>
    </row>
    <row r="153" spans="2:14" s="93" customFormat="1" ht="24.95" customHeight="1">
      <c r="B153" s="412">
        <v>4</v>
      </c>
      <c r="C153" s="413"/>
      <c r="D153" s="439" t="s">
        <v>164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</row>
    <row r="154" spans="2:14" s="140" customFormat="1" ht="30" customHeight="1">
      <c r="B154" s="427" t="s">
        <v>165</v>
      </c>
      <c r="C154" s="428"/>
      <c r="D154" s="428"/>
      <c r="E154" s="428"/>
      <c r="F154" s="428"/>
      <c r="G154" s="428"/>
      <c r="H154" s="428"/>
      <c r="I154" s="428"/>
      <c r="J154" s="428"/>
      <c r="K154" s="428"/>
      <c r="L154" s="428"/>
      <c r="M154" s="428"/>
      <c r="N154" s="429"/>
    </row>
    <row r="155" spans="2:14" s="93" customFormat="1" ht="24.95" customHeight="1">
      <c r="B155" s="412">
        <v>1</v>
      </c>
      <c r="C155" s="413"/>
      <c r="D155" s="439" t="s">
        <v>166</v>
      </c>
      <c r="E155" s="439"/>
      <c r="F155" s="439"/>
      <c r="G155" s="439"/>
      <c r="H155" s="439"/>
      <c r="I155" s="439"/>
      <c r="J155" s="439"/>
      <c r="K155" s="439"/>
      <c r="L155" s="439"/>
      <c r="M155" s="439"/>
      <c r="N155" s="440"/>
    </row>
    <row r="156" spans="2:14" s="93" customFormat="1" ht="24.95" customHeight="1">
      <c r="B156" s="412">
        <v>2</v>
      </c>
      <c r="C156" s="413"/>
      <c r="D156" s="439" t="s">
        <v>167</v>
      </c>
      <c r="E156" s="439"/>
      <c r="F156" s="439"/>
      <c r="G156" s="439"/>
      <c r="H156" s="439"/>
      <c r="I156" s="439"/>
      <c r="J156" s="439"/>
      <c r="K156" s="439"/>
      <c r="L156" s="439"/>
      <c r="M156" s="439"/>
      <c r="N156" s="440"/>
    </row>
    <row r="157" spans="2:14" s="93" customFormat="1" ht="24.95" customHeight="1">
      <c r="B157" s="412">
        <v>3</v>
      </c>
      <c r="C157" s="413"/>
      <c r="D157" s="439" t="s">
        <v>168</v>
      </c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12">
        <v>4</v>
      </c>
      <c r="C158" s="413"/>
      <c r="D158" s="439" t="s">
        <v>401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24.95" customHeight="1">
      <c r="B159" s="433" t="s">
        <v>240</v>
      </c>
      <c r="C159" s="434"/>
      <c r="D159" s="434"/>
      <c r="E159" s="434"/>
      <c r="F159" s="434"/>
      <c r="G159" s="434"/>
      <c r="H159" s="434"/>
      <c r="I159" s="434"/>
      <c r="J159" s="434"/>
      <c r="K159" s="434"/>
      <c r="L159" s="434"/>
      <c r="M159" s="434"/>
      <c r="N159" s="435"/>
    </row>
    <row r="160" spans="2:14" s="93" customFormat="1" ht="24.95" customHeight="1">
      <c r="B160" s="433" t="s">
        <v>241</v>
      </c>
      <c r="C160" s="434"/>
      <c r="D160" s="434"/>
      <c r="E160" s="434"/>
      <c r="F160" s="434"/>
      <c r="G160" s="434"/>
      <c r="H160" s="434"/>
      <c r="I160" s="434"/>
      <c r="J160" s="434"/>
      <c r="K160" s="434"/>
      <c r="L160" s="434"/>
      <c r="M160" s="434"/>
      <c r="N160" s="435"/>
    </row>
    <row r="161" spans="2:14" s="93" customFormat="1" ht="41.25" customHeight="1">
      <c r="B161" s="459"/>
      <c r="C161" s="460"/>
      <c r="D161" s="460"/>
      <c r="E161" s="460"/>
      <c r="F161" s="460"/>
      <c r="G161" s="460"/>
      <c r="H161" s="460"/>
      <c r="I161" s="460"/>
      <c r="J161" s="460"/>
      <c r="K161" s="460"/>
      <c r="L161" s="460"/>
      <c r="M161" s="460"/>
      <c r="N161" s="461"/>
    </row>
    <row r="162" spans="2:14" s="93" customFormat="1" ht="39.950000000000003" customHeight="1">
      <c r="B162" s="462"/>
      <c r="C162" s="463"/>
      <c r="D162" s="463"/>
      <c r="E162" s="463"/>
      <c r="F162" s="463"/>
      <c r="G162" s="463"/>
      <c r="H162" s="463"/>
      <c r="I162" s="463"/>
      <c r="J162" s="463"/>
      <c r="K162" s="463"/>
      <c r="L162" s="463"/>
      <c r="M162" s="463"/>
      <c r="N162" s="464"/>
    </row>
    <row r="163" spans="2:14" s="93" customFormat="1" ht="41.25" customHeigh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39.950000000000003" customHeight="1" thickBot="1">
      <c r="B164" s="465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</row>
    <row r="165" spans="2:14" s="93" customFormat="1" ht="30" customHeight="1" thickTop="1">
      <c r="B165" s="449" t="s">
        <v>110</v>
      </c>
      <c r="C165" s="450"/>
      <c r="D165" s="450"/>
      <c r="E165" s="453"/>
      <c r="F165" s="454"/>
      <c r="G165" s="454"/>
      <c r="H165" s="454"/>
      <c r="I165" s="454"/>
      <c r="J165" s="454"/>
      <c r="K165" s="454"/>
      <c r="L165" s="455"/>
      <c r="M165" s="450" t="s">
        <v>205</v>
      </c>
      <c r="N165" s="451"/>
    </row>
    <row r="166" spans="2:14" s="93" customFormat="1" ht="33" customHeight="1" thickBot="1">
      <c r="B166" s="452" t="s">
        <v>107</v>
      </c>
      <c r="C166" s="447"/>
      <c r="D166" s="447"/>
      <c r="E166" s="456"/>
      <c r="F166" s="457"/>
      <c r="G166" s="457"/>
      <c r="H166" s="457"/>
      <c r="I166" s="457"/>
      <c r="J166" s="457"/>
      <c r="K166" s="457"/>
      <c r="L166" s="458"/>
      <c r="M166" s="447" t="s">
        <v>108</v>
      </c>
      <c r="N166" s="448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35:C35"/>
    <mergeCell ref="B36:C36"/>
    <mergeCell ref="B37:C37"/>
    <mergeCell ref="B38:C38"/>
    <mergeCell ref="B39:C39"/>
    <mergeCell ref="B40:C40"/>
    <mergeCell ref="B41:C41"/>
    <mergeCell ref="D131:N131"/>
    <mergeCell ref="D155:N155"/>
    <mergeCell ref="B155:C155"/>
    <mergeCell ref="B129:N129"/>
    <mergeCell ref="B126:N126"/>
    <mergeCell ref="B135:C135"/>
    <mergeCell ref="D135:N135"/>
    <mergeCell ref="B136:C136"/>
    <mergeCell ref="D136:N136"/>
    <mergeCell ref="B77:C77"/>
    <mergeCell ref="B78:C78"/>
    <mergeCell ref="B48:C48"/>
    <mergeCell ref="B49:C49"/>
    <mergeCell ref="B50:C50"/>
    <mergeCell ref="B51:C51"/>
    <mergeCell ref="B52:C52"/>
    <mergeCell ref="B53:C53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D143:N143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2:C42"/>
    <mergeCell ref="B131:C131"/>
    <mergeCell ref="B43:C43"/>
    <mergeCell ref="B44:C44"/>
    <mergeCell ref="B45:C45"/>
    <mergeCell ref="B46:C46"/>
    <mergeCell ref="B47:C47"/>
    <mergeCell ref="B75:C75"/>
    <mergeCell ref="B76:C76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43686</v>
      </c>
      <c r="F2" s="516" t="s">
        <v>245</v>
      </c>
      <c r="G2" s="516"/>
    </row>
    <row r="3" spans="3:13">
      <c r="C3" s="297" t="s">
        <v>126</v>
      </c>
      <c r="D3" s="517" t="str">
        <f>QUOTATION!F7</f>
        <v>Eterna PS Group Reality Limited</v>
      </c>
      <c r="E3" s="517"/>
      <c r="F3" s="520" t="s">
        <v>246</v>
      </c>
      <c r="G3" s="521">
        <f>QUOTATION!N8</f>
        <v>43686</v>
      </c>
    </row>
    <row r="4" spans="3:13">
      <c r="C4" s="297" t="s">
        <v>243</v>
      </c>
      <c r="D4" s="518" t="str">
        <f>QUOTATION!M6</f>
        <v>ABPL-DE-19.20-2151-OP-2</v>
      </c>
      <c r="E4" s="518"/>
      <c r="F4" s="520"/>
      <c r="G4" s="522"/>
    </row>
    <row r="5" spans="3:13">
      <c r="C5" s="297" t="s">
        <v>127</v>
      </c>
      <c r="D5" s="517" t="str">
        <f>QUOTATION!F8</f>
        <v>Chennai</v>
      </c>
      <c r="E5" s="517"/>
      <c r="F5" s="520"/>
      <c r="G5" s="522"/>
    </row>
    <row r="6" spans="3:13">
      <c r="C6" s="297" t="s">
        <v>169</v>
      </c>
      <c r="D6" s="517" t="str">
        <f>QUOTATION!F9</f>
        <v>Mr. Raju Savasi : 9840355091</v>
      </c>
      <c r="E6" s="517"/>
      <c r="F6" s="520"/>
      <c r="G6" s="522"/>
    </row>
    <row r="7" spans="3:13">
      <c r="C7" s="297" t="s">
        <v>376</v>
      </c>
      <c r="D7" s="517">
        <f>QUOTATION!M10</f>
        <v>0</v>
      </c>
      <c r="E7" s="517"/>
      <c r="F7" s="520"/>
      <c r="G7" s="522"/>
    </row>
    <row r="8" spans="3:13">
      <c r="C8" s="297" t="s">
        <v>177</v>
      </c>
      <c r="D8" s="517" t="str">
        <f>QUOTATION!F10</f>
        <v>Powder Coating</v>
      </c>
      <c r="E8" s="517"/>
      <c r="F8" s="520"/>
      <c r="G8" s="522"/>
    </row>
    <row r="9" spans="3:13">
      <c r="C9" s="297" t="s">
        <v>178</v>
      </c>
      <c r="D9" s="517" t="str">
        <f>QUOTATION!I10</f>
        <v>White</v>
      </c>
      <c r="E9" s="517"/>
      <c r="F9" s="520"/>
      <c r="G9" s="522"/>
    </row>
    <row r="10" spans="3:13">
      <c r="C10" s="297" t="s">
        <v>180</v>
      </c>
      <c r="D10" s="517" t="str">
        <f>QUOTATION!I8</f>
        <v>1.7Kpa</v>
      </c>
      <c r="E10" s="517"/>
      <c r="F10" s="520"/>
      <c r="G10" s="522"/>
    </row>
    <row r="11" spans="3:13">
      <c r="C11" s="297" t="s">
        <v>242</v>
      </c>
      <c r="D11" s="517" t="str">
        <f>QUOTATION!M9</f>
        <v>Bal Kumari</v>
      </c>
      <c r="E11" s="517"/>
      <c r="F11" s="520"/>
      <c r="G11" s="522"/>
    </row>
    <row r="12" spans="3:13">
      <c r="C12" s="297" t="s">
        <v>244</v>
      </c>
      <c r="D12" s="519">
        <f>QUOTATION!M7</f>
        <v>43686</v>
      </c>
      <c r="E12" s="519"/>
      <c r="F12" s="520"/>
      <c r="G12" s="523"/>
    </row>
    <row r="13" spans="3:13">
      <c r="C13" s="193" t="s">
        <v>236</v>
      </c>
      <c r="D13" s="512" t="s">
        <v>232</v>
      </c>
      <c r="E13" s="513"/>
      <c r="F13" s="514" t="s">
        <v>233</v>
      </c>
      <c r="G13" s="515"/>
    </row>
    <row r="14" spans="3:13">
      <c r="C14" s="194" t="s">
        <v>234</v>
      </c>
      <c r="D14" s="296"/>
      <c r="E14" s="244">
        <f>Pricing!L104</f>
        <v>7994.4000000000015</v>
      </c>
      <c r="F14" s="205"/>
      <c r="G14" s="206">
        <f>E14</f>
        <v>7994.4000000000015</v>
      </c>
    </row>
    <row r="15" spans="3:13">
      <c r="C15" s="194" t="s">
        <v>235</v>
      </c>
      <c r="D15" s="296">
        <f>'Changable Values'!D4</f>
        <v>83</v>
      </c>
      <c r="E15" s="199">
        <f>E14*D15</f>
        <v>663535.20000000007</v>
      </c>
      <c r="F15" s="205"/>
      <c r="G15" s="207">
        <f>E15</f>
        <v>663535.20000000007</v>
      </c>
    </row>
    <row r="16" spans="3:13">
      <c r="C16" s="195" t="s">
        <v>97</v>
      </c>
      <c r="D16" s="200">
        <f>'Changable Values'!D5</f>
        <v>0.1</v>
      </c>
      <c r="E16" s="199">
        <f>E15*D16</f>
        <v>66353.52</v>
      </c>
      <c r="F16" s="208">
        <f>'Changable Values'!D5</f>
        <v>0.1</v>
      </c>
      <c r="G16" s="207">
        <f>G15*F16</f>
        <v>66353.52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80287.759200000015</v>
      </c>
      <c r="F17" s="208">
        <f>'Changable Values'!D6</f>
        <v>0.11</v>
      </c>
      <c r="G17" s="207">
        <f>SUM(G15:G16)*F17</f>
        <v>80287.759200000015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4050.8823960000004</v>
      </c>
      <c r="F18" s="208">
        <f>'Changable Values'!D7</f>
        <v>5.0000000000000001E-3</v>
      </c>
      <c r="G18" s="207">
        <f>SUM(G15:G17)*F18</f>
        <v>4050.8823960000004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8142.2736159600008</v>
      </c>
      <c r="F19" s="208">
        <f>'Changable Values'!D8</f>
        <v>0.01</v>
      </c>
      <c r="G19" s="207">
        <f>SUM(G15:G18)*F19</f>
        <v>8142.2736159600008</v>
      </c>
    </row>
    <row r="20" spans="3:7">
      <c r="C20" s="195" t="s">
        <v>99</v>
      </c>
      <c r="D20" s="201"/>
      <c r="E20" s="199">
        <f>SUM(E15:E19)</f>
        <v>822369.63521196006</v>
      </c>
      <c r="F20" s="208"/>
      <c r="G20" s="207">
        <f>SUM(G15:G19)</f>
        <v>822369.63521196006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12335.5445281794</v>
      </c>
      <c r="F21" s="208">
        <f>'Changable Values'!D9</f>
        <v>1.4999999999999999E-2</v>
      </c>
      <c r="G21" s="207">
        <f>G20*F21</f>
        <v>12335.5445281794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130293.27940000001</v>
      </c>
      <c r="F23" s="209"/>
      <c r="G23" s="207">
        <f t="shared" si="0"/>
        <v>130293.27940000001</v>
      </c>
    </row>
    <row r="24" spans="3:7">
      <c r="C24" s="195" t="s">
        <v>230</v>
      </c>
      <c r="D24" s="198"/>
      <c r="E24" s="199">
        <f>'Cost Calculation'!AH111</f>
        <v>54649.42819672131</v>
      </c>
      <c r="F24" s="209"/>
      <c r="G24" s="207">
        <f t="shared" si="0"/>
        <v>54649.42819672131</v>
      </c>
    </row>
    <row r="25" spans="3:7">
      <c r="C25" s="196" t="s">
        <v>238</v>
      </c>
      <c r="D25" s="198"/>
      <c r="E25" s="199">
        <f>'Cost Calculation'!AJ109</f>
        <v>44622.807839999994</v>
      </c>
      <c r="F25" s="209"/>
      <c r="G25" s="207">
        <f t="shared" si="0"/>
        <v>44622.807839999994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106087.50827999999</v>
      </c>
      <c r="F27" s="209"/>
      <c r="G27" s="207">
        <f t="shared" si="0"/>
        <v>106087.50827999999</v>
      </c>
    </row>
    <row r="28" spans="3:7">
      <c r="C28" s="195" t="s">
        <v>88</v>
      </c>
      <c r="D28" s="198"/>
      <c r="E28" s="199">
        <f>'Cost Calculation'!AN109</f>
        <v>84870.006623999972</v>
      </c>
      <c r="F28" s="209"/>
      <c r="G28" s="207">
        <f t="shared" si="0"/>
        <v>84870.006623999972</v>
      </c>
    </row>
    <row r="29" spans="3:7">
      <c r="C29" s="293" t="s">
        <v>379</v>
      </c>
      <c r="D29" s="294"/>
      <c r="E29" s="295">
        <f>SUM(E20:E28)</f>
        <v>1255228.2100808606</v>
      </c>
      <c r="F29" s="209"/>
      <c r="G29" s="207">
        <f>SUM(G20:G21,G24)</f>
        <v>889354.60793686088</v>
      </c>
    </row>
    <row r="30" spans="3:7">
      <c r="C30" s="293" t="s">
        <v>380</v>
      </c>
      <c r="D30" s="294"/>
      <c r="E30" s="295">
        <f>E29/E33</f>
        <v>1183.2007655113348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1111693.2599210758</v>
      </c>
      <c r="F31" s="214">
        <f>'Changable Values'!D23</f>
        <v>1.25</v>
      </c>
      <c r="G31" s="207">
        <f>G29*F31</f>
        <v>1111693.259921076</v>
      </c>
    </row>
    <row r="32" spans="3:7">
      <c r="C32" s="290" t="s">
        <v>5</v>
      </c>
      <c r="D32" s="291"/>
      <c r="E32" s="292">
        <f>E31+E29</f>
        <v>2366921.4700019364</v>
      </c>
      <c r="F32" s="205"/>
      <c r="G32" s="207">
        <f>SUM(G25:G31,G22:G23)</f>
        <v>2366921.4700019364</v>
      </c>
    </row>
    <row r="33" spans="3:7">
      <c r="C33" s="300" t="s">
        <v>231</v>
      </c>
      <c r="D33" s="301"/>
      <c r="E33" s="308">
        <f>'Cost Calculation'!K109</f>
        <v>1060.8750828</v>
      </c>
      <c r="F33" s="210"/>
      <c r="G33" s="211">
        <f>E33</f>
        <v>1060.8750828</v>
      </c>
    </row>
    <row r="34" spans="3:7">
      <c r="C34" s="302" t="s">
        <v>9</v>
      </c>
      <c r="D34" s="303"/>
      <c r="E34" s="304">
        <f>QUOTATION!L116</f>
        <v>65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2231.1028964454972</v>
      </c>
      <c r="F35" s="212"/>
      <c r="G35" s="213">
        <f>G32/(G33)</f>
        <v>2231.1028964454972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2019-08-09T09:08:02Z</cp:lastPrinted>
  <dcterms:created xsi:type="dcterms:W3CDTF">2010-12-18T06:34:46Z</dcterms:created>
  <dcterms:modified xsi:type="dcterms:W3CDTF">2019-08-13T08:53:20Z</dcterms:modified>
</cp:coreProperties>
</file>