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5" i="160" l="1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<sst xmlns="http://schemas.openxmlformats.org/spreadsheetml/2006/main" count="1929" uniqueCount="437">
  <si>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</si>
  <si>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</si>
  <si>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</si>
  <si>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</si>
  <si>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</si>
  <si>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</si>
  <si>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</si>
  <si>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</si>
  <si>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</si>
  <si>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</si>
  <si>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</si>
  <si>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</si>
  <si>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</si>
  <si>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</si>
  <si>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</si>
  <si>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</si>
  <si>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</si>
  <si>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</si>
  <si>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</si>
  <si>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</si>
  <si>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</si>
  <si>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</si>
  <si>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</si>
  <si>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</si>
  <si>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</si>
  <si>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</si>
  <si>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</si>
  <si>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</si>
  <si>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</si>
  <si>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</si>
  <si>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</si>
  <si>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</si>
  <si>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</si>
  <si>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</si>
  <si>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</si>
  <si>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</si>
  <si>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</si>
  <si>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</si>
  <si>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</si>
  <si>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</si>
  <si>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</si>
  <si>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</si>
  <si>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</si>
  <si>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</si>
  <si>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</si>
  <si>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</si>
  <si>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</si>
  <si>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</si>
  <si>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</si>
  <si>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</si>
  <si>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</si>
  <si>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</si>
  <si>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</si>
  <si>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</si>
  <si>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</si>
  <si>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</si>
  <si>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</si>
  <si>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</si>
  <si>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</si>
  <si>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</si>
  <si>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</si>
  <si>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</si>
  <si>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</si>
  <si>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</si>
  <si>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</si>
  <si>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</si>
  <si>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</si>
  <si>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</si>
  <si>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</si>
  <si>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</si>
  <si>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</si>
  <si>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</si>
  <si>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</si>
  <si>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</si>
  <si>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</si>
  <si>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</si>
  <si>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</si>
  <si>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</si>
  <si>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</si>
  <si>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</si>
  <si>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</si>
  <si>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</si>
  <si>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</si>
  <si>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</si>
  <si>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</si>
  <si>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</si>
  <si>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</si>
  <si>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</si>
  <si>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</si>
  <si>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</si>
  <si>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</si>
  <si>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</si>
  <si>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</si>
  <si>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</si>
  <si>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</si>
  <si>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</si>
  <si>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</si>
  <si>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</si>
  <si>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</si>
  <si>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</si>
  <si>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</si>
  <si>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</si>
  <si>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</si>
  <si>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</si>
  <si>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</si>
  <si>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</si>
  <si>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</si>
  <si>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</si>
  <si>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</si>
  <si>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</si>
  <si>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</si>
  <si>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</si>
  <si>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</si>
  <si>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</si>
  <si>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</si>
  <si>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</si>
  <si>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</si>
  <si>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</si>
  <si>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</si>
  <si>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</si>
  <si>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</si>
  <si>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</si>
  <si>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</si>
  <si>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</si>
  <si>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</si>
  <si>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</si>
  <si>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</si>
  <si>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</si>
  <si>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</si>
  <si>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</si>
  <si>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</si>
  <si>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</si>
  <si>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</si>
  <si>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</si>
  <si>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</si>
  <si>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</si>
  <si>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</si>
  <si>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</si>
  <si>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</si>
  <si>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</si>
  <si>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</si>
  <si>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</si>
  <si>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</si>
  <si>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</si>
  <si>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</si>
  <si>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</si>
  <si>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</si>
  <si>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</si>
  <si>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</si>
  <si>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</si>
  <si>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</si>
  <si>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</si>
  <si>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</si>
  <si>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</si>
  <si>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</si>
  <si>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</si>
  <si>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</si>
  <si>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</si>
  <si>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</si>
  <si>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</si>
  <si>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</si>
  <si>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</si>
  <si>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</si>
  <si>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</si>
  <si>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</si>
  <si>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</si>
  <si>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</si>
  <si>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</si>
  <si>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</si>
  <si>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</si>
  <si>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</si>
  <si>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</si>
  <si>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</si>
  <si>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</si>
  <si>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</si>
  <si>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</si>
  <si>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</si>
  <si>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</si>
  <si>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</si>
  <si>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</si>
  <si>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</si>
  <si>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</si>
  <si>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</si>
  <si>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</si>
  <si>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</si>
  <si>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</si>
  <si>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</si>
  <si>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</si>
  <si>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</si>
  <si>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</si>
  <si>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</si>
  <si>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</si>
  <si>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</si>
  <si>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</si>
  <si>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</si>
  <si>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</si>
  <si>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</si>
  <si>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</si>
  <si>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</si>
  <si>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</si>
  <si>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</si>
  <si>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</si>
  <si>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</si>
  <si>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</si>
  <si>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</si>
  <si>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</si>
  <si>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</si>
  <si>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</si>
  <si>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</si>
  <si>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</si>
  <si>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</si>
  <si>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</si>
  <si>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</si>
  <si>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</si>
  <si>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</si>
  <si>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</si>
  <si>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</si>
  <si>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</si>
  <si>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</si>
  <si>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</si>
  <si>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</si>
  <si>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</si>
  <si>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</si>
  <si>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</si>
  <si>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</si>
  <si>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</si>
  <si>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</si>
  <si>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</si>
  <si>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</si>
  <si>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</si>
  <si>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</si>
  <si>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</si>
  <si>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</si>
  <si>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</si>
  <si>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</si>
  <si>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</si>
  <si>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</si>
  <si>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</si>
  <si>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</si>
  <si>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</si>
  <si>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</si>
  <si>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</si>
  <si>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</si>
  <si>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</si>
  <si>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</si>
  <si>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</si>
  <si>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</si>
  <si>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</si>
  <si>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</si>
  <si>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</si>
  <si>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</si>
  <si>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</si>
  <si>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</si>
  <si>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</si>
  <si>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</si>
  <si>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</si>
  <si>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</si>
  <si>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</si>
  <si>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</si>
  <si>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</si>
  <si>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</si>
  <si>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</si>
  <si>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</si>
  <si>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</si>
  <si>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</si>
  <si>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</si>
  <si>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</si>
  <si>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</si>
  <si>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</si>
  <si>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</si>
  <si>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</si>
  <si>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</si>
  <si>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</si>
  <si>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</si>
  <si>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</si>
  <si>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</si>
  <si>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</si>
  <si>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</si>
  <si>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</si>
  <si>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</si>
  <si>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</si>
  <si>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</si>
  <si>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</si>
  <si>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</si>
  <si>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</si>
  <si>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</si>
  <si>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</si>
  <si>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</si>
  <si>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</si>
  <si>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</si>
  <si>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</si>
  <si>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</si>
  <si>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</si>
  <si>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</si>
  <si>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</si>
  <si>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</si>
  <si>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</si>
  <si>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</si>
  <si>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</si>
  <si>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</si>
  <si>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</si>
  <si>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</si>
  <si>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</si>
  <si>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</si>
  <si>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</si>
  <si>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</si>
  <si>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</si>
  <si>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</si>
  <si>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</si>
  <si>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</si>
  <si>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</si>
  <si>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</si>
  <si>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</si>
  <si>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</si>
  <si>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</si>
  <si>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</si>
  <si>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</si>
  <si>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</si>
  <si>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</si>
  <si>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</si>
  <si>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</si>
  <si>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</si>
  <si>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</si>
  <si>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</si>
  <si>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</si>
  <si>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</si>
  <si>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</si>
  <si>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</si>
  <si>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</si>
  <si>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</si>
  <si>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</si>
  <si>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</si>
  <si>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</si>
  <si>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</si>
  <si>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</si>
  <si>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</si>
  <si>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</si>
  <si>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</si>
  <si>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</si>
  <si>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</si>
  <si>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</si>
  <si>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</si>
  <si>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</si>
  <si>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</si>
  <si>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</si>
  <si>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</si>
  <si>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</si>
  <si>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</si>
  <si>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</si>
  <si>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</si>
  <si>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</si>
  <si>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</si>
  <si>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</si>
  <si>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</si>
  <si>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</si>
  <si>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</si>
  <si>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</si>
  <si>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</si>
  <si>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</si>
  <si>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</si>
  <si>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</si>
  <si>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</si>
  <si>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</si>
  <si>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</si>
  <si>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</si>
  <si>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</si>
  <si>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</si>
  <si>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</si>
  <si>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</si>
  <si>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</si>
  <si>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</si>
  <si>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</si>
  <si>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</si>
  <si>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</si>
  <si>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</si>
  <si>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</si>
  <si>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</si>
  <si>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</si>
  <si>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</si>
  <si>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</si>
  <si>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</si>
  <si>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</si>
  <si>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</si>
  <si>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</si>
  <si>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</si>
  <si>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</si>
  <si>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</si>
  <si>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</si>
  <si>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</si>
  <si>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</si>
  <si>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</si>
  <si>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</si>
  <si>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</si>
  <si>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</si>
  <si>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</si>
  <si>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</si>
  <si>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</si>
  <si>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</si>
  <si>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</si>
  <si>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</si>
  <si>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</si>
  <si>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</si>
  <si>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</si>
  <si>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</si>
  <si>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</si>
  <si>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</si>
  <si>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</si>
  <si>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</si>
  <si>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</si>
  <si>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</si>
  <si>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</si>
  <si>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</si>
  <si>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</si>
  <si>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</si>
  <si>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</si>
  <si>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</si>
  <si>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</si>
  <si>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</si>
  <si>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</si>
  <si>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</si>
  <si>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Hyderabad</t>
  </si>
  <si>
    <t>Anodized</t>
  </si>
  <si>
    <t>2.25Kpa</t>
  </si>
  <si>
    <t>ABPL-DE-19.20-2152</t>
  </si>
  <si>
    <t>M15000 &amp; M14600</t>
  </si>
  <si>
    <t>W1</t>
  </si>
  <si>
    <t>3 TRACK 2 SHUTTER SLIDING DOOR WITH CENTER FIXED</t>
  </si>
  <si>
    <t>17.52MM</t>
  </si>
  <si>
    <t>NO</t>
  </si>
  <si>
    <t>HOME THEATER</t>
  </si>
  <si>
    <t>W2</t>
  </si>
  <si>
    <t>M15000</t>
  </si>
  <si>
    <t>FIXED GLASS 3 NO'S</t>
  </si>
  <si>
    <t>BEDROOM</t>
  </si>
  <si>
    <t>17.52mm :- 8mm Clear Toughened Glass + 1.52mm Clear PVB + 8mm Clear Toughened Glass</t>
  </si>
  <si>
    <t>Lifting charges are extra as actuals.</t>
  </si>
  <si>
    <t>Sridhar Reddy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</si>
</sst>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513520</xdr:colOff>
      <xdr:row>19</xdr:row>
      <xdr:rowOff>99391</xdr:rowOff>
    </xdr:from>
    <xdr:to>
      <xdr:col>8</xdr:col>
      <xdr:colOff>82824</xdr:colOff>
      <xdr:row>27</xdr:row>
      <xdr:rowOff>206050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1" y="4886739"/>
          <a:ext cx="2898913" cy="2624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447261</xdr:colOff>
      <xdr:row>8</xdr:row>
      <xdr:rowOff>115957</xdr:rowOff>
    </xdr:from>
    <xdr:to>
      <xdr:col>10</xdr:col>
      <xdr:colOff>412745</xdr:colOff>
      <xdr:row>16</xdr:row>
      <xdr:rowOff>207067</xdr:rowOff>
    </xdr:to>
    <xdr:grpSp>
      <xdr:nvGrpSpPr>
        <xdr:cNvPr id="6" name="Group 5"/>
        <xdr:cNvGrpSpPr/>
      </xdr:nvGrpSpPr>
      <xdr:grpSpPr>
        <a:xfrm>
          <a:off x="1623391" y="1590261"/>
          <a:ext cx="5647354" cy="2609023"/>
          <a:chOff x="1623391" y="1557129"/>
          <a:chExt cx="5647354" cy="2609023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23391" y="1557129"/>
            <a:ext cx="5647354" cy="26090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 descr="Screen Clippi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63108" y="2915478"/>
            <a:ext cx="571580" cy="371527"/>
          </a:xfrm>
          <a:prstGeom prst="rect">
            <a:avLst/>
          </a:prstGeom>
        </xdr:spPr>
      </xdr:pic>
      <xdr:pic>
        <xdr:nvPicPr>
          <xdr:cNvPr id="5" name="Picture 4" descr="Screen Clippi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4652" y="2882346"/>
            <a:ext cx="571580" cy="37152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150</v>
      </c>
      <c r="E21" s="175">
        <f>D21*10.764</f>
        <v>1614.6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9" sqref="P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ABPL-DE-19.20-2152</v>
      </c>
      <c r="O2" s="540"/>
      <c r="P2" s="219" t="s">
        <v>257</v>
      </c>
    </row>
    <row r="3" spans="2:16">
      <c r="B3" s="218"/>
      <c r="C3" s="539" t="s">
        <v>126</v>
      </c>
      <c r="D3" s="539"/>
      <c r="E3" s="539"/>
      <c r="F3" s="540" t="str">
        <f>QUOTATION!F7</f>
        <v>Sridhar Reddy Associates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43686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180</v>
      </c>
      <c r="J4" s="541"/>
      <c r="K4" s="540" t="str">
        <f>QUOTATION!I8</f>
        <v>2.25Kpa</v>
      </c>
      <c r="L4" s="540"/>
      <c r="M4" s="284" t="s">
        <v>105</v>
      </c>
      <c r="N4" s="286" t="str">
        <f>QUOTATION!M8</f>
        <v>R0</v>
      </c>
      <c r="O4" s="287">
        <f>QUOTATION!N8</f>
        <v>43686</v>
      </c>
    </row>
    <row r="5" spans="2:16">
      <c r="B5" s="218"/>
      <c r="C5" s="539" t="s">
        <v>169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Mahesh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1" t="s">
        <v>178</v>
      </c>
      <c r="J6" s="541"/>
      <c r="K6" s="540" t="str">
        <f>QUOTATION!I10</f>
        <v>Silver</v>
      </c>
      <c r="L6" s="540"/>
      <c r="M6" s="320" t="s">
        <v>374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W1</v>
      </c>
      <c r="F8" s="288" t="s">
        <v>255</v>
      </c>
      <c r="G8" s="540" t="str">
        <f>'BD Team'!D9</f>
        <v>3 TRACK 2 SHUTTER SLIDING DOOR WITH CENTER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HOME THEATER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5384 X 2820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M15000 &amp; 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17.52MM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W2</v>
      </c>
      <c r="F19" s="288" t="s">
        <v>255</v>
      </c>
      <c r="G19" s="540" t="str">
        <f>'BD Team'!D10</f>
        <v>FIXED GLASS 3 NO'S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BEDROOM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3226 X 2692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17.52MM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>
        <f>'BD Team'!B11</f>
        <v>0</v>
      </c>
      <c r="F30" s="288" t="s">
        <v>255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>
        <f>'BD Team'!G11</f>
        <v>0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0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>
        <f>'BD Team'!F11</f>
        <v>0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>
        <f>'BD Team'!B12</f>
        <v>0</v>
      </c>
      <c r="F41" s="288" t="s">
        <v>255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>
        <f>'BD Team'!B13</f>
        <v>0</v>
      </c>
      <c r="F52" s="288" t="s">
        <v>255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>
        <f>'BD Team'!B14</f>
        <v>0</v>
      </c>
      <c r="F63" s="288" t="s">
        <v>255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>
        <f>'BD Team'!B15</f>
        <v>0</v>
      </c>
      <c r="F74" s="288" t="s">
        <v>255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>
        <f>'BD Team'!B16</f>
        <v>0</v>
      </c>
      <c r="F85" s="288" t="s">
        <v>255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>
        <f>'BD Team'!B17</f>
        <v>0</v>
      </c>
      <c r="F96" s="288" t="s">
        <v>255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>
        <f>'BD Team'!B18</f>
        <v>0</v>
      </c>
      <c r="F107" s="288" t="s">
        <v>255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>
        <f>'BD Team'!B19</f>
        <v>0</v>
      </c>
      <c r="F118" s="288" t="s">
        <v>255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>
        <f>'BD Team'!B20</f>
        <v>0</v>
      </c>
      <c r="F129" s="288" t="s">
        <v>255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>
        <f>'BD Team'!B21</f>
        <v>0</v>
      </c>
      <c r="F140" s="288" t="s">
        <v>255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>
        <f>'BD Team'!B22</f>
        <v>0</v>
      </c>
      <c r="F151" s="288" t="s">
        <v>255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94</v>
      </c>
    </row>
    <row r="5" spans="3:5">
      <c r="C5" s="236" t="s">
        <v>396</v>
      </c>
      <c r="D5" s="236" t="s">
        <v>394</v>
      </c>
      <c r="E5" s="309">
        <f>ROUND(Pricing!U104,0.1)/40</f>
        <v>2.8250000000000002</v>
      </c>
    </row>
    <row r="6" spans="3:5">
      <c r="C6" s="236" t="s">
        <v>83</v>
      </c>
      <c r="D6" s="236" t="s">
        <v>393</v>
      </c>
      <c r="E6" s="309">
        <f>ROUND(Pricing!V104,0.1)</f>
        <v>6</v>
      </c>
    </row>
    <row r="7" spans="3:5">
      <c r="C7" s="236" t="s">
        <v>400</v>
      </c>
      <c r="D7" s="236" t="s">
        <v>392</v>
      </c>
      <c r="E7" s="309">
        <f>ROUND(Pricing!W104,0.1)</f>
        <v>94</v>
      </c>
    </row>
    <row r="8" spans="3:5">
      <c r="C8" s="236" t="s">
        <v>397</v>
      </c>
      <c r="D8" s="236" t="s">
        <v>392</v>
      </c>
      <c r="E8" s="309">
        <f>ROUND(Pricing!X104,0.1)</f>
        <v>188</v>
      </c>
    </row>
    <row r="9" spans="3:5">
      <c r="C9" t="s">
        <v>223</v>
      </c>
      <c r="D9" s="236" t="s">
        <v>395</v>
      </c>
      <c r="E9" s="309">
        <f>ROUND(Pricing!Y104,0.1)</f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D31" sqref="D31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M15000 &amp; M14600</v>
      </c>
      <c r="C2" s="318" t="str">
        <f>'BD Team'!D9</f>
        <v>3 TRACK 2 SHUTTER SLIDING DOOR WITH CENTER FIXED</v>
      </c>
      <c r="D2" s="318" t="str">
        <f>'BD Team'!E9</f>
        <v>17.52MM</v>
      </c>
      <c r="E2" s="318" t="str">
        <f>'BD Team'!G9</f>
        <v>HOME THEATER</v>
      </c>
      <c r="F2" s="318" t="str">
        <f>'BD Team'!F9</f>
        <v>NO</v>
      </c>
      <c r="I2" s="318">
        <f>'BD Team'!H9</f>
        <v>5384</v>
      </c>
      <c r="J2" s="318">
        <f>'BD Team'!I9</f>
        <v>2820</v>
      </c>
      <c r="K2" s="318">
        <f>'BD Team'!J9</f>
        <v>1</v>
      </c>
      <c r="L2" s="319">
        <f>'BD Team'!K9</f>
        <v>1824.29</v>
      </c>
      <c r="M2" s="318">
        <f>Pricing!O4</f>
        <v>6371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3 NO'S</v>
      </c>
      <c r="D3" s="318" t="str">
        <f>'BD Team'!E10</f>
        <v>17.52MM</v>
      </c>
      <c r="E3" s="318" t="str">
        <f>'BD Team'!G10</f>
        <v>BEDROOM</v>
      </c>
      <c r="F3" s="318" t="str">
        <f>'BD Team'!F10</f>
        <v>NO</v>
      </c>
      <c r="I3" s="318">
        <f>'BD Team'!H10</f>
        <v>3226</v>
      </c>
      <c r="J3" s="318">
        <f>'BD Team'!I10</f>
        <v>2692</v>
      </c>
      <c r="K3" s="318">
        <f>'BD Team'!J10</f>
        <v>1</v>
      </c>
      <c r="L3" s="319">
        <f>'BD Team'!K10</f>
        <v>355.5</v>
      </c>
      <c r="M3" s="318">
        <f>Pricing!O5</f>
        <v>6371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15" sqref="E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436</v>
      </c>
      <c r="F2" s="137"/>
      <c r="G2" s="163"/>
      <c r="H2" s="323" t="s">
        <v>185</v>
      </c>
      <c r="I2" s="324"/>
      <c r="J2" s="165" t="s">
        <v>423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420</v>
      </c>
      <c r="F3" s="136" t="s">
        <v>183</v>
      </c>
      <c r="G3" s="162" t="s">
        <v>422</v>
      </c>
      <c r="H3" s="323" t="s">
        <v>186</v>
      </c>
      <c r="I3" s="324"/>
      <c r="J3" s="166">
        <v>43686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417</v>
      </c>
      <c r="F4" s="135"/>
      <c r="G4" s="164"/>
      <c r="H4" s="323" t="s">
        <v>187</v>
      </c>
      <c r="I4" s="324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421</v>
      </c>
      <c r="F5" s="136" t="s">
        <v>184</v>
      </c>
      <c r="G5" s="162" t="s">
        <v>208</v>
      </c>
      <c r="H5" s="323" t="s">
        <v>375</v>
      </c>
      <c r="I5" s="324"/>
      <c r="J5" s="165"/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425</v>
      </c>
      <c r="C9" s="113" t="s">
        <v>424</v>
      </c>
      <c r="D9" s="113" t="s">
        <v>426</v>
      </c>
      <c r="E9" s="113" t="s">
        <v>427</v>
      </c>
      <c r="F9" s="113" t="s">
        <v>428</v>
      </c>
      <c r="G9" s="113" t="s">
        <v>429</v>
      </c>
      <c r="H9" s="113">
        <v>5384</v>
      </c>
      <c r="I9" s="113">
        <v>2820</v>
      </c>
      <c r="J9" s="113">
        <v>1</v>
      </c>
      <c r="K9" s="123">
        <v>1824.29</v>
      </c>
    </row>
    <row r="10" spans="1:13" ht="20.100000000000001" customHeight="1">
      <c r="A10" s="113">
        <v>2</v>
      </c>
      <c r="B10" s="113" t="s">
        <v>430</v>
      </c>
      <c r="C10" s="113" t="s">
        <v>431</v>
      </c>
      <c r="D10" s="113" t="s">
        <v>432</v>
      </c>
      <c r="E10" s="113" t="s">
        <v>427</v>
      </c>
      <c r="F10" s="113" t="s">
        <v>428</v>
      </c>
      <c r="G10" s="113" t="s">
        <v>433</v>
      </c>
      <c r="H10" s="113">
        <v>3226</v>
      </c>
      <c r="I10" s="113">
        <v>2692</v>
      </c>
      <c r="J10" s="113">
        <v>1</v>
      </c>
      <c r="K10" s="123">
        <v>355.5</v>
      </c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 &amp; M14600</v>
      </c>
      <c r="D4" s="118" t="str">
        <f>'BD Team'!D9</f>
        <v>3 TRACK 2 SHUTTER SLIDING DOOR WITH CENTER FIXED</v>
      </c>
      <c r="E4" s="118" t="str">
        <f>'BD Team'!F9</f>
        <v>NO</v>
      </c>
      <c r="F4" s="121" t="str">
        <f>'BD Team'!G9</f>
        <v>HOME THEATER</v>
      </c>
      <c r="G4" s="118">
        <f>'BD Team'!H9</f>
        <v>5384</v>
      </c>
      <c r="H4" s="118">
        <f>'BD Team'!I9</f>
        <v>2820</v>
      </c>
      <c r="I4" s="118">
        <f>'BD Team'!J9</f>
        <v>1</v>
      </c>
      <c r="J4" s="103">
        <f t="shared" ref="J4:J53" si="0">G4*H4*I4*10.764/1000000</f>
        <v>163.42852031999999</v>
      </c>
      <c r="K4" s="172">
        <f>'BD Team'!K9</f>
        <v>1824.29</v>
      </c>
      <c r="L4" s="171">
        <f>K4*I4</f>
        <v>1824.29</v>
      </c>
      <c r="M4" s="170">
        <f>L4*'Changable Values'!$D$4</f>
        <v>151416.07</v>
      </c>
      <c r="N4" s="170" t="str">
        <f>'BD Team'!E9</f>
        <v>17.52MM</v>
      </c>
      <c r="O4" s="172">
        <v>6371</v>
      </c>
      <c r="P4" s="241"/>
      <c r="Q4" s="173"/>
      <c r="R4" s="185"/>
      <c r="S4" s="312"/>
      <c r="T4" s="313">
        <f>(G4+H4)*I4*2/300</f>
        <v>54.693333333333335</v>
      </c>
      <c r="U4" s="313">
        <f>SUM(G4:H4)*I4*2*4/1000</f>
        <v>65.632000000000005</v>
      </c>
      <c r="V4" s="313">
        <f>SUM(G4:H4)*I4*5*5*4/(1000*240)</f>
        <v>3.4183333333333334</v>
      </c>
      <c r="W4" s="313">
        <f>T4</f>
        <v>54.693333333333335</v>
      </c>
      <c r="X4" s="313">
        <f>W4*2</f>
        <v>109.38666666666667</v>
      </c>
      <c r="Y4" s="313">
        <f>SUM(G4:H4)*I4*4/1000</f>
        <v>32.816000000000003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3 NO'S</v>
      </c>
      <c r="E5" s="118" t="str">
        <f>'BD Team'!F10</f>
        <v>NO</v>
      </c>
      <c r="F5" s="121" t="str">
        <f>'BD Team'!G10</f>
        <v>BEDROOM</v>
      </c>
      <c r="G5" s="118">
        <f>'BD Team'!H10</f>
        <v>3226</v>
      </c>
      <c r="H5" s="118">
        <f>'BD Team'!I10</f>
        <v>2692</v>
      </c>
      <c r="I5" s="118">
        <f>'BD Team'!J10</f>
        <v>1</v>
      </c>
      <c r="J5" s="103">
        <f t="shared" si="0"/>
        <v>93.478795487999989</v>
      </c>
      <c r="K5" s="172">
        <f>'BD Team'!K10</f>
        <v>355.5</v>
      </c>
      <c r="L5" s="171">
        <f t="shared" ref="L5:L53" si="1">K5*I5</f>
        <v>355.5</v>
      </c>
      <c r="M5" s="170">
        <f>L5*'Changable Values'!$D$4</f>
        <v>29506.5</v>
      </c>
      <c r="N5" s="170" t="str">
        <f>'BD Team'!E10</f>
        <v>17.52MM</v>
      </c>
      <c r="O5" s="172">
        <v>6371</v>
      </c>
      <c r="P5" s="241"/>
      <c r="Q5" s="173"/>
      <c r="R5" s="185"/>
      <c r="S5" s="312"/>
      <c r="T5" s="313">
        <f t="shared" ref="T5:T68" si="2">(G5+H5)*I5*2/300</f>
        <v>39.453333333333333</v>
      </c>
      <c r="U5" s="313">
        <f t="shared" ref="U5:U68" si="3">SUM(G5:H5)*I5*2*4/1000</f>
        <v>47.344000000000001</v>
      </c>
      <c r="V5" s="313">
        <f t="shared" ref="V5:V68" si="4">SUM(G5:H5)*I5*5*5*4/(1000*240)</f>
        <v>2.4658333333333333</v>
      </c>
      <c r="W5" s="313">
        <f t="shared" ref="W5:W68" si="5">T5</f>
        <v>39.453333333333333</v>
      </c>
      <c r="X5" s="313">
        <f t="shared" ref="X5:X68" si="6">W5*2</f>
        <v>78.906666666666666</v>
      </c>
      <c r="Y5" s="313">
        <f t="shared" ref="Y5:Y68" si="7">SUM(G5:H5)*I5*4/1000</f>
        <v>23.672000000000001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2179.79</v>
      </c>
      <c r="L104" s="168">
        <f>SUM(L4:L103)</f>
        <v>2179.79</v>
      </c>
      <c r="M104" s="168">
        <f>SUM(M4:M103)</f>
        <v>180922.57</v>
      </c>
      <c r="T104" s="314">
        <f t="shared" ref="T104:Y104" si="16">SUM(T4:T103)</f>
        <v>94.146666666666675</v>
      </c>
      <c r="U104" s="314">
        <f t="shared" si="16"/>
        <v>112.976</v>
      </c>
      <c r="V104" s="314">
        <f t="shared" si="16"/>
        <v>5.8841666666666672</v>
      </c>
      <c r="W104" s="314">
        <f t="shared" si="16"/>
        <v>94.146666666666675</v>
      </c>
      <c r="X104" s="314">
        <f t="shared" si="16"/>
        <v>188.29333333333335</v>
      </c>
      <c r="Y104" s="314">
        <f t="shared" si="16"/>
        <v>56.488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6370.8119999999999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4770</v>
      </c>
      <c r="D4" s="255">
        <f>C4*D3</f>
        <v>109.71</v>
      </c>
      <c r="E4" s="255">
        <f>C4*E3</f>
        <v>190.8</v>
      </c>
      <c r="F4" s="255">
        <f>C4*F3</f>
        <v>238.5</v>
      </c>
      <c r="G4" s="255">
        <f>C4+D4+E4+F4</f>
        <v>5309.01</v>
      </c>
      <c r="H4" s="255">
        <f>G4*H3</f>
        <v>1061.8020000000001</v>
      </c>
      <c r="I4" s="255">
        <f>G4+H4</f>
        <v>6370.8119999999999</v>
      </c>
      <c r="J4" s="255">
        <f>I4*J3</f>
        <v>0</v>
      </c>
      <c r="K4" s="255">
        <f>I4+J4</f>
        <v>6370.8119999999999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25.52</v>
      </c>
      <c r="B7" s="270">
        <v>8</v>
      </c>
      <c r="C7" s="271">
        <v>1.52</v>
      </c>
      <c r="D7" s="270">
        <v>8</v>
      </c>
      <c r="E7" s="271">
        <v>0</v>
      </c>
      <c r="F7" s="270">
        <v>8</v>
      </c>
      <c r="G7" s="269">
        <f>SUM(B8:F8)</f>
        <v>4770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990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1614.6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 WITH CENTER FIXED</v>
      </c>
      <c r="D8" s="131" t="str">
        <f>Pricing!B4</f>
        <v>W1</v>
      </c>
      <c r="E8" s="132" t="str">
        <f>Pricing!N4</f>
        <v>17.52MM</v>
      </c>
      <c r="F8" s="68">
        <f>Pricing!G4</f>
        <v>5384</v>
      </c>
      <c r="G8" s="68">
        <f>Pricing!H4</f>
        <v>2820</v>
      </c>
      <c r="H8" s="100">
        <f t="shared" ref="H8:H57" si="0">(F8*G8)/1000000</f>
        <v>15.182880000000001</v>
      </c>
      <c r="I8" s="70">
        <f>Pricing!I4</f>
        <v>1</v>
      </c>
      <c r="J8" s="69">
        <f t="shared" ref="J8" si="1">H8*I8</f>
        <v>15.182880000000001</v>
      </c>
      <c r="K8" s="71">
        <f t="shared" ref="K8" si="2">J8*10.764</f>
        <v>163.42852031999999</v>
      </c>
      <c r="L8" s="69"/>
      <c r="M8" s="72"/>
      <c r="N8" s="72"/>
      <c r="O8" s="72">
        <f t="shared" ref="O8:O35" si="3">N8*M8*L8/1000000</f>
        <v>0</v>
      </c>
      <c r="P8" s="73">
        <f>Pricing!M4</f>
        <v>151416.07</v>
      </c>
      <c r="Q8" s="74">
        <f t="shared" ref="Q8:Q56" si="4">P8*$Q$6</f>
        <v>15141.607000000002</v>
      </c>
      <c r="R8" s="74">
        <f t="shared" ref="R8:R56" si="5">(P8+Q8)*$R$6</f>
        <v>18321.34447</v>
      </c>
      <c r="S8" s="74">
        <f t="shared" ref="S8:S56" si="6">(P8+Q8+R8)*$S$6</f>
        <v>924.3951073500001</v>
      </c>
      <c r="T8" s="74">
        <f t="shared" ref="T8:T56" si="7">(P8+Q8+R8+S8)*$T$6</f>
        <v>1858.0341657735</v>
      </c>
      <c r="U8" s="72">
        <f t="shared" ref="U8:U56" si="8">SUM(P8:T8)</f>
        <v>187661.45074312351</v>
      </c>
      <c r="V8" s="74">
        <f t="shared" ref="V8:V56" si="9">U8*$V$6</f>
        <v>2814.9217611468525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96730.128479999999</v>
      </c>
      <c r="AE8" s="76">
        <f>((((F8+G8)*2)/305)*I8*$AE$7)</f>
        <v>1344.9180327868853</v>
      </c>
      <c r="AF8" s="346">
        <f>(((((F8*4)+(G8*4))/1000)*$AF$6*$AG$6)/300)*I8*$AF$7</f>
        <v>1378.2720000000002</v>
      </c>
      <c r="AG8" s="347"/>
      <c r="AH8" s="76">
        <f>(((F8+G8))*I8/1000)*8*$AH$7</f>
        <v>49.224000000000004</v>
      </c>
      <c r="AI8" s="76">
        <f t="shared" ref="AI8:AI57" si="15">(((F8+G8)*2*I8)/1000)*2*$AI$7</f>
        <v>164.08</v>
      </c>
      <c r="AJ8" s="76">
        <f>J8*Pricing!Q4</f>
        <v>0</v>
      </c>
      <c r="AK8" s="76">
        <f>J8*Pricing!R4</f>
        <v>0</v>
      </c>
      <c r="AL8" s="76">
        <f t="shared" ref="AL8:AL39" si="16">J8*$AL$6</f>
        <v>16342.852031999999</v>
      </c>
      <c r="AM8" s="77">
        <f t="shared" ref="AM8:AM39" si="17">$AM$6*J8</f>
        <v>0</v>
      </c>
      <c r="AN8" s="76">
        <f t="shared" ref="AN8:AN39" si="18">$AN$6*J8</f>
        <v>24514.278048</v>
      </c>
      <c r="AO8" s="72">
        <f t="shared" ref="AO8:AO39" si="19">SUM(U8:V8)+SUM(AC8:AI8)-AD8</f>
        <v>193412.86653705727</v>
      </c>
      <c r="AP8" s="74">
        <f t="shared" ref="AP8:AP39" si="20">AO8*$AP$6</f>
        <v>241766.0831713216</v>
      </c>
      <c r="AQ8" s="74">
        <f t="shared" ref="AQ8:AQ56" si="21">(AO8+AP8)*$AQ$6</f>
        <v>0</v>
      </c>
      <c r="AR8" s="74">
        <f t="shared" ref="AR8:AR39" si="22">SUM(AO8:AQ8)/J8</f>
        <v>28662.47706024014</v>
      </c>
      <c r="AS8" s="72">
        <f t="shared" ref="AS8:AS39" si="23">SUM(AJ8:AQ8)+AD8+AB8</f>
        <v>572766.20826837886</v>
      </c>
      <c r="AT8" s="72">
        <f t="shared" ref="AT8:AT39" si="24">AS8/J8</f>
        <v>37724.47706024014</v>
      </c>
      <c r="AU8" s="78">
        <f t="shared" ref="AU8:AU56" si="25">AT8/10.764</f>
        <v>3504.6894333184823</v>
      </c>
      <c r="AV8" s="79">
        <f t="shared" ref="AV8:AV39" si="26">K8/$K$109</f>
        <v>0.63613805549289415</v>
      </c>
      <c r="AW8" s="80">
        <f t="shared" ref="AW8:AW39" si="27">(U8+V8)/(J8*10.764)</f>
        <v>1165.50264379381</v>
      </c>
      <c r="AX8" s="81">
        <f t="shared" ref="AX8:AX39" si="28">SUM(W8:AN8,AP8)/(J8*10.764)</f>
        <v>2339.1867895246723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</v>
      </c>
      <c r="D9" s="131" t="str">
        <f>Pricing!B5</f>
        <v>W2</v>
      </c>
      <c r="E9" s="132" t="str">
        <f>Pricing!N5</f>
        <v>17.52MM</v>
      </c>
      <c r="F9" s="68">
        <f>Pricing!G5</f>
        <v>3226</v>
      </c>
      <c r="G9" s="68">
        <f>Pricing!H5</f>
        <v>2692</v>
      </c>
      <c r="H9" s="100">
        <f t="shared" si="0"/>
        <v>8.6843920000000008</v>
      </c>
      <c r="I9" s="70">
        <f>Pricing!I5</f>
        <v>1</v>
      </c>
      <c r="J9" s="69">
        <f t="shared" ref="J9:J58" si="30">H9*I9</f>
        <v>8.6843920000000008</v>
      </c>
      <c r="K9" s="71">
        <f t="shared" ref="K9:K58" si="31">J9*10.764</f>
        <v>93.478795488000003</v>
      </c>
      <c r="L9" s="69"/>
      <c r="M9" s="72"/>
      <c r="N9" s="72"/>
      <c r="O9" s="72">
        <f t="shared" si="3"/>
        <v>0</v>
      </c>
      <c r="P9" s="73">
        <f>Pricing!M5</f>
        <v>29506.5</v>
      </c>
      <c r="Q9" s="74">
        <f t="shared" ref="Q9:Q14" si="32">P9*$Q$6</f>
        <v>2950.65</v>
      </c>
      <c r="R9" s="74">
        <f t="shared" ref="R9:R14" si="33">(P9+Q9)*$R$6</f>
        <v>3570.2865000000002</v>
      </c>
      <c r="S9" s="74">
        <f t="shared" ref="S9:S14" si="34">(P9+Q9+R9)*$S$6</f>
        <v>180.13718250000002</v>
      </c>
      <c r="T9" s="74">
        <f t="shared" ref="T9:T14" si="35">(P9+Q9+R9+S9)*$T$6</f>
        <v>362.07573682500009</v>
      </c>
      <c r="U9" s="72">
        <f t="shared" ref="U9:U14" si="36">SUM(P9:T9)</f>
        <v>36569.649419325004</v>
      </c>
      <c r="V9" s="74">
        <f t="shared" ref="V9:V14" si="37">U9*$V$6</f>
        <v>548.54474128987499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55328.261432000007</v>
      </c>
      <c r="AE9" s="76">
        <f t="shared" ref="AE9:AE57" si="43">((((F9+G9)*2)/305)*I9*$AE$7)</f>
        <v>970.1639344262295</v>
      </c>
      <c r="AF9" s="346">
        <f t="shared" ref="AF9:AF57" si="44">(((((F9*4)+(G9*4))/1000)*$AF$6*$AG$6)/300)*I9*$AF$7</f>
        <v>994.22400000000005</v>
      </c>
      <c r="AG9" s="347"/>
      <c r="AH9" s="76">
        <f t="shared" ref="AH9:AH72" si="45">(((F9+G9))*I9/1000)*8*$AH$7</f>
        <v>35.508000000000003</v>
      </c>
      <c r="AI9" s="76">
        <f t="shared" si="15"/>
        <v>118.36</v>
      </c>
      <c r="AJ9" s="76">
        <f>J9*Pricing!Q5</f>
        <v>0</v>
      </c>
      <c r="AK9" s="76">
        <f>J9*Pricing!R5</f>
        <v>0</v>
      </c>
      <c r="AL9" s="76">
        <f t="shared" si="16"/>
        <v>9347.8795487999996</v>
      </c>
      <c r="AM9" s="77">
        <f t="shared" si="17"/>
        <v>0</v>
      </c>
      <c r="AN9" s="76">
        <f t="shared" si="18"/>
        <v>14021.819323200001</v>
      </c>
      <c r="AO9" s="72">
        <f t="shared" si="19"/>
        <v>39236.450095041109</v>
      </c>
      <c r="AP9" s="74">
        <f t="shared" si="20"/>
        <v>49045.562618801385</v>
      </c>
      <c r="AQ9" s="74">
        <f t="shared" ref="AQ9:AQ14" si="46">(AO9+AP9)*$AQ$6</f>
        <v>0</v>
      </c>
      <c r="AR9" s="74">
        <f t="shared" si="22"/>
        <v>10165.595094491646</v>
      </c>
      <c r="AS9" s="72">
        <f t="shared" si="23"/>
        <v>166979.97301784251</v>
      </c>
      <c r="AT9" s="72">
        <f t="shared" si="24"/>
        <v>19227.595094491648</v>
      </c>
      <c r="AU9" s="78">
        <f t="shared" ref="AU9:AU14" si="47">AT9/10.764</f>
        <v>1786.2871696852144</v>
      </c>
      <c r="AV9" s="79">
        <f t="shared" si="26"/>
        <v>0.36386194450710579</v>
      </c>
      <c r="AW9" s="80">
        <f t="shared" si="27"/>
        <v>397.07608518960632</v>
      </c>
      <c r="AX9" s="81">
        <f t="shared" si="28"/>
        <v>1389.211084495608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23.867272</v>
      </c>
      <c r="I109" s="87">
        <f>SUM(I8:I108)</f>
        <v>2</v>
      </c>
      <c r="J109" s="88">
        <f>SUM(J8:J108)</f>
        <v>23.867272</v>
      </c>
      <c r="K109" s="89">
        <f>SUM(K8:K108)</f>
        <v>256.90731580800002</v>
      </c>
      <c r="L109" s="88">
        <f>SUM(L8:L8)</f>
        <v>0</v>
      </c>
      <c r="M109" s="88"/>
      <c r="N109" s="88"/>
      <c r="O109" s="88"/>
      <c r="P109" s="87">
        <f>SUM(P8:P108)</f>
        <v>180922.57</v>
      </c>
      <c r="Q109" s="88">
        <f t="shared" ref="Q109:AE109" si="156">SUM(Q8:Q108)</f>
        <v>18092.257000000001</v>
      </c>
      <c r="R109" s="88">
        <f t="shared" si="156"/>
        <v>21891.630969999998</v>
      </c>
      <c r="S109" s="88">
        <f t="shared" si="156"/>
        <v>1104.5322898500001</v>
      </c>
      <c r="T109" s="88">
        <f t="shared" si="156"/>
        <v>2220.1099025985</v>
      </c>
      <c r="U109" s="88">
        <f t="shared" si="156"/>
        <v>224231.10016244851</v>
      </c>
      <c r="V109" s="88">
        <f t="shared" si="156"/>
        <v>3363.4665024367278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152058.38991200001</v>
      </c>
      <c r="AE109" s="88">
        <f t="shared" si="156"/>
        <v>2315.0819672131147</v>
      </c>
      <c r="AF109" s="407">
        <f>SUM(AF8:AG108)</f>
        <v>2372.4960000000001</v>
      </c>
      <c r="AG109" s="408"/>
      <c r="AH109" s="88">
        <f t="shared" ref="AH109:AQ109" si="157">SUM(AH8:AH108)</f>
        <v>84.731999999999999</v>
      </c>
      <c r="AI109" s="88">
        <f t="shared" si="157"/>
        <v>282.44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25690.731580799998</v>
      </c>
      <c r="AM109" s="88">
        <f t="shared" si="157"/>
        <v>0</v>
      </c>
      <c r="AN109" s="88">
        <f t="shared" si="157"/>
        <v>38536.097371199998</v>
      </c>
      <c r="AO109" s="88">
        <f t="shared" si="157"/>
        <v>232649.31663209837</v>
      </c>
      <c r="AP109" s="88">
        <f t="shared" si="157"/>
        <v>290811.64579012297</v>
      </c>
      <c r="AQ109" s="88">
        <f t="shared" si="157"/>
        <v>0</v>
      </c>
      <c r="AR109" s="88"/>
      <c r="AS109" s="87">
        <f>SUM(AS8:AS108)</f>
        <v>739746.18128622137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2372.4960000000001</v>
      </c>
      <c r="AW110" s="84"/>
    </row>
    <row r="111" spans="2:54">
      <c r="AF111" s="174"/>
      <c r="AG111" s="174"/>
      <c r="AH111" s="174">
        <f>SUM(AE109:AI109,AC109)</f>
        <v>5054.7499672131144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9.7109375" style="122" customWidth="1"/>
    <col min="6" max="6" width="51.140625" style="122" customWidth="1"/>
    <col min="7" max="7" width="18.7109375" style="122" customWidth="1"/>
    <col min="8" max="8" width="38.140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ABPL-DE-19.20-2152</v>
      </c>
      <c r="N6" s="446"/>
    </row>
    <row r="7" spans="2:15" ht="24.95" customHeight="1">
      <c r="B7" s="426" t="s">
        <v>126</v>
      </c>
      <c r="C7" s="427"/>
      <c r="D7" s="427"/>
      <c r="E7" s="427"/>
      <c r="F7" s="460" t="str">
        <f>'BD Team'!E2</f>
        <v>Sridhar Reddy Associates</v>
      </c>
      <c r="G7" s="460"/>
      <c r="H7" s="460"/>
      <c r="I7" s="460"/>
      <c r="J7" s="461"/>
      <c r="K7" s="435" t="s">
        <v>104</v>
      </c>
      <c r="L7" s="427"/>
      <c r="M7" s="432">
        <f>'BD Team'!J3</f>
        <v>43686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2" t="s">
        <v>180</v>
      </c>
      <c r="H8" s="463"/>
      <c r="I8" s="460" t="str">
        <f>'BD Team'!G3</f>
        <v>2.25Kpa</v>
      </c>
      <c r="J8" s="461"/>
      <c r="K8" s="435" t="s">
        <v>105</v>
      </c>
      <c r="L8" s="427"/>
      <c r="M8" s="178" t="s">
        <v>365</v>
      </c>
      <c r="N8" s="179">
        <v>43686</v>
      </c>
    </row>
    <row r="9" spans="2:15" ht="24.95" customHeight="1">
      <c r="B9" s="426" t="s">
        <v>169</v>
      </c>
      <c r="C9" s="427"/>
      <c r="D9" s="427"/>
      <c r="E9" s="427"/>
      <c r="F9" s="460" t="str">
        <f>'BD Team'!E4</f>
        <v>Ms. Rachana : 9154030271</v>
      </c>
      <c r="G9" s="460"/>
      <c r="H9" s="460"/>
      <c r="I9" s="460"/>
      <c r="J9" s="461"/>
      <c r="K9" s="435" t="s">
        <v>179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Anodized</v>
      </c>
      <c r="G10" s="440" t="s">
        <v>178</v>
      </c>
      <c r="H10" s="441"/>
      <c r="I10" s="438" t="str">
        <f>'BD Team'!G5</f>
        <v>Silver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4" t="s">
        <v>171</v>
      </c>
      <c r="E13" s="434" t="s">
        <v>172</v>
      </c>
      <c r="F13" s="434" t="s">
        <v>37</v>
      </c>
      <c r="G13" s="416" t="s">
        <v>63</v>
      </c>
      <c r="H13" s="416" t="s">
        <v>210</v>
      </c>
      <c r="I13" s="416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4"/>
      <c r="E14" s="434"/>
      <c r="F14" s="434"/>
      <c r="G14" s="416"/>
      <c r="H14" s="416"/>
      <c r="I14" s="416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4"/>
      <c r="E15" s="434"/>
      <c r="F15" s="434"/>
      <c r="G15" s="416"/>
      <c r="H15" s="416"/>
      <c r="I15" s="416"/>
      <c r="J15" s="466"/>
      <c r="K15" s="466"/>
      <c r="L15" s="465"/>
      <c r="M15" s="466"/>
      <c r="N15" s="467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M15000 &amp; M14600</v>
      </c>
      <c r="F16" s="187" t="str">
        <f>Pricing!D4</f>
        <v>3 TRACK 2 SHUTTER SLIDING DOOR WITH CENTER FIXED</v>
      </c>
      <c r="G16" s="187" t="str">
        <f>Pricing!N4</f>
        <v>17.52MM</v>
      </c>
      <c r="H16" s="187" t="str">
        <f>Pricing!F4</f>
        <v>HOME THEATER</v>
      </c>
      <c r="I16" s="216" t="str">
        <f>Pricing!E4</f>
        <v>NO</v>
      </c>
      <c r="J16" s="216">
        <f>Pricing!G4</f>
        <v>5384</v>
      </c>
      <c r="K16" s="216">
        <f>Pricing!H4</f>
        <v>2820</v>
      </c>
      <c r="L16" s="216">
        <f>Pricing!I4</f>
        <v>1</v>
      </c>
      <c r="M16" s="188">
        <f t="shared" ref="M16:M24" si="0">J16*K16*L16/1000000</f>
        <v>15.182880000000001</v>
      </c>
      <c r="N16" s="189">
        <f>'Cost Calculation'!AS8</f>
        <v>572766.20826837886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FIXED GLASS 3 NO'S</v>
      </c>
      <c r="G17" s="187" t="str">
        <f>Pricing!N5</f>
        <v>17.52MM</v>
      </c>
      <c r="H17" s="187" t="str">
        <f>Pricing!F5</f>
        <v>BEDROOM</v>
      </c>
      <c r="I17" s="216" t="str">
        <f>Pricing!E5</f>
        <v>NO</v>
      </c>
      <c r="J17" s="216">
        <f>Pricing!G5</f>
        <v>3226</v>
      </c>
      <c r="K17" s="216">
        <f>Pricing!H5</f>
        <v>2692</v>
      </c>
      <c r="L17" s="216">
        <f>Pricing!I5</f>
        <v>1</v>
      </c>
      <c r="M17" s="188">
        <f t="shared" si="0"/>
        <v>8.6843920000000008</v>
      </c>
      <c r="N17" s="189">
        <f>'Cost Calculation'!AS9</f>
        <v>166979.97301784251</v>
      </c>
      <c r="O17" s="95"/>
    </row>
    <row r="18" spans="2:15" s="94" customFormat="1" ht="49.9" hidden="1" customHeight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5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2</v>
      </c>
      <c r="M116" s="191">
        <f>SUM(M16:M115)</f>
        <v>23.867272</v>
      </c>
      <c r="N116" s="186"/>
      <c r="O116" s="95"/>
    </row>
    <row r="117" spans="2:15" s="94" customFormat="1" ht="30" customHeight="1" thickTop="1" thickBot="1">
      <c r="B117" s="420" t="s">
        <v>181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739746</v>
      </c>
      <c r="O117" s="95">
        <f>N117/SUM(M116)</f>
        <v>30994.15802526573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133154</v>
      </c>
      <c r="O118" s="95">
        <f>N118/SUM(M116)</f>
        <v>5578.9367130018045</v>
      </c>
    </row>
    <row r="119" spans="2:15" s="94" customFormat="1" ht="30" customHeight="1" thickTop="1" thickBot="1">
      <c r="B119" s="420" t="s">
        <v>182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872900</v>
      </c>
      <c r="O119" s="95">
        <f>N119/SUM(M116)</f>
        <v>36573.094738267529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2879.4275385791279</v>
      </c>
    </row>
    <row r="121" spans="2:15" s="139" customFormat="1" ht="30" customHeight="1" thickTop="1">
      <c r="B121" s="451" t="s">
        <v>237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54" t="s">
        <v>435</v>
      </c>
      <c r="E122" s="454"/>
      <c r="F122" s="454"/>
      <c r="G122" s="454"/>
      <c r="H122" s="454"/>
      <c r="I122" s="454"/>
      <c r="J122" s="454"/>
      <c r="K122" s="454"/>
      <c r="L122" s="454"/>
      <c r="M122" s="454"/>
      <c r="N122" s="455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3" t="s">
        <v>207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434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364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91" t="s">
        <v>141</v>
      </c>
      <c r="C129" s="492"/>
      <c r="D129" s="492"/>
      <c r="E129" s="492"/>
      <c r="F129" s="492"/>
      <c r="G129" s="492"/>
      <c r="H129" s="492"/>
      <c r="I129" s="492"/>
      <c r="J129" s="492"/>
      <c r="K129" s="492"/>
      <c r="L129" s="492"/>
      <c r="M129" s="492"/>
      <c r="N129" s="493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91" t="s">
        <v>145</v>
      </c>
      <c r="C133" s="492"/>
      <c r="D133" s="492"/>
      <c r="E133" s="492"/>
      <c r="F133" s="492"/>
      <c r="G133" s="492"/>
      <c r="H133" s="492"/>
      <c r="I133" s="492"/>
      <c r="J133" s="492"/>
      <c r="K133" s="492"/>
      <c r="L133" s="492"/>
      <c r="M133" s="492"/>
      <c r="N133" s="493"/>
    </row>
    <row r="134" spans="2:14" s="139" customFormat="1" ht="30" customHeight="1">
      <c r="B134" s="511" t="s">
        <v>146</v>
      </c>
      <c r="C134" s="512"/>
      <c r="D134" s="512"/>
      <c r="E134" s="512"/>
      <c r="F134" s="512"/>
      <c r="G134" s="512"/>
      <c r="H134" s="512"/>
      <c r="I134" s="512"/>
      <c r="J134" s="512"/>
      <c r="K134" s="512"/>
      <c r="L134" s="512"/>
      <c r="M134" s="512"/>
      <c r="N134" s="513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402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91" t="s">
        <v>152</v>
      </c>
      <c r="C141" s="492"/>
      <c r="D141" s="492"/>
      <c r="E141" s="492"/>
      <c r="F141" s="492"/>
      <c r="G141" s="492"/>
      <c r="H141" s="492"/>
      <c r="I141" s="492"/>
      <c r="J141" s="492"/>
      <c r="K141" s="492"/>
      <c r="L141" s="492"/>
      <c r="M141" s="492"/>
      <c r="N141" s="493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9" t="s">
        <v>154</v>
      </c>
      <c r="E143" s="500"/>
      <c r="F143" s="500"/>
      <c r="G143" s="500"/>
      <c r="H143" s="500"/>
      <c r="I143" s="500"/>
      <c r="J143" s="500"/>
      <c r="K143" s="500"/>
      <c r="L143" s="500"/>
      <c r="M143" s="500"/>
      <c r="N143" s="501"/>
    </row>
    <row r="144" spans="2:14" s="93" customFormat="1" ht="24.95" customHeight="1">
      <c r="B144" s="410">
        <v>3</v>
      </c>
      <c r="C144" s="411"/>
      <c r="D144" s="412" t="s">
        <v>155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156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91" t="s">
        <v>157</v>
      </c>
      <c r="C146" s="492"/>
      <c r="D146" s="492"/>
      <c r="E146" s="492"/>
      <c r="F146" s="492"/>
      <c r="G146" s="492"/>
      <c r="H146" s="492"/>
      <c r="I146" s="492"/>
      <c r="J146" s="492"/>
      <c r="K146" s="492"/>
      <c r="L146" s="492"/>
      <c r="M146" s="492"/>
      <c r="N146" s="493"/>
    </row>
    <row r="147" spans="2:14" s="93" customFormat="1" ht="24.95" customHeight="1">
      <c r="B147" s="410">
        <v>1</v>
      </c>
      <c r="C147" s="411"/>
      <c r="D147" s="412" t="s">
        <v>158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9" t="s">
        <v>159</v>
      </c>
      <c r="E148" s="500"/>
      <c r="F148" s="500"/>
      <c r="G148" s="500"/>
      <c r="H148" s="500"/>
      <c r="I148" s="500"/>
      <c r="J148" s="500"/>
      <c r="K148" s="500"/>
      <c r="L148" s="500"/>
      <c r="M148" s="500"/>
      <c r="N148" s="501"/>
    </row>
    <row r="149" spans="2:14" s="140" customFormat="1" ht="30" customHeight="1">
      <c r="B149" s="491" t="s">
        <v>160</v>
      </c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3"/>
    </row>
    <row r="150" spans="2:14" s="93" customFormat="1" ht="24.95" customHeight="1">
      <c r="B150" s="410">
        <v>1</v>
      </c>
      <c r="C150" s="411"/>
      <c r="D150" s="474" t="s">
        <v>161</v>
      </c>
      <c r="E150" s="474"/>
      <c r="F150" s="474"/>
      <c r="G150" s="474"/>
      <c r="H150" s="474"/>
      <c r="I150" s="474"/>
      <c r="J150" s="474"/>
      <c r="K150" s="474"/>
      <c r="L150" s="474"/>
      <c r="M150" s="474"/>
      <c r="N150" s="475"/>
    </row>
    <row r="151" spans="2:14" s="93" customFormat="1" ht="24.95" customHeight="1">
      <c r="B151" s="410">
        <v>2</v>
      </c>
      <c r="C151" s="411"/>
      <c r="D151" s="474" t="s">
        <v>162</v>
      </c>
      <c r="E151" s="474"/>
      <c r="F151" s="474"/>
      <c r="G151" s="474"/>
      <c r="H151" s="474"/>
      <c r="I151" s="474"/>
      <c r="J151" s="474"/>
      <c r="K151" s="474"/>
      <c r="L151" s="474"/>
      <c r="M151" s="474"/>
      <c r="N151" s="475"/>
    </row>
    <row r="152" spans="2:14" s="93" customFormat="1" ht="49.9" customHeight="1">
      <c r="B152" s="410">
        <v>3</v>
      </c>
      <c r="C152" s="411"/>
      <c r="D152" s="496" t="s">
        <v>163</v>
      </c>
      <c r="E152" s="497"/>
      <c r="F152" s="497"/>
      <c r="G152" s="497"/>
      <c r="H152" s="497"/>
      <c r="I152" s="497"/>
      <c r="J152" s="497"/>
      <c r="K152" s="497"/>
      <c r="L152" s="497"/>
      <c r="M152" s="497"/>
      <c r="N152" s="498"/>
    </row>
    <row r="153" spans="2:14" s="93" customFormat="1" ht="24.95" customHeight="1">
      <c r="B153" s="410">
        <v>4</v>
      </c>
      <c r="C153" s="411"/>
      <c r="D153" s="474" t="s">
        <v>164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140" customFormat="1" ht="30" customHeight="1">
      <c r="B154" s="491" t="s">
        <v>165</v>
      </c>
      <c r="C154" s="492"/>
      <c r="D154" s="492"/>
      <c r="E154" s="492"/>
      <c r="F154" s="492"/>
      <c r="G154" s="492"/>
      <c r="H154" s="492"/>
      <c r="I154" s="492"/>
      <c r="J154" s="492"/>
      <c r="K154" s="492"/>
      <c r="L154" s="492"/>
      <c r="M154" s="492"/>
      <c r="N154" s="493"/>
    </row>
    <row r="155" spans="2:14" s="93" customFormat="1" ht="24.95" customHeight="1">
      <c r="B155" s="410">
        <v>1</v>
      </c>
      <c r="C155" s="411"/>
      <c r="D155" s="474" t="s">
        <v>166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24.95" customHeight="1">
      <c r="B156" s="410">
        <v>2</v>
      </c>
      <c r="C156" s="411"/>
      <c r="D156" s="474" t="s">
        <v>167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93" customFormat="1" ht="24.95" customHeight="1">
      <c r="B157" s="410">
        <v>3</v>
      </c>
      <c r="C157" s="411"/>
      <c r="D157" s="474" t="s">
        <v>168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93" customFormat="1" ht="24.95" customHeight="1">
      <c r="B158" s="410">
        <v>4</v>
      </c>
      <c r="C158" s="411"/>
      <c r="D158" s="474" t="s">
        <v>401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56" t="s">
        <v>240</v>
      </c>
      <c r="C159" s="494"/>
      <c r="D159" s="494"/>
      <c r="E159" s="494"/>
      <c r="F159" s="494"/>
      <c r="G159" s="494"/>
      <c r="H159" s="494"/>
      <c r="I159" s="494"/>
      <c r="J159" s="494"/>
      <c r="K159" s="494"/>
      <c r="L159" s="494"/>
      <c r="M159" s="494"/>
      <c r="N159" s="495"/>
    </row>
    <row r="160" spans="2:14" s="93" customFormat="1" ht="24.95" customHeight="1">
      <c r="B160" s="456" t="s">
        <v>241</v>
      </c>
      <c r="C160" s="494"/>
      <c r="D160" s="494"/>
      <c r="E160" s="494"/>
      <c r="F160" s="494"/>
      <c r="G160" s="494"/>
      <c r="H160" s="494"/>
      <c r="I160" s="494"/>
      <c r="J160" s="494"/>
      <c r="K160" s="494"/>
      <c r="L160" s="494"/>
      <c r="M160" s="494"/>
      <c r="N160" s="495"/>
    </row>
    <row r="161" spans="2:14" s="93" customFormat="1" ht="41.25" customHeight="1">
      <c r="B161" s="482"/>
      <c r="C161" s="483"/>
      <c r="D161" s="483"/>
      <c r="E161" s="483"/>
      <c r="F161" s="483"/>
      <c r="G161" s="483"/>
      <c r="H161" s="483"/>
      <c r="I161" s="483"/>
      <c r="J161" s="483"/>
      <c r="K161" s="483"/>
      <c r="L161" s="483"/>
      <c r="M161" s="483"/>
      <c r="N161" s="484"/>
    </row>
    <row r="162" spans="2:14" s="93" customFormat="1" ht="39.950000000000003" customHeight="1">
      <c r="B162" s="485"/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7"/>
    </row>
    <row r="163" spans="2:14" s="93" customFormat="1" ht="41.25" customHeight="1">
      <c r="B163" s="485"/>
      <c r="C163" s="486"/>
      <c r="D163" s="486"/>
      <c r="E163" s="486"/>
      <c r="F163" s="486"/>
      <c r="G163" s="486"/>
      <c r="H163" s="486"/>
      <c r="I163" s="486"/>
      <c r="J163" s="486"/>
      <c r="K163" s="486"/>
      <c r="L163" s="486"/>
      <c r="M163" s="486"/>
      <c r="N163" s="487"/>
    </row>
    <row r="164" spans="2:14" s="93" customFormat="1" ht="39.950000000000003" customHeight="1" thickBot="1">
      <c r="B164" s="488"/>
      <c r="C164" s="489"/>
      <c r="D164" s="489"/>
      <c r="E164" s="489"/>
      <c r="F164" s="489"/>
      <c r="G164" s="489"/>
      <c r="H164" s="489"/>
      <c r="I164" s="489"/>
      <c r="J164" s="489"/>
      <c r="K164" s="489"/>
      <c r="L164" s="489"/>
      <c r="M164" s="489"/>
      <c r="N164" s="490"/>
    </row>
    <row r="165" spans="2:14" s="93" customFormat="1" ht="30" customHeight="1" thickTop="1">
      <c r="B165" s="470" t="s">
        <v>110</v>
      </c>
      <c r="C165" s="471"/>
      <c r="D165" s="471"/>
      <c r="E165" s="476"/>
      <c r="F165" s="477"/>
      <c r="G165" s="477"/>
      <c r="H165" s="477"/>
      <c r="I165" s="477"/>
      <c r="J165" s="477"/>
      <c r="K165" s="477"/>
      <c r="L165" s="478"/>
      <c r="M165" s="471" t="s">
        <v>205</v>
      </c>
      <c r="N165" s="472"/>
    </row>
    <row r="166" spans="2:14" s="93" customFormat="1" ht="33" customHeight="1" thickBot="1">
      <c r="B166" s="473" t="s">
        <v>107</v>
      </c>
      <c r="C166" s="468"/>
      <c r="D166" s="468"/>
      <c r="E166" s="479"/>
      <c r="F166" s="480"/>
      <c r="G166" s="480"/>
      <c r="H166" s="480"/>
      <c r="I166" s="480"/>
      <c r="J166" s="480"/>
      <c r="K166" s="480"/>
      <c r="L166" s="481"/>
      <c r="M166" s="468" t="s">
        <v>108</v>
      </c>
      <c r="N166" s="469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43686</v>
      </c>
      <c r="F2" s="518" t="s">
        <v>245</v>
      </c>
      <c r="G2" s="518"/>
    </row>
    <row r="3" spans="3:13">
      <c r="C3" s="297" t="s">
        <v>126</v>
      </c>
      <c r="D3" s="519" t="str">
        <f>QUOTATION!F7</f>
        <v>Sridhar Reddy Associates</v>
      </c>
      <c r="E3" s="519"/>
      <c r="F3" s="522" t="s">
        <v>246</v>
      </c>
      <c r="G3" s="523">
        <f>QUOTATION!N8</f>
        <v>43686</v>
      </c>
    </row>
    <row r="4" spans="3:13">
      <c r="C4" s="297" t="s">
        <v>243</v>
      </c>
      <c r="D4" s="520" t="str">
        <f>QUOTATION!M6</f>
        <v>ABPL-DE-19.20-2152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2.25Kpa</v>
      </c>
      <c r="E10" s="519"/>
      <c r="F10" s="522"/>
      <c r="G10" s="524"/>
    </row>
    <row r="11" spans="3:13">
      <c r="C11" s="297" t="s">
        <v>242</v>
      </c>
      <c r="D11" s="519" t="str">
        <f>QUOTATION!M9</f>
        <v>Mahesh</v>
      </c>
      <c r="E11" s="519"/>
      <c r="F11" s="522"/>
      <c r="G11" s="524"/>
    </row>
    <row r="12" spans="3:13">
      <c r="C12" s="297" t="s">
        <v>244</v>
      </c>
      <c r="D12" s="521">
        <f>QUOTATION!M7</f>
        <v>43686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2179.79</v>
      </c>
      <c r="F14" s="205"/>
      <c r="G14" s="206">
        <f>E14</f>
        <v>2179.79</v>
      </c>
    </row>
    <row r="15" spans="3:13">
      <c r="C15" s="194" t="s">
        <v>235</v>
      </c>
      <c r="D15" s="296">
        <f>'Changable Values'!D4</f>
        <v>83</v>
      </c>
      <c r="E15" s="199">
        <f>E14*D15</f>
        <v>180922.57</v>
      </c>
      <c r="F15" s="205"/>
      <c r="G15" s="207">
        <f>E15</f>
        <v>180922.57</v>
      </c>
    </row>
    <row r="16" spans="3:13">
      <c r="C16" s="195" t="s">
        <v>97</v>
      </c>
      <c r="D16" s="200">
        <f>'Changable Values'!D5</f>
        <v>0.1</v>
      </c>
      <c r="E16" s="199">
        <f>E15*D16</f>
        <v>18092.257000000001</v>
      </c>
      <c r="F16" s="208">
        <f>'Changable Values'!D5</f>
        <v>0.1</v>
      </c>
      <c r="G16" s="207">
        <f>G15*F16</f>
        <v>18092.257000000001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21891.630970000002</v>
      </c>
      <c r="F17" s="208">
        <f>'Changable Values'!D6</f>
        <v>0.11</v>
      </c>
      <c r="G17" s="207">
        <f>SUM(G15:G16)*F17</f>
        <v>21891.630970000002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1104.5322898500001</v>
      </c>
      <c r="F18" s="208">
        <f>'Changable Values'!D7</f>
        <v>5.0000000000000001E-3</v>
      </c>
      <c r="G18" s="207">
        <f>SUM(G15:G17)*F18</f>
        <v>1104.5322898500001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2220.1099025985004</v>
      </c>
      <c r="F19" s="208">
        <f>'Changable Values'!D8</f>
        <v>0.01</v>
      </c>
      <c r="G19" s="207">
        <f>SUM(G15:G18)*F19</f>
        <v>2220.1099025985004</v>
      </c>
    </row>
    <row r="20" spans="3:7">
      <c r="C20" s="195" t="s">
        <v>99</v>
      </c>
      <c r="D20" s="201"/>
      <c r="E20" s="199">
        <f>SUM(E15:E19)</f>
        <v>224231.10016244851</v>
      </c>
      <c r="F20" s="208"/>
      <c r="G20" s="207">
        <f>SUM(G15:G19)</f>
        <v>224231.10016244851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3363.4665024367273</v>
      </c>
      <c r="F21" s="208">
        <f>'Changable Values'!D9</f>
        <v>1.4999999999999999E-2</v>
      </c>
      <c r="G21" s="207">
        <f>G20*F21</f>
        <v>3363.4665024367273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152058.38991200001</v>
      </c>
      <c r="F23" s="209"/>
      <c r="G23" s="207">
        <f t="shared" si="0"/>
        <v>152058.38991200001</v>
      </c>
    </row>
    <row r="24" spans="3:7">
      <c r="C24" s="195" t="s">
        <v>230</v>
      </c>
      <c r="D24" s="198"/>
      <c r="E24" s="199">
        <f>'Cost Calculation'!AH111</f>
        <v>5054.7499672131144</v>
      </c>
      <c r="F24" s="209"/>
      <c r="G24" s="207">
        <f t="shared" si="0"/>
        <v>5054.7499672131144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25690.731580799998</v>
      </c>
      <c r="F27" s="209"/>
      <c r="G27" s="207">
        <f t="shared" si="0"/>
        <v>25690.731580799998</v>
      </c>
    </row>
    <row r="28" spans="3:7">
      <c r="C28" s="195" t="s">
        <v>88</v>
      </c>
      <c r="D28" s="198"/>
      <c r="E28" s="199">
        <f>'Cost Calculation'!AN109</f>
        <v>38536.097371199998</v>
      </c>
      <c r="F28" s="209"/>
      <c r="G28" s="207">
        <f t="shared" si="0"/>
        <v>38536.097371199998</v>
      </c>
    </row>
    <row r="29" spans="3:7">
      <c r="C29" s="293" t="s">
        <v>379</v>
      </c>
      <c r="D29" s="294"/>
      <c r="E29" s="295">
        <f>SUM(E20:E28)</f>
        <v>448934.53549609834</v>
      </c>
      <c r="F29" s="209"/>
      <c r="G29" s="207">
        <f>SUM(G20:G21,G24)</f>
        <v>232649.31663209834</v>
      </c>
    </row>
    <row r="30" spans="3:7">
      <c r="C30" s="293" t="s">
        <v>380</v>
      </c>
      <c r="D30" s="294"/>
      <c r="E30" s="295">
        <f>E29/E33</f>
        <v>1747.4571873679536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290811.64579012292</v>
      </c>
      <c r="F31" s="214">
        <f>'Changable Values'!D23</f>
        <v>1.25</v>
      </c>
      <c r="G31" s="207">
        <f>G29*F31</f>
        <v>290811.64579012292</v>
      </c>
    </row>
    <row r="32" spans="3:7">
      <c r="C32" s="290" t="s">
        <v>5</v>
      </c>
      <c r="D32" s="291"/>
      <c r="E32" s="292">
        <f>E31+E29</f>
        <v>739746.18128622125</v>
      </c>
      <c r="F32" s="205"/>
      <c r="G32" s="207">
        <f>SUM(G25:G31,G22:G23)</f>
        <v>739746.18128622125</v>
      </c>
    </row>
    <row r="33" spans="3:7">
      <c r="C33" s="300" t="s">
        <v>231</v>
      </c>
      <c r="D33" s="301"/>
      <c r="E33" s="308">
        <f>'Cost Calculation'!K109</f>
        <v>256.90731580800002</v>
      </c>
      <c r="F33" s="210"/>
      <c r="G33" s="211">
        <f>E33</f>
        <v>256.90731580800002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2879.4282442274684</v>
      </c>
      <c r="F35" s="212"/>
      <c r="G35" s="213">
        <f>G32/(G33)</f>
        <v>2879.4282442274684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2019-08-13T05:52:26Z</cp:lastPrinted>
  <dcterms:created xsi:type="dcterms:W3CDTF">2010-12-18T06:34:46Z</dcterms:created>
  <dcterms:modified xsi:type="dcterms:W3CDTF">2019-08-13T08:53:38Z</dcterms:modified>
</cp:coreProperties>
</file>