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8" i="158" l="1"/>
  <c r="R7" i="158"/>
  <c r="R5" i="158"/>
  <c r="Q9" i="158"/>
  <c r="Q6" i="158"/>
  <c r="Q4" i="158"/>
  <c r="N6" i="166" l="1"/>
  <c r="U3" i="169" l="1"/>
  <c r="U4" i="169"/>
  <c r="U5" i="169"/>
  <c r="U6" i="169"/>
  <c r="U7" i="169"/>
  <c r="U2" i="169"/>
  <c r="T3" i="169"/>
  <c r="T4" i="169"/>
  <c r="T5" i="169"/>
  <c r="T6" i="169"/>
  <c r="T7" i="169"/>
  <c r="T2" i="169"/>
  <c r="S2" i="169"/>
  <c r="S3" i="169"/>
  <c r="S4" i="169"/>
  <c r="S5" i="169"/>
  <c r="S6" i="169"/>
  <c r="S7" i="169"/>
  <c r="R2" i="169"/>
  <c r="R3" i="169"/>
  <c r="R4" i="169"/>
  <c r="R5" i="169"/>
  <c r="R6" i="169"/>
  <c r="R7" i="169"/>
  <c r="Q3" i="169"/>
  <c r="Q4" i="169"/>
  <c r="Q5" i="169"/>
  <c r="Q6" i="169"/>
  <c r="Q7" i="169"/>
  <c r="Q2" i="169"/>
  <c r="P3" i="169"/>
  <c r="P4" i="169"/>
  <c r="P5" i="169"/>
  <c r="P6" i="169"/>
  <c r="P7" i="169"/>
  <c r="P2" i="169"/>
  <c r="O2" i="169"/>
  <c r="O3" i="169"/>
  <c r="O4" i="169"/>
  <c r="O5" i="169"/>
  <c r="O6" i="169"/>
  <c r="O7" i="169"/>
  <c r="N3" i="169"/>
  <c r="N4" i="169"/>
  <c r="N5" i="169"/>
  <c r="N6" i="169"/>
  <c r="N7" i="169"/>
  <c r="N2" i="169"/>
  <c r="M3" i="169"/>
  <c r="M4" i="169"/>
  <c r="M5" i="169"/>
  <c r="M6" i="169"/>
  <c r="M7" i="169"/>
  <c r="M2" i="169"/>
  <c r="L3" i="169"/>
  <c r="L4" i="169"/>
  <c r="L5" i="169"/>
  <c r="L6" i="169"/>
  <c r="L7" i="169"/>
  <c r="L2" i="169"/>
  <c r="K2" i="169"/>
  <c r="K3" i="169"/>
  <c r="K4" i="169"/>
  <c r="K5" i="169"/>
  <c r="K6" i="169"/>
  <c r="K7" i="169"/>
  <c r="J3" i="169"/>
  <c r="J4" i="169"/>
  <c r="J5" i="169"/>
  <c r="J6" i="169"/>
  <c r="J7" i="169"/>
  <c r="J2" i="169"/>
  <c r="I3" i="169"/>
  <c r="I4" i="169"/>
  <c r="I5" i="169"/>
  <c r="I6" i="169"/>
  <c r="I7" i="169"/>
  <c r="I2" i="169"/>
  <c r="F3" i="169"/>
  <c r="F4" i="169"/>
  <c r="F5" i="169"/>
  <c r="F6" i="169"/>
  <c r="F7" i="169"/>
  <c r="F2" i="169"/>
  <c r="E3" i="169"/>
  <c r="E4" i="169"/>
  <c r="E5" i="169"/>
  <c r="E6" i="169"/>
  <c r="E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3" i="159" l="1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<sst xmlns="http://schemas.openxmlformats.org/spreadsheetml/2006/main" count="1954" uniqueCount="452">
  <si>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</si>
  <si>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</si>
  <si>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</si>
  <si>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</si>
  <si>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</si>
  <si>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</si>
  <si>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</si>
  <si>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</si>
  <si>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</si>
  <si>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</si>
  <si>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</si>
  <si>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</si>
  <si>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</si>
  <si>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</si>
  <si>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</si>
  <si>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</si>
  <si>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</si>
  <si>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</si>
  <si>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</si>
  <si>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</si>
  <si>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</si>
  <si>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</si>
  <si>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</si>
  <si>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</si>
  <si>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</si>
  <si>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</si>
  <si>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</si>
  <si>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</si>
  <si>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</si>
  <si>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</si>
  <si>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</si>
  <si>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</si>
  <si>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</si>
  <si>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</si>
  <si>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</si>
  <si>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</si>
  <si>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</si>
  <si>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</si>
  <si>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</si>
  <si>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</si>
  <si>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</si>
  <si>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</si>
  <si>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</si>
  <si>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</si>
  <si>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</si>
  <si>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</si>
  <si>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</si>
  <si>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</si>
  <si>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</si>
  <si>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</si>
  <si>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</si>
  <si>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</si>
  <si>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</si>
  <si>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</si>
  <si>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</si>
  <si>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</si>
  <si>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</si>
  <si>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</si>
  <si>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</si>
  <si>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</si>
  <si>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</si>
  <si>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</si>
  <si>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</si>
  <si>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</si>
  <si>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</si>
  <si>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</si>
  <si>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</si>
  <si>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</si>
  <si>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</si>
  <si>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</si>
  <si>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</si>
  <si>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</si>
  <si>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</si>
  <si>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</si>
  <si>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</si>
  <si>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</si>
  <si>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</si>
  <si>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</si>
  <si>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</si>
  <si>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</si>
  <si>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</si>
  <si>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</si>
  <si>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</si>
  <si>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</si>
  <si>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</si>
  <si>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</si>
  <si>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</si>
  <si>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</si>
  <si>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</si>
  <si>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</si>
  <si>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</si>
  <si>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</si>
  <si>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</si>
  <si>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</si>
  <si>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</si>
  <si>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</si>
  <si>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</si>
  <si>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</si>
  <si>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</si>
  <si>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</si>
  <si>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</si>
  <si>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</si>
  <si>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</si>
  <si>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</si>
  <si>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</si>
  <si>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</si>
  <si>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</si>
  <si>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</si>
  <si>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</si>
  <si>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</si>
  <si>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</si>
  <si>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</si>
  <si>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</si>
  <si>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</si>
  <si>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</si>
  <si>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</si>
  <si>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</si>
  <si>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</si>
  <si>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</si>
  <si>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</si>
  <si>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</si>
  <si>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</si>
  <si>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</si>
  <si>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</si>
  <si>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</si>
  <si>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</si>
  <si>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</si>
  <si>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</si>
  <si>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</si>
  <si>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</si>
  <si>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</si>
  <si>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</si>
  <si>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</si>
  <si>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</si>
  <si>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</si>
  <si>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</si>
  <si>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</si>
  <si>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</si>
  <si>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</si>
  <si>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</si>
  <si>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</si>
  <si>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</si>
  <si>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</si>
  <si>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</si>
  <si>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</si>
  <si>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</si>
  <si>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</si>
  <si>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</si>
  <si>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</si>
  <si>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</si>
  <si>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</si>
  <si>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</si>
  <si>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</si>
  <si>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</si>
  <si>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</si>
  <si>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</si>
  <si>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</si>
  <si>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</si>
  <si>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</si>
  <si>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</si>
  <si>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</si>
  <si>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</si>
  <si>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</si>
  <si>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</si>
  <si>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</si>
  <si>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</si>
  <si>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</si>
  <si>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</si>
  <si>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</si>
  <si>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</si>
  <si>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</si>
  <si>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</si>
  <si>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</si>
  <si>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</si>
  <si>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</si>
  <si>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</si>
  <si>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</si>
  <si>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</si>
  <si>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</si>
  <si>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</si>
  <si>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</si>
  <si>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</si>
  <si>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</si>
  <si>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</si>
  <si>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</si>
  <si>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</si>
  <si>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</si>
  <si>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</si>
  <si>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</si>
  <si>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</si>
  <si>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</si>
  <si>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</si>
  <si>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</si>
  <si>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</si>
  <si>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</si>
  <si>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</si>
  <si>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</si>
  <si>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</si>
  <si>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</si>
  <si>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</si>
  <si>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</si>
  <si>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</si>
  <si>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</si>
  <si>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</si>
  <si>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</si>
  <si>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</si>
  <si>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</si>
  <si>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</si>
  <si>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</si>
  <si>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</si>
  <si>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</si>
  <si>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</si>
  <si>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</si>
  <si>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</si>
  <si>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</si>
  <si>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</si>
  <si>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</si>
  <si>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</si>
  <si>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</si>
  <si>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</si>
  <si>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</si>
  <si>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</si>
  <si>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</si>
  <si>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</si>
  <si>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</si>
  <si>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</si>
  <si>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</si>
  <si>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</si>
  <si>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</si>
  <si>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</si>
  <si>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</si>
  <si>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</si>
  <si>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</si>
  <si>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</si>
  <si>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</si>
  <si>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</si>
  <si>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</si>
  <si>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</si>
  <si>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</si>
  <si>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</si>
  <si>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</si>
  <si>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</si>
  <si>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</si>
  <si>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</si>
  <si>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</si>
  <si>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</si>
  <si>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</si>
  <si>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</si>
  <si>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</si>
  <si>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</si>
  <si>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</si>
  <si>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</si>
  <si>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</si>
  <si>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</si>
  <si>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</si>
  <si>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</si>
  <si>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</si>
  <si>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</si>
  <si>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</si>
  <si>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</si>
  <si>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</si>
  <si>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</si>
  <si>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</si>
  <si>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</si>
  <si>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</si>
  <si>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</si>
  <si>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</si>
  <si>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</si>
  <si>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</si>
  <si>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</si>
  <si>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</si>
  <si>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</si>
  <si>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</si>
  <si>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</si>
  <si>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</si>
  <si>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</si>
  <si>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</si>
  <si>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</si>
  <si>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</si>
  <si>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</si>
  <si>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</si>
  <si>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</si>
  <si>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</si>
  <si>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</si>
  <si>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</si>
  <si>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</si>
  <si>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</si>
  <si>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</si>
  <si>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</si>
  <si>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</si>
  <si>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</si>
  <si>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</si>
  <si>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</si>
  <si>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</si>
  <si>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</si>
  <si>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</si>
  <si>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</si>
  <si>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</si>
  <si>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</si>
  <si>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</si>
  <si>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</si>
  <si>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</si>
  <si>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</si>
  <si>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</si>
  <si>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</si>
  <si>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</si>
  <si>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</si>
  <si>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</si>
  <si>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</si>
  <si>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</si>
  <si>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</si>
  <si>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</si>
  <si>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</si>
  <si>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</si>
  <si>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</si>
  <si>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</si>
  <si>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</si>
  <si>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</si>
  <si>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</si>
  <si>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</si>
  <si>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</si>
  <si>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</si>
  <si>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</si>
  <si>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</si>
  <si>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</si>
  <si>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</si>
  <si>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</si>
  <si>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</si>
  <si>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</si>
  <si>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</si>
  <si>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</si>
  <si>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</si>
  <si>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</si>
  <si>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</si>
  <si>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</si>
  <si>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</si>
  <si>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</si>
  <si>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</si>
  <si>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</si>
  <si>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</si>
  <si>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</si>
  <si>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</si>
  <si>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</si>
  <si>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</si>
  <si>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</si>
  <si>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</si>
  <si>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</si>
  <si>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</si>
  <si>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</si>
  <si>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</si>
  <si>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</si>
  <si>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</si>
  <si>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</si>
  <si>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</si>
  <si>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</si>
  <si>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</si>
  <si>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</si>
  <si>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</si>
  <si>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</si>
  <si>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</si>
  <si>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</si>
  <si>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</si>
  <si>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</si>
  <si>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</si>
  <si>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</si>
  <si>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</si>
  <si>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</si>
  <si>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</si>
  <si>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</si>
  <si>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</si>
  <si>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</si>
  <si>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</si>
  <si>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</si>
  <si>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</si>
  <si>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</si>
  <si>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</si>
  <si>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</si>
  <si>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</si>
  <si>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</si>
  <si>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</si>
  <si>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</si>
  <si>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</si>
  <si>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</si>
  <si>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</si>
  <si>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</si>
  <si>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</si>
  <si>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</si>
  <si>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</si>
  <si>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</si>
  <si>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</si>
  <si>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</si>
  <si>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</si>
  <si>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</si>
  <si>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</si>
  <si>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</si>
  <si>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</si>
  <si>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</si>
  <si>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</si>
  <si>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</si>
  <si>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</si>
  <si>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</si>
  <si>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</si>
  <si>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</si>
  <si>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</si>
  <si>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</si>
  <si>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</si>
  <si>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</si>
  <si>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</si>
  <si>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</si>
  <si>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</si>
  <si>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</si>
  <si>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</si>
  <si>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</si>
  <si>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</si>
  <si>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</si>
  <si>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</si>
  <si>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</si>
  <si>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</si>
  <si>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</si>
  <si>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</si>
  <si>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</si>
  <si>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</si>
  <si>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</si>
  <si>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Mr. Naresh Naineni</t>
  </si>
  <si>
    <t>Hyderabad</t>
  </si>
  <si>
    <t>Anodized</t>
  </si>
  <si>
    <t>ABPL-DE-19.20-2153</t>
  </si>
  <si>
    <t>W1</t>
  </si>
  <si>
    <t>M900 &amp; M940</t>
  </si>
  <si>
    <t>3 TRACK 2 SHUTTER SLIDING WINDOW WITH BOTTOM FIXED</t>
  </si>
  <si>
    <t>6MM</t>
  </si>
  <si>
    <t>SS</t>
  </si>
  <si>
    <t>GF - ENTRANCE FOYER(1), DINING &amp; LIVING(1), BEDROOM(2),  1F - HALL(2),  BEDROOM(3), TF - BEDROOM (1), BEHIND PANTRY(1)</t>
  </si>
  <si>
    <t>W2</t>
  </si>
  <si>
    <t>M940</t>
  </si>
  <si>
    <t>SIDE HUNG WINDOW WITH BOTTOM FIXED</t>
  </si>
  <si>
    <t>RETRACTABLE</t>
  </si>
  <si>
    <t>1F - BEDROOM 3</t>
  </si>
  <si>
    <t>KW</t>
  </si>
  <si>
    <t>M900</t>
  </si>
  <si>
    <t>3 TRACK 2 SHUTTER SLIDING WINDOW</t>
  </si>
  <si>
    <t>GF - KITCHEN</t>
  </si>
  <si>
    <t>CW</t>
  </si>
  <si>
    <t>SIDE HUNG WINDOW WITH BOTTOM FIXED &amp; CORNOR FIXED</t>
  </si>
  <si>
    <t>1F &amp; TF - BEDROOM</t>
  </si>
  <si>
    <t>SD</t>
  </si>
  <si>
    <t>M9800</t>
  </si>
  <si>
    <t>SLIDE &amp; FOLD WITH 3 LEAFS</t>
  </si>
  <si>
    <t>GF - LIVING &amp; DINING (2), 1F - BALCONY(1)</t>
  </si>
  <si>
    <t>W3</t>
  </si>
  <si>
    <t>TF - PANTRY</t>
  </si>
  <si>
    <t>6mm :- 6mm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</si>
</sst>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9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0" fontId="48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1461655</xdr:colOff>
      <xdr:row>165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57978</xdr:colOff>
      <xdr:row>8</xdr:row>
      <xdr:rowOff>107674</xdr:rowOff>
    </xdr:from>
    <xdr:to>
      <xdr:col>8</xdr:col>
      <xdr:colOff>546652</xdr:colOff>
      <xdr:row>16</xdr:row>
      <xdr:rowOff>206197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1581978"/>
          <a:ext cx="3122544" cy="2616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612912</xdr:colOff>
      <xdr:row>19</xdr:row>
      <xdr:rowOff>66261</xdr:rowOff>
    </xdr:from>
    <xdr:to>
      <xdr:col>5</xdr:col>
      <xdr:colOff>1946412</xdr:colOff>
      <xdr:row>27</xdr:row>
      <xdr:rowOff>218320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2" y="4853609"/>
          <a:ext cx="1333500" cy="2669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31</xdr:row>
      <xdr:rowOff>74544</xdr:rowOff>
    </xdr:from>
    <xdr:to>
      <xdr:col>6</xdr:col>
      <xdr:colOff>8283</xdr:colOff>
      <xdr:row>36</xdr:row>
      <xdr:rowOff>299769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8489674"/>
          <a:ext cx="1797327" cy="1798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41</xdr:row>
      <xdr:rowOff>49694</xdr:rowOff>
    </xdr:from>
    <xdr:to>
      <xdr:col>8</xdr:col>
      <xdr:colOff>132521</xdr:colOff>
      <xdr:row>49</xdr:row>
      <xdr:rowOff>231310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11463129"/>
          <a:ext cx="2542761" cy="2699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588065</xdr:colOff>
      <xdr:row>52</xdr:row>
      <xdr:rowOff>66262</xdr:rowOff>
    </xdr:from>
    <xdr:to>
      <xdr:col>7</xdr:col>
      <xdr:colOff>24848</xdr:colOff>
      <xdr:row>60</xdr:row>
      <xdr:rowOff>233222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6" y="14792740"/>
          <a:ext cx="2501348" cy="26848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538368</xdr:colOff>
      <xdr:row>64</xdr:row>
      <xdr:rowOff>256761</xdr:rowOff>
    </xdr:from>
    <xdr:to>
      <xdr:col>6</xdr:col>
      <xdr:colOff>298173</xdr:colOff>
      <xdr:row>69</xdr:row>
      <xdr:rowOff>219292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29" y="18611022"/>
          <a:ext cx="2435087" cy="1536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4" zoomScale="115" zoomScaleNormal="100" zoomScaleSheetLayoutView="115" workbookViewId="0">
      <selection activeCell="Q8" sqref="Q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ABPL-DE-19.20-2153</v>
      </c>
      <c r="O2" s="542"/>
      <c r="P2" s="219" t="s">
        <v>257</v>
      </c>
    </row>
    <row r="3" spans="2:16">
      <c r="B3" s="218"/>
      <c r="C3" s="540" t="s">
        <v>126</v>
      </c>
      <c r="D3" s="540"/>
      <c r="E3" s="540"/>
      <c r="F3" s="542" t="str">
        <f>QUOTATION!F7</f>
        <v>Mr. Naresh Naineni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43687</v>
      </c>
      <c r="O3" s="548"/>
      <c r="P3" s="219" t="s">
        <v>256</v>
      </c>
    </row>
    <row r="4" spans="2:16">
      <c r="B4" s="218"/>
      <c r="C4" s="540" t="s">
        <v>127</v>
      </c>
      <c r="D4" s="540"/>
      <c r="E4" s="540"/>
      <c r="F4" s="285" t="str">
        <f>QUOTATION!F8</f>
        <v>Hyderabad</v>
      </c>
      <c r="G4" s="540"/>
      <c r="H4" s="540"/>
      <c r="I4" s="543" t="s">
        <v>180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R0</v>
      </c>
      <c r="O4" s="287">
        <f>QUOTATION!N8</f>
        <v>43687</v>
      </c>
    </row>
    <row r="5" spans="2:16">
      <c r="B5" s="218"/>
      <c r="C5" s="540" t="s">
        <v>169</v>
      </c>
      <c r="D5" s="540"/>
      <c r="E5" s="540"/>
      <c r="F5" s="542" t="str">
        <f>QUOTATION!F9</f>
        <v>Mr. Ravi Kiran : 9949841177</v>
      </c>
      <c r="G5" s="542"/>
      <c r="H5" s="542"/>
      <c r="I5" s="542"/>
      <c r="J5" s="542"/>
      <c r="K5" s="542"/>
      <c r="L5" s="542"/>
      <c r="M5" s="284" t="s">
        <v>179</v>
      </c>
      <c r="N5" s="542" t="str">
        <f>QUOTATION!M9</f>
        <v>Mahesh</v>
      </c>
      <c r="O5" s="542"/>
    </row>
    <row r="6" spans="2:16">
      <c r="B6" s="218"/>
      <c r="C6" s="540" t="s">
        <v>177</v>
      </c>
      <c r="D6" s="540"/>
      <c r="E6" s="540"/>
      <c r="F6" s="285" t="str">
        <f>QUOTATION!F10</f>
        <v>Anodized</v>
      </c>
      <c r="G6" s="540"/>
      <c r="H6" s="540"/>
      <c r="I6" s="543" t="s">
        <v>178</v>
      </c>
      <c r="J6" s="543"/>
      <c r="K6" s="542" t="str">
        <f>QUOTATION!I10</f>
        <v>Silver</v>
      </c>
      <c r="L6" s="542"/>
      <c r="M6" s="320" t="s">
        <v>374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254</v>
      </c>
      <c r="D8" s="540"/>
      <c r="E8" s="286" t="str">
        <f>'BD Team'!B9</f>
        <v>W1</v>
      </c>
      <c r="F8" s="288" t="s">
        <v>255</v>
      </c>
      <c r="G8" s="542" t="str">
        <f>'BD Team'!D9</f>
        <v>3 TRACK 2 SHUTTER SLIDING WINDOW WITH BOTTOM FIXED</v>
      </c>
      <c r="H8" s="542"/>
      <c r="I8" s="542"/>
      <c r="J8" s="542"/>
      <c r="K8" s="542"/>
      <c r="L8" s="542"/>
      <c r="M8" s="542"/>
      <c r="N8" s="542"/>
      <c r="O8" s="542"/>
    </row>
    <row r="9" spans="2:16" ht="47.2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52" t="str">
        <f>'BD Team'!G9</f>
        <v>GF - ENTRANCE FOYER(1), DINING &amp; LIVING(1), BEDROOM(2),  1F - HALL(2),  BEDROOM(3), TF - BEDROOM (1), BEHIND PANTRY(1)</v>
      </c>
      <c r="O9" s="552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247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178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248</v>
      </c>
      <c r="M12" s="540"/>
      <c r="N12" s="551" t="s">
        <v>256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249</v>
      </c>
      <c r="M13" s="540"/>
      <c r="N13" s="542" t="str">
        <f>CONCATENATE('BD Team'!H9," X ",'BD Team'!I9)</f>
        <v>1066 X 1830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250</v>
      </c>
      <c r="M14" s="540"/>
      <c r="N14" s="541">
        <f>'BD Team'!J9</f>
        <v>11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251</v>
      </c>
      <c r="M15" s="540"/>
      <c r="N15" s="542" t="str">
        <f>'BD Team'!C9</f>
        <v>M900 &amp; M940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252</v>
      </c>
      <c r="M16" s="540"/>
      <c r="N16" s="542" t="str">
        <f>'BD Team'!E9</f>
        <v>6MM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253</v>
      </c>
      <c r="M17" s="540"/>
      <c r="N17" s="542" t="str">
        <f>'BD Team'!F9</f>
        <v>SS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254</v>
      </c>
      <c r="D19" s="540"/>
      <c r="E19" s="286" t="str">
        <f>'BD Team'!B10</f>
        <v>W2</v>
      </c>
      <c r="F19" s="288" t="s">
        <v>255</v>
      </c>
      <c r="G19" s="542" t="str">
        <f>'BD Team'!D10</f>
        <v>SIDE HUNG WINDOW WITH BOTTOM FIXED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1F - BEDROOM 3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247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178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248</v>
      </c>
      <c r="M23" s="540"/>
      <c r="N23" s="545" t="s">
        <v>256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249</v>
      </c>
      <c r="M24" s="540"/>
      <c r="N24" s="542" t="str">
        <f>CONCATENATE('BD Team'!H10," X ",'BD Team'!I10)</f>
        <v>610 X 1829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250</v>
      </c>
      <c r="M25" s="540"/>
      <c r="N25" s="541">
        <f>'BD Team'!J10</f>
        <v>3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251</v>
      </c>
      <c r="M26" s="540"/>
      <c r="N26" s="542" t="str">
        <f>'BD Team'!C10</f>
        <v>M940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252</v>
      </c>
      <c r="M27" s="540"/>
      <c r="N27" s="542" t="str">
        <f>'BD Team'!E10</f>
        <v>6MM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253</v>
      </c>
      <c r="M28" s="540"/>
      <c r="N28" s="542" t="str">
        <f>'BD Team'!F10</f>
        <v>RETRACTABLE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254</v>
      </c>
      <c r="D30" s="540"/>
      <c r="E30" s="286" t="str">
        <f>'BD Team'!B11</f>
        <v>KW</v>
      </c>
      <c r="F30" s="288" t="s">
        <v>255</v>
      </c>
      <c r="G30" s="542" t="str">
        <f>'BD Team'!D11</f>
        <v>3 TRACK 2 SHUTTER SLIDING WINDOW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GF - KITCHEN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247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178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248</v>
      </c>
      <c r="M34" s="540"/>
      <c r="N34" s="545" t="s">
        <v>256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249</v>
      </c>
      <c r="M35" s="540"/>
      <c r="N35" s="542" t="str">
        <f>CONCATENATE('BD Team'!H11," X ",'BD Team'!I11)</f>
        <v>1068 X 610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250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251</v>
      </c>
      <c r="M37" s="540"/>
      <c r="N37" s="542" t="str">
        <f>'BD Team'!C11</f>
        <v>M900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252</v>
      </c>
      <c r="M38" s="540"/>
      <c r="N38" s="542" t="str">
        <f>'BD Team'!E11</f>
        <v>6MM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253</v>
      </c>
      <c r="M39" s="540"/>
      <c r="N39" s="542" t="str">
        <f>'BD Team'!F11</f>
        <v>SS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254</v>
      </c>
      <c r="D41" s="540"/>
      <c r="E41" s="286" t="str">
        <f>'BD Team'!B12</f>
        <v>CW</v>
      </c>
      <c r="F41" s="288" t="s">
        <v>255</v>
      </c>
      <c r="G41" s="542" t="str">
        <f>'BD Team'!D12</f>
        <v>SIDE HUNG WINDOW WITH BOTTOM FIXED &amp; CORNOR FIXED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1F &amp; TF - BEDROOM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247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178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248</v>
      </c>
      <c r="M45" s="540"/>
      <c r="N45" s="545" t="s">
        <v>256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249</v>
      </c>
      <c r="M46" s="540"/>
      <c r="N46" s="542" t="str">
        <f>CONCATENATE('BD Team'!H12," X ",'BD Team'!I12)</f>
        <v>1870 X 1829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250</v>
      </c>
      <c r="M47" s="540"/>
      <c r="N47" s="541">
        <f>'BD Team'!J12</f>
        <v>2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251</v>
      </c>
      <c r="M48" s="540"/>
      <c r="N48" s="542" t="str">
        <f>'BD Team'!C12</f>
        <v>M940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252</v>
      </c>
      <c r="M49" s="540"/>
      <c r="N49" s="542" t="str">
        <f>'BD Team'!E12</f>
        <v>6MM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253</v>
      </c>
      <c r="M50" s="540"/>
      <c r="N50" s="542" t="str">
        <f>'BD Team'!F12</f>
        <v>RETRACTABLE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254</v>
      </c>
      <c r="D52" s="540"/>
      <c r="E52" s="286" t="str">
        <f>'BD Team'!B13</f>
        <v>SD</v>
      </c>
      <c r="F52" s="288" t="s">
        <v>255</v>
      </c>
      <c r="G52" s="542" t="str">
        <f>'BD Team'!D13</f>
        <v>SLIDE &amp; FOLD WITH 3 LEAFS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GF - LIVING &amp; DINING (2), 1F - BALCONY(1)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247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178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248</v>
      </c>
      <c r="M56" s="540"/>
      <c r="N56" s="545" t="s">
        <v>256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249</v>
      </c>
      <c r="M57" s="540"/>
      <c r="N57" s="542" t="str">
        <f>CONCATENATE('BD Team'!H13," X ",'BD Team'!I13)</f>
        <v>2438 X 2438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250</v>
      </c>
      <c r="M58" s="540"/>
      <c r="N58" s="541">
        <f>'BD Team'!J13</f>
        <v>3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251</v>
      </c>
      <c r="M59" s="540"/>
      <c r="N59" s="542" t="str">
        <f>'BD Team'!C13</f>
        <v>M9800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252</v>
      </c>
      <c r="M60" s="540"/>
      <c r="N60" s="542" t="str">
        <f>'BD Team'!E13</f>
        <v>6MM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253</v>
      </c>
      <c r="M61" s="540"/>
      <c r="N61" s="542" t="str">
        <f>'BD Team'!F13</f>
        <v>RETRACTABLE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254</v>
      </c>
      <c r="D63" s="540"/>
      <c r="E63" s="286" t="str">
        <f>'BD Team'!B14</f>
        <v>W3</v>
      </c>
      <c r="F63" s="288" t="s">
        <v>255</v>
      </c>
      <c r="G63" s="542" t="str">
        <f>'BD Team'!D14</f>
        <v>3 TRACK 2 SHUTTER SLIDING WINDOW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TF - PANTRY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247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178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248</v>
      </c>
      <c r="M67" s="540"/>
      <c r="N67" s="545" t="s">
        <v>256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249</v>
      </c>
      <c r="M68" s="540"/>
      <c r="N68" s="542" t="str">
        <f>CONCATENATE('BD Team'!H14," X ",'BD Team'!I14)</f>
        <v>1828 X 610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250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251</v>
      </c>
      <c r="M70" s="540"/>
      <c r="N70" s="542" t="str">
        <f>'BD Team'!C14</f>
        <v>M900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252</v>
      </c>
      <c r="M71" s="540"/>
      <c r="N71" s="542" t="str">
        <f>'BD Team'!E14</f>
        <v>6MM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253</v>
      </c>
      <c r="M72" s="540"/>
      <c r="N72" s="542" t="str">
        <f>'BD Team'!F14</f>
        <v>SS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254</v>
      </c>
      <c r="D74" s="540"/>
      <c r="E74" s="286">
        <f>'BD Team'!B15</f>
        <v>0</v>
      </c>
      <c r="F74" s="288" t="s">
        <v>255</v>
      </c>
      <c r="G74" s="542">
        <f>'BD Team'!D15</f>
        <v>0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>
        <f>'BD Team'!G15</f>
        <v>0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247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178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248</v>
      </c>
      <c r="M78" s="540"/>
      <c r="N78" s="545" t="s">
        <v>256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249</v>
      </c>
      <c r="M79" s="540"/>
      <c r="N79" s="542" t="str">
        <f>CONCATENATE('BD Team'!H15," X ",'BD Team'!I15)</f>
        <v xml:space="preserve"> X 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250</v>
      </c>
      <c r="M80" s="540"/>
      <c r="N80" s="541">
        <f>'BD Team'!J15</f>
        <v>0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251</v>
      </c>
      <c r="M81" s="540"/>
      <c r="N81" s="542">
        <f>'BD Team'!C15</f>
        <v>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252</v>
      </c>
      <c r="M82" s="540"/>
      <c r="N82" s="542">
        <f>'BD Team'!E15</f>
        <v>0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253</v>
      </c>
      <c r="M83" s="540"/>
      <c r="N83" s="542">
        <f>'BD Team'!F15</f>
        <v>0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254</v>
      </c>
      <c r="D85" s="540"/>
      <c r="E85" s="286">
        <f>'BD Team'!B16</f>
        <v>0</v>
      </c>
      <c r="F85" s="288" t="s">
        <v>255</v>
      </c>
      <c r="G85" s="542">
        <f>'BD Team'!D16</f>
        <v>0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>
        <f>'BD Team'!G16</f>
        <v>0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247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178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248</v>
      </c>
      <c r="M89" s="540"/>
      <c r="N89" s="545" t="s">
        <v>256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249</v>
      </c>
      <c r="M90" s="540"/>
      <c r="N90" s="542" t="str">
        <f>CONCATENATE('BD Team'!H16," X ",'BD Team'!I16)</f>
        <v xml:space="preserve"> X 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250</v>
      </c>
      <c r="M91" s="540"/>
      <c r="N91" s="541">
        <f>'BD Team'!J16</f>
        <v>0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251</v>
      </c>
      <c r="M92" s="540"/>
      <c r="N92" s="542">
        <f>'BD Team'!C16</f>
        <v>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252</v>
      </c>
      <c r="M93" s="540"/>
      <c r="N93" s="542">
        <f>'BD Team'!E16</f>
        <v>0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253</v>
      </c>
      <c r="M94" s="540"/>
      <c r="N94" s="542">
        <f>'BD Team'!F16</f>
        <v>0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254</v>
      </c>
      <c r="D96" s="540"/>
      <c r="E96" s="286">
        <f>'BD Team'!B17</f>
        <v>0</v>
      </c>
      <c r="F96" s="288" t="s">
        <v>255</v>
      </c>
      <c r="G96" s="542">
        <f>'BD Team'!D17</f>
        <v>0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>
        <f>'BD Team'!G17</f>
        <v>0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247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178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248</v>
      </c>
      <c r="M100" s="540"/>
      <c r="N100" s="545" t="s">
        <v>256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249</v>
      </c>
      <c r="M101" s="540"/>
      <c r="N101" s="542" t="str">
        <f>CONCATENATE('BD Team'!H17," X ",'BD Team'!I17)</f>
        <v xml:space="preserve"> X 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250</v>
      </c>
      <c r="M102" s="540"/>
      <c r="N102" s="541">
        <f>'BD Team'!J17</f>
        <v>0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251</v>
      </c>
      <c r="M103" s="540"/>
      <c r="N103" s="542">
        <f>'BD Team'!C17</f>
        <v>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252</v>
      </c>
      <c r="M104" s="540"/>
      <c r="N104" s="542">
        <f>'BD Team'!E17</f>
        <v>0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253</v>
      </c>
      <c r="M105" s="540"/>
      <c r="N105" s="542">
        <f>'BD Team'!F17</f>
        <v>0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254</v>
      </c>
      <c r="D107" s="540"/>
      <c r="E107" s="286">
        <f>'BD Team'!B18</f>
        <v>0</v>
      </c>
      <c r="F107" s="288" t="s">
        <v>255</v>
      </c>
      <c r="G107" s="542">
        <f>'BD Team'!D18</f>
        <v>0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>
        <f>'BD Team'!G18</f>
        <v>0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247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178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248</v>
      </c>
      <c r="M111" s="540"/>
      <c r="N111" s="545" t="s">
        <v>256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249</v>
      </c>
      <c r="M112" s="540"/>
      <c r="N112" s="542" t="str">
        <f>CONCATENATE('BD Team'!H18," X ",'BD Team'!I18)</f>
        <v xml:space="preserve"> X 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250</v>
      </c>
      <c r="M113" s="540"/>
      <c r="N113" s="541">
        <f>'BD Team'!J18</f>
        <v>0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251</v>
      </c>
      <c r="M114" s="540"/>
      <c r="N114" s="542">
        <f>'BD Team'!C18</f>
        <v>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252</v>
      </c>
      <c r="M115" s="540"/>
      <c r="N115" s="542">
        <f>'BD Team'!E18</f>
        <v>0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253</v>
      </c>
      <c r="M116" s="540"/>
      <c r="N116" s="542">
        <f>'BD Team'!F18</f>
        <v>0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254</v>
      </c>
      <c r="D118" s="540"/>
      <c r="E118" s="286">
        <f>'BD Team'!B19</f>
        <v>0</v>
      </c>
      <c r="F118" s="288" t="s">
        <v>255</v>
      </c>
      <c r="G118" s="542">
        <f>'BD Team'!D19</f>
        <v>0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>
        <f>'BD Team'!G19</f>
        <v>0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247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178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248</v>
      </c>
      <c r="M122" s="540"/>
      <c r="N122" s="545" t="s">
        <v>256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249</v>
      </c>
      <c r="M123" s="540"/>
      <c r="N123" s="542" t="str">
        <f>CONCATENATE('BD Team'!H19," X ",'BD Team'!I19)</f>
        <v xml:space="preserve"> X 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250</v>
      </c>
      <c r="M124" s="540"/>
      <c r="N124" s="541">
        <f>'BD Team'!J19</f>
        <v>0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251</v>
      </c>
      <c r="M125" s="540"/>
      <c r="N125" s="542">
        <f>'BD Team'!C19</f>
        <v>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252</v>
      </c>
      <c r="M126" s="540"/>
      <c r="N126" s="542">
        <f>'BD Team'!E19</f>
        <v>0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253</v>
      </c>
      <c r="M127" s="540"/>
      <c r="N127" s="542">
        <f>'BD Team'!F19</f>
        <v>0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254</v>
      </c>
      <c r="D129" s="540"/>
      <c r="E129" s="286">
        <f>'BD Team'!B20</f>
        <v>0</v>
      </c>
      <c r="F129" s="288" t="s">
        <v>255</v>
      </c>
      <c r="G129" s="542">
        <f>'BD Team'!D20</f>
        <v>0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>
        <f>'BD Team'!G20</f>
        <v>0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247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178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248</v>
      </c>
      <c r="M133" s="540"/>
      <c r="N133" s="545" t="s">
        <v>256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249</v>
      </c>
      <c r="M134" s="540"/>
      <c r="N134" s="542" t="str">
        <f>CONCATENATE('BD Team'!H20," X ",'BD Team'!I20)</f>
        <v xml:space="preserve"> X 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250</v>
      </c>
      <c r="M135" s="540"/>
      <c r="N135" s="541">
        <f>'BD Team'!J20</f>
        <v>0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251</v>
      </c>
      <c r="M136" s="540"/>
      <c r="N136" s="542">
        <f>'BD Team'!C20</f>
        <v>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252</v>
      </c>
      <c r="M137" s="540"/>
      <c r="N137" s="542">
        <f>'BD Team'!E20</f>
        <v>0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253</v>
      </c>
      <c r="M138" s="540"/>
      <c r="N138" s="542">
        <f>'BD Team'!F20</f>
        <v>0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254</v>
      </c>
      <c r="D140" s="540"/>
      <c r="E140" s="286">
        <f>'BD Team'!B21</f>
        <v>0</v>
      </c>
      <c r="F140" s="288" t="s">
        <v>255</v>
      </c>
      <c r="G140" s="542">
        <f>'BD Team'!D21</f>
        <v>0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>
        <f>'BD Team'!G21</f>
        <v>0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247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178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248</v>
      </c>
      <c r="M144" s="540"/>
      <c r="N144" s="545" t="s">
        <v>256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249</v>
      </c>
      <c r="M145" s="540"/>
      <c r="N145" s="542" t="str">
        <f>CONCATENATE('BD Team'!H21," X ",'BD Team'!I21)</f>
        <v xml:space="preserve"> X 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250</v>
      </c>
      <c r="M146" s="540"/>
      <c r="N146" s="541">
        <f>'BD Team'!J21</f>
        <v>0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251</v>
      </c>
      <c r="M147" s="540"/>
      <c r="N147" s="542">
        <f>'BD Team'!C21</f>
        <v>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252</v>
      </c>
      <c r="M148" s="540"/>
      <c r="N148" s="542">
        <f>'BD Team'!E21</f>
        <v>0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253</v>
      </c>
      <c r="M149" s="540"/>
      <c r="N149" s="542">
        <f>'BD Team'!F21</f>
        <v>0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254</v>
      </c>
      <c r="D151" s="540"/>
      <c r="E151" s="286">
        <f>'BD Team'!B22</f>
        <v>0</v>
      </c>
      <c r="F151" s="288" t="s">
        <v>255</v>
      </c>
      <c r="G151" s="542">
        <f>'BD Team'!D22</f>
        <v>0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>
        <f>'BD Team'!G22</f>
        <v>0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247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178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248</v>
      </c>
      <c r="M155" s="540"/>
      <c r="N155" s="545" t="s">
        <v>256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249</v>
      </c>
      <c r="M156" s="540"/>
      <c r="N156" s="542" t="str">
        <f>CONCATENATE('BD Team'!H22," X ",'BD Team'!I22)</f>
        <v xml:space="preserve"> X 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250</v>
      </c>
      <c r="M157" s="540"/>
      <c r="N157" s="541">
        <f>'BD Team'!J22</f>
        <v>0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251</v>
      </c>
      <c r="M158" s="540"/>
      <c r="N158" s="542">
        <f>'BD Team'!C22</f>
        <v>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252</v>
      </c>
      <c r="M159" s="540"/>
      <c r="N159" s="542">
        <f>'BD Team'!E22</f>
        <v>0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253</v>
      </c>
      <c r="M160" s="540"/>
      <c r="N160" s="542">
        <f>'BD Team'!F22</f>
        <v>0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254</v>
      </c>
      <c r="D162" s="540"/>
      <c r="E162" s="286">
        <f>'BD Team'!B23</f>
        <v>0</v>
      </c>
      <c r="F162" s="288" t="s">
        <v>255</v>
      </c>
      <c r="G162" s="542">
        <f>'BD Team'!D23</f>
        <v>0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>
        <f>'BD Team'!G23</f>
        <v>0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247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178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248</v>
      </c>
      <c r="M166" s="540"/>
      <c r="N166" s="545" t="s">
        <v>256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249</v>
      </c>
      <c r="M167" s="540"/>
      <c r="N167" s="542" t="str">
        <f>CONCATENATE('BD Team'!H23," X ",'BD Team'!I23)</f>
        <v xml:space="preserve"> X 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250</v>
      </c>
      <c r="M168" s="540"/>
      <c r="N168" s="541">
        <f>'BD Team'!J23</f>
        <v>0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251</v>
      </c>
      <c r="M169" s="540"/>
      <c r="N169" s="542">
        <f>'BD Team'!C23</f>
        <v>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252</v>
      </c>
      <c r="M170" s="540"/>
      <c r="N170" s="542">
        <f>'BD Team'!E23</f>
        <v>0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253</v>
      </c>
      <c r="M171" s="540"/>
      <c r="N171" s="542">
        <f>'BD Team'!F23</f>
        <v>0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254</v>
      </c>
      <c r="D173" s="540"/>
      <c r="E173" s="286">
        <f>'BD Team'!B24</f>
        <v>0</v>
      </c>
      <c r="F173" s="288" t="s">
        <v>255</v>
      </c>
      <c r="G173" s="542">
        <f>'BD Team'!D24</f>
        <v>0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>
        <f>'BD Team'!G24</f>
        <v>0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247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178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248</v>
      </c>
      <c r="M177" s="540"/>
      <c r="N177" s="545" t="s">
        <v>256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249</v>
      </c>
      <c r="M178" s="540"/>
      <c r="N178" s="542" t="str">
        <f>CONCATENATE('BD Team'!H24," X ",'BD Team'!I24)</f>
        <v xml:space="preserve"> X 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250</v>
      </c>
      <c r="M179" s="540"/>
      <c r="N179" s="541">
        <f>'BD Team'!J24</f>
        <v>0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251</v>
      </c>
      <c r="M180" s="540"/>
      <c r="N180" s="542">
        <f>'BD Team'!C24</f>
        <v>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252</v>
      </c>
      <c r="M181" s="540"/>
      <c r="N181" s="542">
        <f>'BD Team'!E24</f>
        <v>0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253</v>
      </c>
      <c r="M182" s="540"/>
      <c r="N182" s="542">
        <f>'BD Team'!F24</f>
        <v>0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254</v>
      </c>
      <c r="D184" s="540"/>
      <c r="E184" s="286">
        <f>'BD Team'!B25</f>
        <v>0</v>
      </c>
      <c r="F184" s="288" t="s">
        <v>255</v>
      </c>
      <c r="G184" s="542">
        <f>'BD Team'!D25</f>
        <v>0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>
        <f>'BD Team'!G25</f>
        <v>0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247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178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248</v>
      </c>
      <c r="M188" s="540"/>
      <c r="N188" s="545" t="s">
        <v>256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249</v>
      </c>
      <c r="M189" s="540"/>
      <c r="N189" s="542" t="str">
        <f>CONCATENATE('BD Team'!H25," X ",'BD Team'!I25)</f>
        <v xml:space="preserve"> X 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250</v>
      </c>
      <c r="M190" s="540"/>
      <c r="N190" s="541">
        <f>'BD Team'!J25</f>
        <v>0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251</v>
      </c>
      <c r="M191" s="540"/>
      <c r="N191" s="542">
        <f>'BD Team'!C25</f>
        <v>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252</v>
      </c>
      <c r="M192" s="540"/>
      <c r="N192" s="542">
        <f>'BD Team'!E25</f>
        <v>0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253</v>
      </c>
      <c r="M193" s="540"/>
      <c r="N193" s="542">
        <f>'BD Team'!F25</f>
        <v>0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254</v>
      </c>
      <c r="D195" s="540"/>
      <c r="E195" s="286">
        <f>'BD Team'!B26</f>
        <v>0</v>
      </c>
      <c r="F195" s="288" t="s">
        <v>255</v>
      </c>
      <c r="G195" s="542">
        <f>'BD Team'!D26</f>
        <v>0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>
        <f>'BD Team'!G26</f>
        <v>0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247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178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248</v>
      </c>
      <c r="M199" s="540"/>
      <c r="N199" s="545" t="s">
        <v>256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249</v>
      </c>
      <c r="M200" s="540"/>
      <c r="N200" s="542" t="str">
        <f>CONCATENATE('BD Team'!H26," X ",'BD Team'!I26)</f>
        <v xml:space="preserve"> X 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250</v>
      </c>
      <c r="M201" s="540"/>
      <c r="N201" s="541">
        <f>'BD Team'!J26</f>
        <v>0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251</v>
      </c>
      <c r="M202" s="540"/>
      <c r="N202" s="542">
        <f>'BD Team'!C26</f>
        <v>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252</v>
      </c>
      <c r="M203" s="540"/>
      <c r="N203" s="542">
        <f>'BD Team'!E26</f>
        <v>0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253</v>
      </c>
      <c r="M204" s="540"/>
      <c r="N204" s="542">
        <f>'BD Team'!F26</f>
        <v>0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254</v>
      </c>
      <c r="D206" s="540"/>
      <c r="E206" s="286">
        <f>'BD Team'!B27</f>
        <v>0</v>
      </c>
      <c r="F206" s="288" t="s">
        <v>255</v>
      </c>
      <c r="G206" s="542">
        <f>'BD Team'!D27</f>
        <v>0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>
        <f>'BD Team'!G27</f>
        <v>0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247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178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248</v>
      </c>
      <c r="M210" s="540"/>
      <c r="N210" s="545" t="s">
        <v>256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249</v>
      </c>
      <c r="M211" s="540"/>
      <c r="N211" s="542" t="str">
        <f>CONCATENATE('BD Team'!H27," X ",'BD Team'!I27)</f>
        <v xml:space="preserve"> X 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250</v>
      </c>
      <c r="M212" s="540"/>
      <c r="N212" s="541">
        <f>'BD Team'!J27</f>
        <v>0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251</v>
      </c>
      <c r="M213" s="540"/>
      <c r="N213" s="542">
        <f>'BD Team'!C27</f>
        <v>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252</v>
      </c>
      <c r="M214" s="540"/>
      <c r="N214" s="542">
        <f>'BD Team'!E27</f>
        <v>0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253</v>
      </c>
      <c r="M215" s="540"/>
      <c r="N215" s="542">
        <f>'BD Team'!F27</f>
        <v>0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254</v>
      </c>
      <c r="D217" s="540"/>
      <c r="E217" s="286">
        <f>'BD Team'!B28</f>
        <v>0</v>
      </c>
      <c r="F217" s="288" t="s">
        <v>255</v>
      </c>
      <c r="G217" s="542">
        <f>'BD Team'!D28</f>
        <v>0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>
        <f>'BD Team'!G28</f>
        <v>0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247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178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248</v>
      </c>
      <c r="M221" s="540"/>
      <c r="N221" s="545" t="s">
        <v>256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249</v>
      </c>
      <c r="M222" s="540"/>
      <c r="N222" s="542" t="str">
        <f>CONCATENATE('BD Team'!H28," X ",'BD Team'!I28)</f>
        <v xml:space="preserve"> X 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250</v>
      </c>
      <c r="M223" s="540"/>
      <c r="N223" s="541">
        <f>'BD Team'!J28</f>
        <v>0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251</v>
      </c>
      <c r="M224" s="540"/>
      <c r="N224" s="542">
        <f>'BD Team'!C28</f>
        <v>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252</v>
      </c>
      <c r="M225" s="540"/>
      <c r="N225" s="542">
        <f>'BD Team'!E28</f>
        <v>0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253</v>
      </c>
      <c r="M226" s="540"/>
      <c r="N226" s="542">
        <f>'BD Team'!F28</f>
        <v>0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254</v>
      </c>
      <c r="D228" s="540"/>
      <c r="E228" s="286">
        <f>'BD Team'!B29</f>
        <v>0</v>
      </c>
      <c r="F228" s="288" t="s">
        <v>255</v>
      </c>
      <c r="G228" s="542">
        <f>'BD Team'!D29</f>
        <v>0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>
        <f>'BD Team'!G29</f>
        <v>0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247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178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248</v>
      </c>
      <c r="M232" s="540"/>
      <c r="N232" s="545" t="s">
        <v>256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249</v>
      </c>
      <c r="M233" s="540"/>
      <c r="N233" s="542" t="str">
        <f>CONCATENATE('BD Team'!H29," X ",'BD Team'!I29)</f>
        <v xml:space="preserve"> X 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250</v>
      </c>
      <c r="M234" s="540"/>
      <c r="N234" s="541">
        <f>'BD Team'!J29</f>
        <v>0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251</v>
      </c>
      <c r="M235" s="540"/>
      <c r="N235" s="542">
        <f>'BD Team'!C29</f>
        <v>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252</v>
      </c>
      <c r="M236" s="540"/>
      <c r="N236" s="542">
        <f>'BD Team'!E29</f>
        <v>0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253</v>
      </c>
      <c r="M237" s="540"/>
      <c r="N237" s="542">
        <f>'BD Team'!F29</f>
        <v>0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254</v>
      </c>
      <c r="D239" s="540"/>
      <c r="E239" s="286">
        <f>'BD Team'!B30</f>
        <v>0</v>
      </c>
      <c r="F239" s="288" t="s">
        <v>255</v>
      </c>
      <c r="G239" s="542">
        <f>'BD Team'!D30</f>
        <v>0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>
        <f>'BD Team'!G30</f>
        <v>0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247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178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248</v>
      </c>
      <c r="M243" s="540"/>
      <c r="N243" s="545" t="s">
        <v>256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249</v>
      </c>
      <c r="M244" s="540"/>
      <c r="N244" s="542" t="str">
        <f>CONCATENATE('BD Team'!H30," X ",'BD Team'!I30)</f>
        <v xml:space="preserve"> X 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250</v>
      </c>
      <c r="M245" s="540"/>
      <c r="N245" s="541">
        <f>'BD Team'!J30</f>
        <v>0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251</v>
      </c>
      <c r="M246" s="540"/>
      <c r="N246" s="542">
        <f>'BD Team'!C30</f>
        <v>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252</v>
      </c>
      <c r="M247" s="540"/>
      <c r="N247" s="542">
        <f>'BD Team'!E30</f>
        <v>0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253</v>
      </c>
      <c r="M248" s="540"/>
      <c r="N248" s="542">
        <f>'BD Team'!F30</f>
        <v>0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254</v>
      </c>
      <c r="D250" s="540"/>
      <c r="E250" s="286">
        <f>'BD Team'!B31</f>
        <v>0</v>
      </c>
      <c r="F250" s="288" t="s">
        <v>255</v>
      </c>
      <c r="G250" s="542">
        <f>'BD Team'!D31</f>
        <v>0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>
        <f>'BD Team'!G31</f>
        <v>0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247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178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248</v>
      </c>
      <c r="M254" s="540"/>
      <c r="N254" s="545" t="s">
        <v>256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249</v>
      </c>
      <c r="M255" s="540"/>
      <c r="N255" s="542" t="str">
        <f>CONCATENATE('BD Team'!H31," X ",'BD Team'!I31)</f>
        <v xml:space="preserve"> X 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250</v>
      </c>
      <c r="M256" s="540"/>
      <c r="N256" s="541">
        <f>'BD Team'!J31</f>
        <v>0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251</v>
      </c>
      <c r="M257" s="540"/>
      <c r="N257" s="542">
        <f>'BD Team'!C31</f>
        <v>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252</v>
      </c>
      <c r="M258" s="540"/>
      <c r="N258" s="542">
        <f>'BD Team'!E31</f>
        <v>0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253</v>
      </c>
      <c r="M259" s="540"/>
      <c r="N259" s="542">
        <f>'BD Team'!F31</f>
        <v>0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254</v>
      </c>
      <c r="D261" s="540"/>
      <c r="E261" s="286">
        <f>'BD Team'!B32</f>
        <v>0</v>
      </c>
      <c r="F261" s="288" t="s">
        <v>255</v>
      </c>
      <c r="G261" s="542">
        <f>'BD Team'!D32</f>
        <v>0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>
        <f>'BD Team'!G32</f>
        <v>0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247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178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248</v>
      </c>
      <c r="M265" s="540"/>
      <c r="N265" s="545" t="s">
        <v>256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249</v>
      </c>
      <c r="M266" s="540"/>
      <c r="N266" s="542" t="str">
        <f>CONCATENATE('BD Team'!H32," X ",'BD Team'!I32)</f>
        <v xml:space="preserve"> X 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250</v>
      </c>
      <c r="M267" s="540"/>
      <c r="N267" s="541">
        <f>'BD Team'!J32</f>
        <v>0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251</v>
      </c>
      <c r="M268" s="540"/>
      <c r="N268" s="542">
        <f>'BD Team'!C32</f>
        <v>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252</v>
      </c>
      <c r="M269" s="540"/>
      <c r="N269" s="542">
        <f>'BD Team'!E32</f>
        <v>0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253</v>
      </c>
      <c r="M270" s="540"/>
      <c r="N270" s="542">
        <f>'BD Team'!F32</f>
        <v>0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254</v>
      </c>
      <c r="D272" s="540"/>
      <c r="E272" s="286">
        <f>'BD Team'!B33</f>
        <v>0</v>
      </c>
      <c r="F272" s="288" t="s">
        <v>255</v>
      </c>
      <c r="G272" s="542">
        <f>'BD Team'!D33</f>
        <v>0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>
        <f>'BD Team'!G33</f>
        <v>0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247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178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248</v>
      </c>
      <c r="M276" s="540"/>
      <c r="N276" s="545" t="s">
        <v>256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249</v>
      </c>
      <c r="M277" s="540"/>
      <c r="N277" s="542" t="str">
        <f>CONCATENATE('BD Team'!H33," X ",'BD Team'!I33)</f>
        <v xml:space="preserve"> X 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250</v>
      </c>
      <c r="M278" s="540"/>
      <c r="N278" s="541">
        <f>'BD Team'!J33</f>
        <v>0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251</v>
      </c>
      <c r="M279" s="540"/>
      <c r="N279" s="542">
        <f>'BD Team'!C33</f>
        <v>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252</v>
      </c>
      <c r="M280" s="540"/>
      <c r="N280" s="542">
        <f>'BD Team'!E33</f>
        <v>0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253</v>
      </c>
      <c r="M281" s="540"/>
      <c r="N281" s="542">
        <f>'BD Team'!F33</f>
        <v>0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254</v>
      </c>
      <c r="D283" s="540"/>
      <c r="E283" s="286">
        <f>'BD Team'!B34</f>
        <v>0</v>
      </c>
      <c r="F283" s="288" t="s">
        <v>255</v>
      </c>
      <c r="G283" s="542">
        <f>'BD Team'!D34</f>
        <v>0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>
        <f>'BD Team'!G34</f>
        <v>0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247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178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248</v>
      </c>
      <c r="M287" s="540"/>
      <c r="N287" s="545" t="s">
        <v>256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249</v>
      </c>
      <c r="M288" s="540"/>
      <c r="N288" s="542" t="str">
        <f>CONCATENATE('BD Team'!H34," X ",'BD Team'!I34)</f>
        <v xml:space="preserve"> X 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250</v>
      </c>
      <c r="M289" s="540"/>
      <c r="N289" s="541">
        <f>'BD Team'!J34</f>
        <v>0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251</v>
      </c>
      <c r="M290" s="540"/>
      <c r="N290" s="542">
        <f>'BD Team'!C34</f>
        <v>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252</v>
      </c>
      <c r="M291" s="540"/>
      <c r="N291" s="542">
        <f>'BD Team'!E34</f>
        <v>0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253</v>
      </c>
      <c r="M292" s="540"/>
      <c r="N292" s="542">
        <f>'BD Team'!F34</f>
        <v>0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254</v>
      </c>
      <c r="D294" s="540"/>
      <c r="E294" s="286">
        <f>'BD Team'!B35</f>
        <v>0</v>
      </c>
      <c r="F294" s="288" t="s">
        <v>255</v>
      </c>
      <c r="G294" s="542">
        <f>'BD Team'!D35</f>
        <v>0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>
        <f>'BD Team'!G35</f>
        <v>0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247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178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248</v>
      </c>
      <c r="M298" s="540"/>
      <c r="N298" s="545" t="s">
        <v>256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249</v>
      </c>
      <c r="M299" s="540"/>
      <c r="N299" s="542" t="str">
        <f>CONCATENATE('BD Team'!H35," X ",'BD Team'!I35)</f>
        <v xml:space="preserve"> X 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250</v>
      </c>
      <c r="M300" s="540"/>
      <c r="N300" s="541">
        <f>'BD Team'!J35</f>
        <v>0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251</v>
      </c>
      <c r="M301" s="540"/>
      <c r="N301" s="542">
        <f>'BD Team'!C35</f>
        <v>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252</v>
      </c>
      <c r="M302" s="540"/>
      <c r="N302" s="542">
        <f>'BD Team'!E35</f>
        <v>0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253</v>
      </c>
      <c r="M303" s="540"/>
      <c r="N303" s="542">
        <f>'BD Team'!F35</f>
        <v>0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254</v>
      </c>
      <c r="D305" s="540"/>
      <c r="E305" s="286">
        <f>'BD Team'!B36</f>
        <v>0</v>
      </c>
      <c r="F305" s="288" t="s">
        <v>255</v>
      </c>
      <c r="G305" s="542">
        <f>'BD Team'!D36</f>
        <v>0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>
        <f>'BD Team'!G36</f>
        <v>0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247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178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248</v>
      </c>
      <c r="M309" s="540"/>
      <c r="N309" s="545" t="s">
        <v>256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249</v>
      </c>
      <c r="M310" s="540"/>
      <c r="N310" s="542" t="str">
        <f>CONCATENATE('BD Team'!H36," X ",'BD Team'!I36)</f>
        <v xml:space="preserve"> X 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250</v>
      </c>
      <c r="M311" s="540"/>
      <c r="N311" s="541">
        <f>'BD Team'!J36</f>
        <v>0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251</v>
      </c>
      <c r="M312" s="540"/>
      <c r="N312" s="542">
        <f>'BD Team'!C36</f>
        <v>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252</v>
      </c>
      <c r="M313" s="540"/>
      <c r="N313" s="542">
        <f>'BD Team'!E36</f>
        <v>0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253</v>
      </c>
      <c r="M314" s="540"/>
      <c r="N314" s="542">
        <f>'BD Team'!F36</f>
        <v>0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254</v>
      </c>
      <c r="D316" s="540"/>
      <c r="E316" s="286">
        <f>'BD Team'!B37</f>
        <v>0</v>
      </c>
      <c r="F316" s="288" t="s">
        <v>255</v>
      </c>
      <c r="G316" s="542">
        <f>'BD Team'!D37</f>
        <v>0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>
        <f>'BD Team'!G37</f>
        <v>0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247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178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248</v>
      </c>
      <c r="M320" s="540"/>
      <c r="N320" s="545" t="s">
        <v>256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249</v>
      </c>
      <c r="M321" s="540"/>
      <c r="N321" s="542" t="str">
        <f>CONCATENATE('BD Team'!H37," X ",'BD Team'!I37)</f>
        <v xml:space="preserve"> X 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250</v>
      </c>
      <c r="M322" s="540"/>
      <c r="N322" s="541">
        <f>'BD Team'!J37</f>
        <v>0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251</v>
      </c>
      <c r="M323" s="540"/>
      <c r="N323" s="542">
        <f>'BD Team'!C37</f>
        <v>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252</v>
      </c>
      <c r="M324" s="540"/>
      <c r="N324" s="542">
        <f>'BD Team'!E37</f>
        <v>0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253</v>
      </c>
      <c r="M325" s="540"/>
      <c r="N325" s="542">
        <f>'BD Team'!F37</f>
        <v>0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254</v>
      </c>
      <c r="D327" s="540"/>
      <c r="E327" s="286">
        <f>'BD Team'!B38</f>
        <v>0</v>
      </c>
      <c r="F327" s="288" t="s">
        <v>255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247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178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248</v>
      </c>
      <c r="M331" s="540"/>
      <c r="N331" s="545" t="s">
        <v>256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249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250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251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252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253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254</v>
      </c>
      <c r="D338" s="540"/>
      <c r="E338" s="286">
        <f>'BD Team'!B39</f>
        <v>0</v>
      </c>
      <c r="F338" s="288" t="s">
        <v>255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247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178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248</v>
      </c>
      <c r="M342" s="540"/>
      <c r="N342" s="545" t="s">
        <v>256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249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250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251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252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253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254</v>
      </c>
      <c r="D349" s="540"/>
      <c r="E349" s="286">
        <f>'BD Team'!B40</f>
        <v>0</v>
      </c>
      <c r="F349" s="288" t="s">
        <v>255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247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178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248</v>
      </c>
      <c r="M353" s="540"/>
      <c r="N353" s="545" t="s">
        <v>256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249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250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251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252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253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254</v>
      </c>
      <c r="D360" s="540"/>
      <c r="E360" s="286">
        <f>'BD Team'!B41</f>
        <v>0</v>
      </c>
      <c r="F360" s="288" t="s">
        <v>255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247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178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248</v>
      </c>
      <c r="M364" s="540"/>
      <c r="N364" s="545" t="s">
        <v>256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249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250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251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252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253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254</v>
      </c>
      <c r="D371" s="540"/>
      <c r="E371" s="286">
        <f>'BD Team'!B42</f>
        <v>0</v>
      </c>
      <c r="F371" s="288" t="s">
        <v>255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247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178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248</v>
      </c>
      <c r="M375" s="540"/>
      <c r="N375" s="545" t="s">
        <v>256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249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250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251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252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253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254</v>
      </c>
      <c r="D382" s="540"/>
      <c r="E382" s="286">
        <f>'BD Team'!B43</f>
        <v>0</v>
      </c>
      <c r="F382" s="288" t="s">
        <v>255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247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178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248</v>
      </c>
      <c r="M386" s="540"/>
      <c r="N386" s="545" t="s">
        <v>256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249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250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251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252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253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254</v>
      </c>
      <c r="D393" s="540"/>
      <c r="E393" s="286">
        <f>'BD Team'!B44</f>
        <v>0</v>
      </c>
      <c r="F393" s="288" t="s">
        <v>255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247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178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248</v>
      </c>
      <c r="M397" s="540"/>
      <c r="N397" s="545" t="s">
        <v>256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249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250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251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252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253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254</v>
      </c>
      <c r="D404" s="540"/>
      <c r="E404" s="286">
        <f>'BD Team'!B45</f>
        <v>0</v>
      </c>
      <c r="F404" s="288" t="s">
        <v>255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247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178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248</v>
      </c>
      <c r="M408" s="540"/>
      <c r="N408" s="545" t="s">
        <v>256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249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250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251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252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253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254</v>
      </c>
      <c r="D415" s="540"/>
      <c r="E415" s="286">
        <f>'BD Team'!B46</f>
        <v>0</v>
      </c>
      <c r="F415" s="288" t="s">
        <v>255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247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178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248</v>
      </c>
      <c r="M419" s="540"/>
      <c r="N419" s="545" t="s">
        <v>256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249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250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251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252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253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254</v>
      </c>
      <c r="D426" s="540"/>
      <c r="E426" s="286">
        <f>'BD Team'!B47</f>
        <v>0</v>
      </c>
      <c r="F426" s="288" t="s">
        <v>255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247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178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248</v>
      </c>
      <c r="M430" s="540"/>
      <c r="N430" s="545" t="s">
        <v>256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249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250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251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252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253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254</v>
      </c>
      <c r="D437" s="540"/>
      <c r="E437" s="286">
        <f>'BD Team'!B48</f>
        <v>0</v>
      </c>
      <c r="F437" s="288" t="s">
        <v>255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247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178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248</v>
      </c>
      <c r="M441" s="540"/>
      <c r="N441" s="545" t="s">
        <v>256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249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250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251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252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253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254</v>
      </c>
      <c r="D448" s="540"/>
      <c r="E448" s="286">
        <f>'BD Team'!B49</f>
        <v>0</v>
      </c>
      <c r="F448" s="288" t="s">
        <v>255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247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178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248</v>
      </c>
      <c r="M452" s="540"/>
      <c r="N452" s="545" t="s">
        <v>256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249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250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251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252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253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254</v>
      </c>
      <c r="D459" s="540"/>
      <c r="E459" s="286">
        <f>'BD Team'!B50</f>
        <v>0</v>
      </c>
      <c r="F459" s="288" t="s">
        <v>255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247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178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248</v>
      </c>
      <c r="M463" s="540"/>
      <c r="N463" s="545" t="s">
        <v>256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249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250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251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252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253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254</v>
      </c>
      <c r="D470" s="540"/>
      <c r="E470" s="286">
        <f>'BD Team'!B51</f>
        <v>0</v>
      </c>
      <c r="F470" s="288" t="s">
        <v>255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247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178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248</v>
      </c>
      <c r="M474" s="540"/>
      <c r="N474" s="545" t="s">
        <v>256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249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250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251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252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253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254</v>
      </c>
      <c r="D481" s="540"/>
      <c r="E481" s="286">
        <f>'BD Team'!B52</f>
        <v>0</v>
      </c>
      <c r="F481" s="288" t="s">
        <v>255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247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178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248</v>
      </c>
      <c r="M485" s="540"/>
      <c r="N485" s="545" t="s">
        <v>256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249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250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251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252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253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254</v>
      </c>
      <c r="D492" s="540"/>
      <c r="E492" s="286">
        <f>'BD Team'!B53</f>
        <v>0</v>
      </c>
      <c r="F492" s="288" t="s">
        <v>255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247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178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248</v>
      </c>
      <c r="M496" s="540"/>
      <c r="N496" s="545" t="s">
        <v>256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249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250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251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252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253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254</v>
      </c>
      <c r="D503" s="540"/>
      <c r="E503" s="286">
        <f>'BD Team'!B54</f>
        <v>0</v>
      </c>
      <c r="F503" s="288" t="s">
        <v>255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247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178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248</v>
      </c>
      <c r="M507" s="540"/>
      <c r="N507" s="545" t="s">
        <v>256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249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250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251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252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253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254</v>
      </c>
      <c r="D514" s="540"/>
      <c r="E514" s="286">
        <f>'BD Team'!B55</f>
        <v>0</v>
      </c>
      <c r="F514" s="288" t="s">
        <v>255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247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178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248</v>
      </c>
      <c r="M518" s="540"/>
      <c r="N518" s="545" t="s">
        <v>256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249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250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251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252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253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254</v>
      </c>
      <c r="D525" s="540"/>
      <c r="E525" s="286">
        <f>'BD Team'!B56</f>
        <v>0</v>
      </c>
      <c r="F525" s="288" t="s">
        <v>255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247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178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248</v>
      </c>
      <c r="M529" s="540"/>
      <c r="N529" s="545" t="s">
        <v>256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249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250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251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252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253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254</v>
      </c>
      <c r="D536" s="540"/>
      <c r="E536" s="286">
        <f>'BD Team'!B57</f>
        <v>0</v>
      </c>
      <c r="F536" s="288" t="s">
        <v>255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247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178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248</v>
      </c>
      <c r="M540" s="540"/>
      <c r="N540" s="545" t="s">
        <v>256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249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250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251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252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253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254</v>
      </c>
      <c r="D547" s="540"/>
      <c r="E547" s="286">
        <f>'BD Team'!B58</f>
        <v>0</v>
      </c>
      <c r="F547" s="288" t="s">
        <v>255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247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178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248</v>
      </c>
      <c r="M551" s="540"/>
      <c r="N551" s="545" t="s">
        <v>256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249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250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251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252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253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254</v>
      </c>
      <c r="D558" s="540"/>
      <c r="E558" s="289">
        <f>'BD Team'!B59</f>
        <v>0</v>
      </c>
      <c r="F558" s="288" t="s">
        <v>255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247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178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248</v>
      </c>
      <c r="M562" s="540"/>
      <c r="N562" s="545" t="s">
        <v>256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249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250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251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252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253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254</v>
      </c>
      <c r="D569" s="540"/>
      <c r="E569" s="289">
        <f>'BD Team'!B60</f>
        <v>0</v>
      </c>
      <c r="F569" s="288" t="s">
        <v>255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247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178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248</v>
      </c>
      <c r="M573" s="540"/>
      <c r="N573" s="545" t="s">
        <v>256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249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250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251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252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253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254</v>
      </c>
      <c r="D580" s="540"/>
      <c r="E580" s="289">
        <f>'BD Team'!B61</f>
        <v>0</v>
      </c>
      <c r="F580" s="288" t="s">
        <v>255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247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178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248</v>
      </c>
      <c r="M584" s="540"/>
      <c r="N584" s="545" t="s">
        <v>256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249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250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251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252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253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254</v>
      </c>
      <c r="D591" s="540"/>
      <c r="E591" s="289">
        <f>'BD Team'!B62</f>
        <v>0</v>
      </c>
      <c r="F591" s="288" t="s">
        <v>255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247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178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248</v>
      </c>
      <c r="M595" s="540"/>
      <c r="N595" s="545" t="s">
        <v>256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249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250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251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252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253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254</v>
      </c>
      <c r="D602" s="540"/>
      <c r="E602" s="289">
        <f>'BD Team'!B63</f>
        <v>0</v>
      </c>
      <c r="F602" s="288" t="s">
        <v>255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247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178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248</v>
      </c>
      <c r="M606" s="540"/>
      <c r="N606" s="545" t="s">
        <v>256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249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250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251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252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253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254</v>
      </c>
      <c r="D613" s="540"/>
      <c r="E613" s="289">
        <f>'BD Team'!B64</f>
        <v>0</v>
      </c>
      <c r="F613" s="288" t="s">
        <v>255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247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178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248</v>
      </c>
      <c r="M617" s="540"/>
      <c r="N617" s="545" t="s">
        <v>256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249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250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251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252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253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254</v>
      </c>
      <c r="D624" s="540"/>
      <c r="E624" s="289">
        <f>'BD Team'!B65</f>
        <v>0</v>
      </c>
      <c r="F624" s="288" t="s">
        <v>255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247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178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248</v>
      </c>
      <c r="M628" s="540"/>
      <c r="N628" s="545" t="s">
        <v>256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249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250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251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252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253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254</v>
      </c>
      <c r="D635" s="540"/>
      <c r="E635" s="289">
        <f>'BD Team'!B66</f>
        <v>0</v>
      </c>
      <c r="F635" s="288" t="s">
        <v>255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247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178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248</v>
      </c>
      <c r="M639" s="540"/>
      <c r="N639" s="545" t="s">
        <v>256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249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250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251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252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253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254</v>
      </c>
      <c r="D646" s="540"/>
      <c r="E646" s="289">
        <f>'BD Team'!B67</f>
        <v>0</v>
      </c>
      <c r="F646" s="288" t="s">
        <v>255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247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178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248</v>
      </c>
      <c r="M650" s="540"/>
      <c r="N650" s="545" t="s">
        <v>256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249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250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251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252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253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254</v>
      </c>
      <c r="D657" s="540"/>
      <c r="E657" s="289">
        <f>'BD Team'!B68</f>
        <v>0</v>
      </c>
      <c r="F657" s="288" t="s">
        <v>255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247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178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248</v>
      </c>
      <c r="M661" s="540"/>
      <c r="N661" s="545" t="s">
        <v>256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249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250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251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252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253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254</v>
      </c>
      <c r="D668" s="540"/>
      <c r="E668" s="289">
        <f>'BD Team'!B69</f>
        <v>0</v>
      </c>
      <c r="F668" s="288" t="s">
        <v>255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247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178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248</v>
      </c>
      <c r="M672" s="540"/>
      <c r="N672" s="545" t="s">
        <v>256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249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250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251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252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253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254</v>
      </c>
      <c r="D679" s="540"/>
      <c r="E679" s="289">
        <f>'BD Team'!B70</f>
        <v>0</v>
      </c>
      <c r="F679" s="288" t="s">
        <v>255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247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178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248</v>
      </c>
      <c r="M683" s="540"/>
      <c r="N683" s="545" t="s">
        <v>256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249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250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251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252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253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254</v>
      </c>
      <c r="D690" s="540"/>
      <c r="E690" s="289">
        <f>'BD Team'!B71</f>
        <v>0</v>
      </c>
      <c r="F690" s="288" t="s">
        <v>255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247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178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248</v>
      </c>
      <c r="M694" s="540"/>
      <c r="N694" s="545" t="s">
        <v>256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249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250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251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252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253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254</v>
      </c>
      <c r="D701" s="540"/>
      <c r="E701" s="289">
        <f>'BD Team'!B72</f>
        <v>0</v>
      </c>
      <c r="F701" s="288" t="s">
        <v>255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247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178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248</v>
      </c>
      <c r="M705" s="540"/>
      <c r="N705" s="545" t="s">
        <v>256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249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250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251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252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253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254</v>
      </c>
      <c r="D712" s="540"/>
      <c r="E712" s="289">
        <f>'BD Team'!B73</f>
        <v>0</v>
      </c>
      <c r="F712" s="288" t="s">
        <v>255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247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178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248</v>
      </c>
      <c r="M716" s="540"/>
      <c r="N716" s="545" t="s">
        <v>256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249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250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251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252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253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254</v>
      </c>
      <c r="D723" s="540"/>
      <c r="E723" s="289">
        <f>'BD Team'!B74</f>
        <v>0</v>
      </c>
      <c r="F723" s="288" t="s">
        <v>255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247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178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248</v>
      </c>
      <c r="M727" s="540"/>
      <c r="N727" s="545" t="s">
        <v>256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249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250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251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252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253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254</v>
      </c>
      <c r="D734" s="540"/>
      <c r="E734" s="289">
        <f>'BD Team'!B75</f>
        <v>0</v>
      </c>
      <c r="F734" s="288" t="s">
        <v>255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247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178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248</v>
      </c>
      <c r="M738" s="540"/>
      <c r="N738" s="545" t="s">
        <v>256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249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250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251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252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253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254</v>
      </c>
      <c r="D745" s="540"/>
      <c r="E745" s="289">
        <f>'BD Team'!B76</f>
        <v>0</v>
      </c>
      <c r="F745" s="288" t="s">
        <v>255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247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178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248</v>
      </c>
      <c r="M749" s="540"/>
      <c r="N749" s="545" t="s">
        <v>256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249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250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251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252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253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254</v>
      </c>
      <c r="D756" s="540"/>
      <c r="E756" s="289">
        <f>'BD Team'!B77</f>
        <v>0</v>
      </c>
      <c r="F756" s="288" t="s">
        <v>255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247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178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248</v>
      </c>
      <c r="M760" s="540"/>
      <c r="N760" s="545" t="s">
        <v>256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249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250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251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252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253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254</v>
      </c>
      <c r="D767" s="540"/>
      <c r="E767" s="289">
        <f>'BD Team'!B78</f>
        <v>0</v>
      </c>
      <c r="F767" s="288" t="s">
        <v>255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247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178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248</v>
      </c>
      <c r="M771" s="540"/>
      <c r="N771" s="545" t="s">
        <v>256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249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250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251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252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253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254</v>
      </c>
      <c r="D778" s="540"/>
      <c r="E778" s="289">
        <f>'BD Team'!B79</f>
        <v>0</v>
      </c>
      <c r="F778" s="288" t="s">
        <v>255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247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178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248</v>
      </c>
      <c r="M782" s="540"/>
      <c r="N782" s="545" t="s">
        <v>256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249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250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251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252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253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254</v>
      </c>
      <c r="D789" s="540"/>
      <c r="E789" s="289">
        <f>'BD Team'!B80</f>
        <v>0</v>
      </c>
      <c r="F789" s="288" t="s">
        <v>255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247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178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248</v>
      </c>
      <c r="M793" s="540"/>
      <c r="N793" s="545" t="s">
        <v>256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249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250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251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252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253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254</v>
      </c>
      <c r="D800" s="540"/>
      <c r="E800" s="289">
        <f>'BD Team'!B81</f>
        <v>0</v>
      </c>
      <c r="F800" s="288" t="s">
        <v>255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247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178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248</v>
      </c>
      <c r="M804" s="540"/>
      <c r="N804" s="545" t="s">
        <v>256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249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250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251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252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253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254</v>
      </c>
      <c r="D811" s="540"/>
      <c r="E811" s="289">
        <f>'BD Team'!B82</f>
        <v>0</v>
      </c>
      <c r="F811" s="288" t="s">
        <v>255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247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178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248</v>
      </c>
      <c r="M815" s="540"/>
      <c r="N815" s="545" t="s">
        <v>256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249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250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251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252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253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254</v>
      </c>
      <c r="D822" s="540"/>
      <c r="E822" s="289">
        <f>'BD Team'!B83</f>
        <v>0</v>
      </c>
      <c r="F822" s="288" t="s">
        <v>255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247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178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248</v>
      </c>
      <c r="M826" s="540"/>
      <c r="N826" s="545" t="s">
        <v>256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249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250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251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252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253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254</v>
      </c>
      <c r="D833" s="540"/>
      <c r="E833" s="289">
        <f>'BD Team'!B84</f>
        <v>0</v>
      </c>
      <c r="F833" s="288" t="s">
        <v>255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247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178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248</v>
      </c>
      <c r="M837" s="540"/>
      <c r="N837" s="545" t="s">
        <v>256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249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250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251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252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253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254</v>
      </c>
      <c r="D844" s="540"/>
      <c r="E844" s="289">
        <f>'BD Team'!B85</f>
        <v>0</v>
      </c>
      <c r="F844" s="288" t="s">
        <v>255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247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178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248</v>
      </c>
      <c r="M848" s="540"/>
      <c r="N848" s="545" t="s">
        <v>256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249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250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251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252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253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254</v>
      </c>
      <c r="D855" s="540"/>
      <c r="E855" s="289">
        <f>'BD Team'!B86</f>
        <v>0</v>
      </c>
      <c r="F855" s="288" t="s">
        <v>255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247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178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248</v>
      </c>
      <c r="M859" s="540"/>
      <c r="N859" s="545" t="s">
        <v>256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249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250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251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252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253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254</v>
      </c>
      <c r="D866" s="540"/>
      <c r="E866" s="289">
        <f>'BD Team'!B87</f>
        <v>0</v>
      </c>
      <c r="F866" s="288" t="s">
        <v>255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247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178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248</v>
      </c>
      <c r="M870" s="540"/>
      <c r="N870" s="545" t="s">
        <v>256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249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250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251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252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253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254</v>
      </c>
      <c r="D877" s="540"/>
      <c r="E877" s="289">
        <f>'BD Team'!B88</f>
        <v>0</v>
      </c>
      <c r="F877" s="288" t="s">
        <v>255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247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178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248</v>
      </c>
      <c r="M881" s="540"/>
      <c r="N881" s="545" t="s">
        <v>256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249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250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251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252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253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254</v>
      </c>
      <c r="D888" s="540"/>
      <c r="E888" s="289">
        <f>'BD Team'!B89</f>
        <v>0</v>
      </c>
      <c r="F888" s="288" t="s">
        <v>255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247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178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248</v>
      </c>
      <c r="M892" s="540"/>
      <c r="N892" s="545" t="s">
        <v>256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249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250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251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252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253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254</v>
      </c>
      <c r="D899" s="540"/>
      <c r="E899" s="289">
        <f>'BD Team'!B90</f>
        <v>0</v>
      </c>
      <c r="F899" s="288" t="s">
        <v>255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247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178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248</v>
      </c>
      <c r="M903" s="540"/>
      <c r="N903" s="545" t="s">
        <v>256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249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250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251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252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253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254</v>
      </c>
      <c r="D910" s="540"/>
      <c r="E910" s="289">
        <f>'BD Team'!B91</f>
        <v>0</v>
      </c>
      <c r="F910" s="288" t="s">
        <v>255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247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178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248</v>
      </c>
      <c r="M914" s="540"/>
      <c r="N914" s="545" t="s">
        <v>256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249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250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251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252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253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254</v>
      </c>
      <c r="D921" s="540"/>
      <c r="E921" s="289">
        <f>'BD Team'!B92</f>
        <v>0</v>
      </c>
      <c r="F921" s="288" t="s">
        <v>255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247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178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248</v>
      </c>
      <c r="M925" s="540"/>
      <c r="N925" s="545" t="s">
        <v>256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249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250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251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252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253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254</v>
      </c>
      <c r="D932" s="540"/>
      <c r="E932" s="289">
        <f>'BD Team'!B93</f>
        <v>0</v>
      </c>
      <c r="F932" s="288" t="s">
        <v>255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247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178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248</v>
      </c>
      <c r="M936" s="540"/>
      <c r="N936" s="545" t="s">
        <v>256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249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250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251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252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253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254</v>
      </c>
      <c r="D943" s="540"/>
      <c r="E943" s="289">
        <f>'BD Team'!B94</f>
        <v>0</v>
      </c>
      <c r="F943" s="288" t="s">
        <v>255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247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178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248</v>
      </c>
      <c r="M947" s="540"/>
      <c r="N947" s="545" t="s">
        <v>256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249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250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251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252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253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254</v>
      </c>
      <c r="D954" s="540"/>
      <c r="E954" s="289">
        <f>'BD Team'!B95</f>
        <v>0</v>
      </c>
      <c r="F954" s="288" t="s">
        <v>255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247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178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248</v>
      </c>
      <c r="M958" s="540"/>
      <c r="N958" s="545" t="s">
        <v>256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249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250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251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252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253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254</v>
      </c>
      <c r="D965" s="540"/>
      <c r="E965" s="289">
        <f>'BD Team'!B96</f>
        <v>0</v>
      </c>
      <c r="F965" s="288" t="s">
        <v>255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247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178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248</v>
      </c>
      <c r="M969" s="540"/>
      <c r="N969" s="545" t="s">
        <v>256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249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250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251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252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253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254</v>
      </c>
      <c r="D976" s="540"/>
      <c r="E976" s="289">
        <f>'BD Team'!B97</f>
        <v>0</v>
      </c>
      <c r="F976" s="288" t="s">
        <v>255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247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178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248</v>
      </c>
      <c r="M980" s="540"/>
      <c r="N980" s="545" t="s">
        <v>256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249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250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251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252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253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254</v>
      </c>
      <c r="D987" s="540"/>
      <c r="E987" s="289">
        <f>'BD Team'!B98</f>
        <v>0</v>
      </c>
      <c r="F987" s="288" t="s">
        <v>255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247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178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248</v>
      </c>
      <c r="M991" s="540"/>
      <c r="N991" s="545" t="s">
        <v>256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249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250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251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252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253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254</v>
      </c>
      <c r="D998" s="540"/>
      <c r="E998" s="289">
        <f>'BD Team'!B99</f>
        <v>0</v>
      </c>
      <c r="F998" s="288" t="s">
        <v>255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247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178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248</v>
      </c>
      <c r="M1002" s="540"/>
      <c r="N1002" s="545" t="s">
        <v>256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249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250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251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252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253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254</v>
      </c>
      <c r="D1009" s="540"/>
      <c r="E1009" s="289">
        <f>'BD Team'!B100</f>
        <v>0</v>
      </c>
      <c r="F1009" s="288" t="s">
        <v>255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247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178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248</v>
      </c>
      <c r="M1013" s="540"/>
      <c r="N1013" s="545" t="s">
        <v>256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249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250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251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252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253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254</v>
      </c>
      <c r="D1020" s="540"/>
      <c r="E1020" s="289">
        <f>'BD Team'!B101</f>
        <v>0</v>
      </c>
      <c r="F1020" s="288" t="s">
        <v>255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247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178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248</v>
      </c>
      <c r="M1024" s="540"/>
      <c r="N1024" s="545" t="s">
        <v>256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249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250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251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252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253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254</v>
      </c>
      <c r="D1031" s="540"/>
      <c r="E1031" s="289">
        <f>'BD Team'!B102</f>
        <v>0</v>
      </c>
      <c r="F1031" s="288" t="s">
        <v>255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247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178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248</v>
      </c>
      <c r="M1035" s="540"/>
      <c r="N1035" s="545" t="s">
        <v>256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249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250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251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252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253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254</v>
      </c>
      <c r="D1042" s="540"/>
      <c r="E1042" s="289">
        <f>'BD Team'!B103</f>
        <v>0</v>
      </c>
      <c r="F1042" s="288" t="s">
        <v>255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247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178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248</v>
      </c>
      <c r="M1046" s="540"/>
      <c r="N1046" s="545" t="s">
        <v>256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249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250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251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252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253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254</v>
      </c>
      <c r="D1053" s="540"/>
      <c r="E1053" s="289">
        <f>'BD Team'!B104</f>
        <v>0</v>
      </c>
      <c r="F1053" s="288" t="s">
        <v>255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247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178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248</v>
      </c>
      <c r="M1057" s="540"/>
      <c r="N1057" s="545" t="s">
        <v>256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249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250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251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252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253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254</v>
      </c>
      <c r="D1064" s="540"/>
      <c r="E1064" s="289">
        <f>'BD Team'!B105</f>
        <v>0</v>
      </c>
      <c r="F1064" s="288" t="s">
        <v>255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247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178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248</v>
      </c>
      <c r="M1068" s="540"/>
      <c r="N1068" s="545" t="s">
        <v>256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249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250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251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252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253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254</v>
      </c>
      <c r="D1075" s="540"/>
      <c r="E1075" s="289">
        <f>'BD Team'!B106</f>
        <v>0</v>
      </c>
      <c r="F1075" s="288" t="s">
        <v>255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247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178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248</v>
      </c>
      <c r="M1079" s="540"/>
      <c r="N1079" s="545" t="s">
        <v>256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249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250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251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252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253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254</v>
      </c>
      <c r="D1086" s="540"/>
      <c r="E1086" s="289">
        <f>'BD Team'!B107</f>
        <v>0</v>
      </c>
      <c r="F1086" s="288" t="s">
        <v>255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247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178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248</v>
      </c>
      <c r="M1090" s="540"/>
      <c r="N1090" s="545" t="s">
        <v>256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249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250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251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252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253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254</v>
      </c>
      <c r="D1097" s="540"/>
      <c r="E1097" s="289">
        <f>'BD Team'!B108</f>
        <v>0</v>
      </c>
      <c r="F1097" s="288" t="s">
        <v>255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247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178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248</v>
      </c>
      <c r="M1101" s="540"/>
      <c r="N1101" s="545" t="s">
        <v>256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249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250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251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252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253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6" t="str">
        <f>CONCATENATE(C10,"+",C11,"+",C12,"+",C13,"+",C14)</f>
        <v>8mm CTG+28MM+10MM CTG++</v>
      </c>
      <c r="C9" s="557"/>
      <c r="D9" s="557"/>
      <c r="E9" s="557"/>
      <c r="F9" s="557"/>
      <c r="G9" t="s">
        <v>263</v>
      </c>
      <c r="H9">
        <f>E24</f>
        <v>4250.4134400000003</v>
      </c>
      <c r="J9" s="556" t="str">
        <f>CONCATENATE(K10,"+",K11,"+",K12,"+",K13,"+",K14)</f>
        <v>8mm CTG+28MM+10MM CTG++</v>
      </c>
      <c r="K9" s="557"/>
      <c r="L9" s="557"/>
      <c r="M9" s="557"/>
      <c r="N9" s="557"/>
      <c r="P9" s="556" t="str">
        <f>CONCATENATE(Q10,"+",Q11,"+",Q12,"+",Q13,"+",Q14)</f>
        <v>8mm CTG+12MM+8MM CTG++</v>
      </c>
      <c r="Q9" s="557"/>
      <c r="R9" s="557"/>
      <c r="S9" s="557"/>
      <c r="T9" s="557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8" t="s">
        <v>102</v>
      </c>
      <c r="C19" s="558"/>
      <c r="D19" s="558"/>
      <c r="E19" s="107">
        <f>SUM(E10:E18)</f>
        <v>3339</v>
      </c>
      <c r="F19" s="107"/>
      <c r="J19" s="558" t="s">
        <v>102</v>
      </c>
      <c r="K19" s="558"/>
      <c r="L19" s="558"/>
      <c r="M19" s="233">
        <f>SUM(M10:M18)</f>
        <v>3339</v>
      </c>
      <c r="N19" s="233"/>
      <c r="P19" s="558" t="s">
        <v>102</v>
      </c>
      <c r="Q19" s="558"/>
      <c r="R19" s="558"/>
      <c r="S19" s="233">
        <f>SUM(S10:S18)</f>
        <v>3129</v>
      </c>
      <c r="T19" s="233"/>
    </row>
    <row r="20" spans="2:20" ht="15">
      <c r="B20" s="554" t="s">
        <v>87</v>
      </c>
      <c r="C20" s="553"/>
      <c r="D20" s="106">
        <v>0.02</v>
      </c>
      <c r="E20" s="105">
        <f>E19*D20</f>
        <v>66.78</v>
      </c>
      <c r="F20" s="105"/>
      <c r="J20" s="554" t="s">
        <v>87</v>
      </c>
      <c r="K20" s="553"/>
      <c r="L20" s="106">
        <v>0.02</v>
      </c>
      <c r="M20" s="230">
        <f>M19*L20</f>
        <v>66.78</v>
      </c>
      <c r="N20" s="230"/>
      <c r="P20" s="554" t="s">
        <v>87</v>
      </c>
      <c r="Q20" s="553"/>
      <c r="R20" s="106">
        <v>0.02</v>
      </c>
      <c r="S20" s="230">
        <f>S19*R20</f>
        <v>62.58</v>
      </c>
      <c r="T20" s="230"/>
    </row>
    <row r="21" spans="2:20" ht="15">
      <c r="B21" s="553" t="s">
        <v>122</v>
      </c>
      <c r="C21" s="553"/>
      <c r="D21" s="106">
        <v>0.04</v>
      </c>
      <c r="E21" s="105">
        <f>SUM(E19:E20)*D21</f>
        <v>136.2312</v>
      </c>
      <c r="F21" s="105"/>
      <c r="J21" s="553" t="s">
        <v>122</v>
      </c>
      <c r="K21" s="553"/>
      <c r="L21" s="106">
        <v>0.04</v>
      </c>
      <c r="M21" s="230">
        <f>SUM(M19:M20)*L21</f>
        <v>136.2312</v>
      </c>
      <c r="N21" s="230"/>
      <c r="P21" s="553" t="s">
        <v>122</v>
      </c>
      <c r="Q21" s="553"/>
      <c r="R21" s="106">
        <v>0.04</v>
      </c>
      <c r="S21" s="230">
        <f>SUM(S19:S20)*R21</f>
        <v>127.6632</v>
      </c>
      <c r="T21" s="230"/>
    </row>
    <row r="22" spans="2:20" ht="15">
      <c r="B22" s="553" t="s">
        <v>4</v>
      </c>
      <c r="C22" s="553"/>
      <c r="D22" s="106">
        <v>0.2</v>
      </c>
      <c r="E22" s="124">
        <f>SUM(E19:E21)*D22</f>
        <v>708.40224000000012</v>
      </c>
      <c r="F22" s="124"/>
      <c r="J22" s="553" t="s">
        <v>4</v>
      </c>
      <c r="K22" s="553"/>
      <c r="L22" s="106">
        <v>0.2</v>
      </c>
      <c r="M22" s="230">
        <f>SUM(M19:M21)*L22</f>
        <v>708.40224000000012</v>
      </c>
      <c r="N22" s="230"/>
      <c r="P22" s="553" t="s">
        <v>4</v>
      </c>
      <c r="Q22" s="553"/>
      <c r="R22" s="106">
        <v>0.2</v>
      </c>
      <c r="S22" s="230">
        <f>SUM(S19:S21)*R22</f>
        <v>663.84864000000005</v>
      </c>
      <c r="T22" s="230"/>
    </row>
    <row r="23" spans="2:20" ht="15">
      <c r="B23" s="554" t="s">
        <v>128</v>
      </c>
      <c r="C23" s="553"/>
      <c r="D23" s="106">
        <v>0</v>
      </c>
      <c r="E23" s="105">
        <f>SUM(E19:E22)*D23</f>
        <v>0</v>
      </c>
      <c r="F23" s="105"/>
      <c r="J23" s="554" t="s">
        <v>128</v>
      </c>
      <c r="K23" s="553"/>
      <c r="L23" s="106">
        <v>0</v>
      </c>
      <c r="M23" s="230">
        <f>SUM(M19:M22)*L23</f>
        <v>0</v>
      </c>
      <c r="N23" s="230"/>
      <c r="P23" s="554" t="s">
        <v>128</v>
      </c>
      <c r="Q23" s="553"/>
      <c r="R23" s="106">
        <v>0</v>
      </c>
      <c r="S23" s="230">
        <f>SUM(S19:S22)*R23</f>
        <v>0</v>
      </c>
      <c r="T23" s="230"/>
    </row>
    <row r="24" spans="2:20" ht="15">
      <c r="B24" s="555" t="s">
        <v>123</v>
      </c>
      <c r="C24" s="555"/>
      <c r="D24" s="555"/>
      <c r="E24" s="108">
        <f>SUM(E19:E23)</f>
        <v>4250.4134400000003</v>
      </c>
      <c r="F24" s="109" t="s">
        <v>124</v>
      </c>
      <c r="J24" s="555" t="s">
        <v>123</v>
      </c>
      <c r="K24" s="555"/>
      <c r="L24" s="555"/>
      <c r="M24" s="108">
        <f>SUM(M19:M23)</f>
        <v>4250.4134400000003</v>
      </c>
      <c r="N24" s="232" t="s">
        <v>124</v>
      </c>
      <c r="P24" s="555" t="s">
        <v>123</v>
      </c>
      <c r="Q24" s="555"/>
      <c r="R24" s="555"/>
      <c r="S24" s="108">
        <f>SUM(S19:S23)</f>
        <v>3983.09184</v>
      </c>
      <c r="T24" s="232" t="s">
        <v>124</v>
      </c>
    </row>
    <row r="25" spans="2:20" ht="15">
      <c r="B25" s="553"/>
      <c r="C25" s="553"/>
      <c r="D25" s="105"/>
      <c r="E25" s="110">
        <f>E24/10.764</f>
        <v>394.87304347826091</v>
      </c>
      <c r="F25" s="111" t="s">
        <v>125</v>
      </c>
      <c r="J25" s="553"/>
      <c r="K25" s="553"/>
      <c r="L25" s="230"/>
      <c r="M25" s="110">
        <f>M24/10.764</f>
        <v>394.87304347826091</v>
      </c>
      <c r="N25" s="111" t="s">
        <v>125</v>
      </c>
      <c r="P25" s="553"/>
      <c r="Q25" s="553"/>
      <c r="R25" s="230"/>
      <c r="S25" s="110">
        <f>S24/10.764</f>
        <v>370.03826086956525</v>
      </c>
      <c r="T25" s="111" t="s">
        <v>125</v>
      </c>
    </row>
    <row r="28" spans="2:20" ht="15">
      <c r="B28" s="556" t="str">
        <f>CONCATENATE(C29,"+",C30,"+",C31,"+",C32,"+",C33)</f>
        <v>6mm CTG+12MM+6mm CTG++</v>
      </c>
      <c r="C28" s="557"/>
      <c r="D28" s="557"/>
      <c r="E28" s="557"/>
      <c r="F28" s="557"/>
      <c r="J28" s="556" t="str">
        <f>CONCATENATE(K29,"+",K30,"+",K31,"+",K32,"+",K33)</f>
        <v>6mm CTG+12MM+6mm CTG++</v>
      </c>
      <c r="K28" s="557"/>
      <c r="L28" s="557"/>
      <c r="M28" s="557"/>
      <c r="N28" s="557"/>
      <c r="P28" s="556" t="str">
        <f>CONCATENATE(Q29,"+",Q30,"+",Q31,"+",Q32,"+",Q33)</f>
        <v>8mm CTG+1.52mm pvb+8MM CTG++</v>
      </c>
      <c r="Q28" s="557"/>
      <c r="R28" s="557"/>
      <c r="S28" s="557"/>
      <c r="T28" s="557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8" t="s">
        <v>102</v>
      </c>
      <c r="C38" s="558"/>
      <c r="D38" s="558"/>
      <c r="E38" s="224">
        <f>SUM(E29:E37)</f>
        <v>2625</v>
      </c>
      <c r="F38" s="224"/>
      <c r="J38" s="558" t="s">
        <v>102</v>
      </c>
      <c r="K38" s="558"/>
      <c r="L38" s="558"/>
      <c r="M38" s="233">
        <f>SUM(M29:M37)</f>
        <v>3412.5</v>
      </c>
      <c r="N38" s="233"/>
      <c r="P38" s="558" t="s">
        <v>102</v>
      </c>
      <c r="Q38" s="558"/>
      <c r="R38" s="558"/>
      <c r="S38" s="233">
        <f>SUM(S29:S37)</f>
        <v>4179</v>
      </c>
      <c r="T38" s="233"/>
    </row>
    <row r="39" spans="2:20" ht="15">
      <c r="B39" s="554" t="s">
        <v>87</v>
      </c>
      <c r="C39" s="553"/>
      <c r="D39" s="106">
        <v>0.02</v>
      </c>
      <c r="E39" s="221">
        <f>E38*D39</f>
        <v>52.5</v>
      </c>
      <c r="F39" s="221"/>
      <c r="J39" s="554" t="s">
        <v>87</v>
      </c>
      <c r="K39" s="553"/>
      <c r="L39" s="106">
        <v>0.02</v>
      </c>
      <c r="M39" s="230">
        <f>M38*L39</f>
        <v>68.25</v>
      </c>
      <c r="N39" s="230"/>
      <c r="P39" s="554" t="s">
        <v>87</v>
      </c>
      <c r="Q39" s="553"/>
      <c r="R39" s="106">
        <v>0.02</v>
      </c>
      <c r="S39" s="230">
        <f>S38*R39</f>
        <v>83.58</v>
      </c>
      <c r="T39" s="230"/>
    </row>
    <row r="40" spans="2:20" ht="15">
      <c r="B40" s="553" t="s">
        <v>122</v>
      </c>
      <c r="C40" s="553"/>
      <c r="D40" s="106">
        <v>0.04</v>
      </c>
      <c r="E40" s="221">
        <f>SUM(E38:E39)*D40</f>
        <v>107.10000000000001</v>
      </c>
      <c r="F40" s="221"/>
      <c r="J40" s="553" t="s">
        <v>122</v>
      </c>
      <c r="K40" s="553"/>
      <c r="L40" s="106">
        <v>0.04</v>
      </c>
      <c r="M40" s="230">
        <f>SUM(M38:M39)*L40</f>
        <v>139.22999999999999</v>
      </c>
      <c r="N40" s="230"/>
      <c r="P40" s="553" t="s">
        <v>122</v>
      </c>
      <c r="Q40" s="553"/>
      <c r="R40" s="106">
        <v>0.04</v>
      </c>
      <c r="S40" s="230">
        <f>SUM(S38:S39)*R40</f>
        <v>170.50319999999999</v>
      </c>
      <c r="T40" s="230"/>
    </row>
    <row r="41" spans="2:20" ht="15">
      <c r="B41" s="553" t="s">
        <v>4</v>
      </c>
      <c r="C41" s="553"/>
      <c r="D41" s="106">
        <v>0.2</v>
      </c>
      <c r="E41" s="221">
        <f>SUM(E38:E40)*D41</f>
        <v>556.91999999999996</v>
      </c>
      <c r="F41" s="221"/>
      <c r="J41" s="553" t="s">
        <v>4</v>
      </c>
      <c r="K41" s="553"/>
      <c r="L41" s="106">
        <v>0.2</v>
      </c>
      <c r="M41" s="230">
        <f>SUM(M38:M40)*L41</f>
        <v>723.99600000000009</v>
      </c>
      <c r="N41" s="230"/>
      <c r="P41" s="553" t="s">
        <v>4</v>
      </c>
      <c r="Q41" s="553"/>
      <c r="R41" s="106">
        <v>0.2</v>
      </c>
      <c r="S41" s="230">
        <f>SUM(S38:S40)*R41</f>
        <v>886.61664000000007</v>
      </c>
      <c r="T41" s="230"/>
    </row>
    <row r="42" spans="2:20" ht="15">
      <c r="B42" s="554" t="s">
        <v>128</v>
      </c>
      <c r="C42" s="553"/>
      <c r="D42" s="106">
        <v>0</v>
      </c>
      <c r="E42" s="221">
        <f>SUM(E38:E41)*D42</f>
        <v>0</v>
      </c>
      <c r="F42" s="221"/>
      <c r="J42" s="554" t="s">
        <v>128</v>
      </c>
      <c r="K42" s="553"/>
      <c r="L42" s="106">
        <v>0</v>
      </c>
      <c r="M42" s="230">
        <f>SUM(M38:M41)*L42</f>
        <v>0</v>
      </c>
      <c r="N42" s="230"/>
      <c r="P42" s="554" t="s">
        <v>128</v>
      </c>
      <c r="Q42" s="553"/>
      <c r="R42" s="106">
        <v>0</v>
      </c>
      <c r="S42" s="230">
        <f>SUM(S38:S41)*R42</f>
        <v>0</v>
      </c>
      <c r="T42" s="230"/>
    </row>
    <row r="43" spans="2:20" ht="15">
      <c r="B43" s="555" t="s">
        <v>123</v>
      </c>
      <c r="C43" s="555"/>
      <c r="D43" s="555"/>
      <c r="E43" s="108">
        <f>SUM(E38:E42)</f>
        <v>3341.52</v>
      </c>
      <c r="F43" s="223" t="s">
        <v>124</v>
      </c>
      <c r="J43" s="555" t="s">
        <v>123</v>
      </c>
      <c r="K43" s="555"/>
      <c r="L43" s="555"/>
      <c r="M43" s="108">
        <f>SUM(M38:M42)</f>
        <v>4343.9760000000006</v>
      </c>
      <c r="N43" s="232" t="s">
        <v>124</v>
      </c>
      <c r="P43" s="555" t="s">
        <v>123</v>
      </c>
      <c r="Q43" s="555"/>
      <c r="R43" s="555"/>
      <c r="S43" s="108">
        <f>SUM(S38:S42)</f>
        <v>5319.6998400000002</v>
      </c>
      <c r="T43" s="232" t="s">
        <v>124</v>
      </c>
    </row>
    <row r="44" spans="2:20" ht="15">
      <c r="B44" s="553"/>
      <c r="C44" s="553"/>
      <c r="D44" s="221"/>
      <c r="E44" s="110">
        <f>E43/10.764</f>
        <v>310.43478260869568</v>
      </c>
      <c r="F44" s="111" t="s">
        <v>125</v>
      </c>
      <c r="J44" s="553"/>
      <c r="K44" s="553"/>
      <c r="L44" s="230"/>
      <c r="M44" s="110">
        <f>M43/10.764</f>
        <v>403.56521739130443</v>
      </c>
      <c r="N44" s="111" t="s">
        <v>125</v>
      </c>
      <c r="P44" s="553"/>
      <c r="Q44" s="553"/>
      <c r="R44" s="230"/>
      <c r="S44" s="110">
        <f>S43/10.764</f>
        <v>494.21217391304356</v>
      </c>
      <c r="T44" s="111" t="s">
        <v>125</v>
      </c>
    </row>
    <row r="46" spans="2:20" ht="15">
      <c r="B46" s="556" t="str">
        <f>CONCATENATE(C47,"+",C48,"+",C49,"+",C50,"+",C51)</f>
        <v>6mm CTG+10MM+5mm CTG++</v>
      </c>
      <c r="C46" s="557"/>
      <c r="D46" s="557"/>
      <c r="E46" s="557"/>
      <c r="F46" s="557"/>
      <c r="J46" s="556" t="str">
        <f>CONCATENATE(K47,"+",K48,"+",K49,"+",K50,"+",K51)</f>
        <v>6mm CTG+10MM+5mm CTG++</v>
      </c>
      <c r="K46" s="557"/>
      <c r="L46" s="557"/>
      <c r="M46" s="557"/>
      <c r="N46" s="557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8" t="s">
        <v>102</v>
      </c>
      <c r="C56" s="558"/>
      <c r="D56" s="558"/>
      <c r="E56" s="224">
        <f>SUM(E47:E55)</f>
        <v>2572.5</v>
      </c>
      <c r="F56" s="224"/>
      <c r="J56" s="558" t="s">
        <v>102</v>
      </c>
      <c r="K56" s="558"/>
      <c r="L56" s="558"/>
      <c r="M56" s="233">
        <f>SUM(M47:M55)</f>
        <v>3360</v>
      </c>
      <c r="N56" s="233"/>
    </row>
    <row r="57" spans="2:14" ht="15">
      <c r="B57" s="554" t="s">
        <v>87</v>
      </c>
      <c r="C57" s="553"/>
      <c r="D57" s="106">
        <v>0.02</v>
      </c>
      <c r="E57" s="221">
        <f>E56*D57</f>
        <v>51.45</v>
      </c>
      <c r="F57" s="221"/>
      <c r="J57" s="554" t="s">
        <v>87</v>
      </c>
      <c r="K57" s="553"/>
      <c r="L57" s="106">
        <v>0.02</v>
      </c>
      <c r="M57" s="230">
        <f>M56*L57</f>
        <v>67.2</v>
      </c>
      <c r="N57" s="230"/>
    </row>
    <row r="58" spans="2:14" ht="15">
      <c r="B58" s="553" t="s">
        <v>122</v>
      </c>
      <c r="C58" s="553"/>
      <c r="D58" s="106">
        <v>0.04</v>
      </c>
      <c r="E58" s="221">
        <f>SUM(E56:E57)*D58</f>
        <v>104.958</v>
      </c>
      <c r="F58" s="221"/>
      <c r="J58" s="553" t="s">
        <v>122</v>
      </c>
      <c r="K58" s="553"/>
      <c r="L58" s="106">
        <v>0.04</v>
      </c>
      <c r="M58" s="230">
        <f>SUM(M56:M57)*L58</f>
        <v>137.08799999999999</v>
      </c>
      <c r="N58" s="230"/>
    </row>
    <row r="59" spans="2:14" ht="15">
      <c r="B59" s="553" t="s">
        <v>4</v>
      </c>
      <c r="C59" s="553"/>
      <c r="D59" s="106">
        <v>0.2</v>
      </c>
      <c r="E59" s="221">
        <f>SUM(E56:E58)*D59</f>
        <v>545.78160000000003</v>
      </c>
      <c r="F59" s="221"/>
      <c r="J59" s="553" t="s">
        <v>4</v>
      </c>
      <c r="K59" s="553"/>
      <c r="L59" s="106">
        <v>0.2</v>
      </c>
      <c r="M59" s="230">
        <f>SUM(M56:M58)*L59</f>
        <v>712.85760000000005</v>
      </c>
      <c r="N59" s="230"/>
    </row>
    <row r="60" spans="2:14" ht="15">
      <c r="B60" s="554" t="s">
        <v>128</v>
      </c>
      <c r="C60" s="553"/>
      <c r="D60" s="106">
        <v>0</v>
      </c>
      <c r="E60" s="221">
        <f>SUM(E56:E59)*D60</f>
        <v>0</v>
      </c>
      <c r="F60" s="221"/>
      <c r="J60" s="554" t="s">
        <v>128</v>
      </c>
      <c r="K60" s="553"/>
      <c r="L60" s="106">
        <v>0</v>
      </c>
      <c r="M60" s="230">
        <f>SUM(M56:M59)*L60</f>
        <v>0</v>
      </c>
      <c r="N60" s="230"/>
    </row>
    <row r="61" spans="2:14" ht="15">
      <c r="B61" s="555" t="s">
        <v>123</v>
      </c>
      <c r="C61" s="555"/>
      <c r="D61" s="555"/>
      <c r="E61" s="108">
        <f>SUM(E56:E60)</f>
        <v>3274.6895999999997</v>
      </c>
      <c r="F61" s="223" t="s">
        <v>124</v>
      </c>
      <c r="J61" s="555" t="s">
        <v>123</v>
      </c>
      <c r="K61" s="555"/>
      <c r="L61" s="555"/>
      <c r="M61" s="108">
        <f>SUM(M56:M60)</f>
        <v>4277.1455999999998</v>
      </c>
      <c r="N61" s="232" t="s">
        <v>124</v>
      </c>
    </row>
    <row r="62" spans="2:14" ht="15">
      <c r="B62" s="553"/>
      <c r="C62" s="553"/>
      <c r="D62" s="221"/>
      <c r="E62" s="110">
        <f>E61/10.764</f>
        <v>304.22608695652173</v>
      </c>
      <c r="F62" s="111" t="s">
        <v>125</v>
      </c>
      <c r="J62" s="553"/>
      <c r="K62" s="553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435</v>
      </c>
    </row>
    <row r="5" spans="3:5">
      <c r="C5" s="236" t="s">
        <v>396</v>
      </c>
      <c r="D5" s="236" t="s">
        <v>394</v>
      </c>
      <c r="E5" s="309">
        <f>ROUND(Pricing!U104,0.1)/40</f>
        <v>13.074999999999999</v>
      </c>
    </row>
    <row r="6" spans="3:5">
      <c r="C6" s="236" t="s">
        <v>83</v>
      </c>
      <c r="D6" s="236" t="s">
        <v>393</v>
      </c>
      <c r="E6" s="309">
        <f>ROUND(Pricing!V104,0.1)</f>
        <v>27</v>
      </c>
    </row>
    <row r="7" spans="3:5">
      <c r="C7" s="236" t="s">
        <v>400</v>
      </c>
      <c r="D7" s="236" t="s">
        <v>392</v>
      </c>
      <c r="E7" s="309">
        <f>ROUND(Pricing!W104,0.1)</f>
        <v>435</v>
      </c>
    </row>
    <row r="8" spans="3:5">
      <c r="C8" s="236" t="s">
        <v>397</v>
      </c>
      <c r="D8" s="236" t="s">
        <v>392</v>
      </c>
      <c r="E8" s="309">
        <f>ROUND(Pricing!X104,0.1)</f>
        <v>871</v>
      </c>
    </row>
    <row r="9" spans="3:5">
      <c r="C9" t="s">
        <v>223</v>
      </c>
      <c r="D9" s="236" t="s">
        <v>395</v>
      </c>
      <c r="E9" s="309">
        <f>ROUND(Pricing!Y104,0.1)</f>
        <v>261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"/>
  <sheetViews>
    <sheetView workbookViewId="0">
      <selection activeCell="A8" sqref="A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278</v>
      </c>
      <c r="U1" s="315" t="s">
        <v>417</v>
      </c>
    </row>
    <row r="2" spans="1:21">
      <c r="A2" s="318" t="str">
        <f>'BD Team'!B9</f>
        <v>W1</v>
      </c>
      <c r="B2" s="318" t="str">
        <f>'BD Team'!C9</f>
        <v>M900 &amp; M940</v>
      </c>
      <c r="C2" s="318" t="str">
        <f>'BD Team'!D9</f>
        <v>3 TRACK 2 SHUTTER SLIDING WINDOW WITH BOTTOM FIXED</v>
      </c>
      <c r="D2" s="318" t="str">
        <f>'BD Team'!E9</f>
        <v>6MM</v>
      </c>
      <c r="E2" s="318" t="str">
        <f>'BD Team'!G9</f>
        <v>GF - ENTRANCE FOYER(1), DINING &amp; LIVING(1), BEDROOM(2),  1F - HALL(2),  BEDROOM(3), TF - BEDROOM (1), BEHIND PANTRY(1)</v>
      </c>
      <c r="F2" s="318" t="str">
        <f>'BD Team'!F9</f>
        <v>SS</v>
      </c>
      <c r="I2" s="318">
        <f>'BD Team'!H9</f>
        <v>1066</v>
      </c>
      <c r="J2" s="318">
        <f>'BD Team'!I9</f>
        <v>1830</v>
      </c>
      <c r="K2" s="318">
        <f>'BD Team'!J9</f>
        <v>11</v>
      </c>
      <c r="L2" s="319">
        <f>'BD Team'!K9</f>
        <v>154.31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M940</v>
      </c>
      <c r="C3" s="318" t="str">
        <f>'BD Team'!D10</f>
        <v>SIDE HUNG WINDOW WITH BOTTOM FIXED</v>
      </c>
      <c r="D3" s="318" t="str">
        <f>'BD Team'!E10</f>
        <v>6MM</v>
      </c>
      <c r="E3" s="318" t="str">
        <f>'BD Team'!G10</f>
        <v>1F - BEDROOM 3</v>
      </c>
      <c r="F3" s="318" t="str">
        <f>'BD Team'!F10</f>
        <v>RETRACTABLE</v>
      </c>
      <c r="I3" s="318">
        <f>'BD Team'!H10</f>
        <v>610</v>
      </c>
      <c r="J3" s="318">
        <f>'BD Team'!I10</f>
        <v>1829</v>
      </c>
      <c r="K3" s="318">
        <f>'BD Team'!J10</f>
        <v>3</v>
      </c>
      <c r="L3" s="319">
        <f>'BD Team'!K10</f>
        <v>180.05</v>
      </c>
      <c r="M3" s="318">
        <f>Pricing!O5</f>
        <v>1002</v>
      </c>
      <c r="N3" s="318">
        <f>Pricing!Q5</f>
        <v>0</v>
      </c>
      <c r="O3" s="318">
        <f>Pricing!R5</f>
        <v>5382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KW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6MM</v>
      </c>
      <c r="E4" s="318" t="str">
        <f>'BD Team'!G11</f>
        <v>GF - KITCHEN</v>
      </c>
      <c r="F4" s="318" t="str">
        <f>'BD Team'!F11</f>
        <v>SS</v>
      </c>
      <c r="I4" s="318">
        <f>'BD Team'!H11</f>
        <v>1068</v>
      </c>
      <c r="J4" s="318">
        <f>'BD Team'!I11</f>
        <v>610</v>
      </c>
      <c r="K4" s="318">
        <f>'BD Team'!J11</f>
        <v>1</v>
      </c>
      <c r="L4" s="319">
        <f>'BD Team'!K11</f>
        <v>92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CW</v>
      </c>
      <c r="B5" s="318" t="str">
        <f>'BD Team'!C12</f>
        <v>M940</v>
      </c>
      <c r="C5" s="318" t="str">
        <f>'BD Team'!D12</f>
        <v>SIDE HUNG WINDOW WITH BOTTOM FIXED &amp; CORNOR FIXED</v>
      </c>
      <c r="D5" s="318" t="str">
        <f>'BD Team'!E12</f>
        <v>6MM</v>
      </c>
      <c r="E5" s="318" t="str">
        <f>'BD Team'!G12</f>
        <v>1F &amp; TF - BEDROOM</v>
      </c>
      <c r="F5" s="318" t="str">
        <f>'BD Team'!F12</f>
        <v>RETRACTABLE</v>
      </c>
      <c r="I5" s="318">
        <f>'BD Team'!H12</f>
        <v>1870</v>
      </c>
      <c r="J5" s="318">
        <f>'BD Team'!I12</f>
        <v>1829</v>
      </c>
      <c r="K5" s="318">
        <f>'BD Team'!J12</f>
        <v>2</v>
      </c>
      <c r="L5" s="319">
        <f>'BD Team'!K12</f>
        <v>263.54000000000002</v>
      </c>
      <c r="M5" s="318">
        <f>Pricing!O7</f>
        <v>1002</v>
      </c>
      <c r="N5" s="318">
        <f>Pricing!Q7</f>
        <v>0</v>
      </c>
      <c r="O5" s="318">
        <f>Pricing!R7</f>
        <v>2691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SD</v>
      </c>
      <c r="B6" s="318" t="str">
        <f>'BD Team'!C13</f>
        <v>M9800</v>
      </c>
      <c r="C6" s="318" t="str">
        <f>'BD Team'!D13</f>
        <v>SLIDE &amp; FOLD WITH 3 LEAFS</v>
      </c>
      <c r="D6" s="318" t="str">
        <f>'BD Team'!E13</f>
        <v>6MM</v>
      </c>
      <c r="E6" s="318" t="str">
        <f>'BD Team'!G13</f>
        <v>GF - LIVING &amp; DINING (2), 1F - BALCONY(1)</v>
      </c>
      <c r="F6" s="318" t="str">
        <f>'BD Team'!F13</f>
        <v>RETRACTABLE</v>
      </c>
      <c r="I6" s="318">
        <f>'BD Team'!H13</f>
        <v>2438</v>
      </c>
      <c r="J6" s="318">
        <f>'BD Team'!I13</f>
        <v>2438</v>
      </c>
      <c r="K6" s="318">
        <f>'BD Team'!J13</f>
        <v>3</v>
      </c>
      <c r="L6" s="319">
        <f>'BD Team'!K13</f>
        <v>628.19000000000005</v>
      </c>
      <c r="M6" s="318">
        <f>Pricing!O8</f>
        <v>1002</v>
      </c>
      <c r="N6" s="318">
        <f>Pricing!Q8</f>
        <v>0</v>
      </c>
      <c r="O6" s="318">
        <f>Pricing!R8</f>
        <v>3229.2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W3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TF - PANTRY</v>
      </c>
      <c r="F7" s="318" t="str">
        <f>'BD Team'!F14</f>
        <v>SS</v>
      </c>
      <c r="I7" s="318">
        <f>'BD Team'!H14</f>
        <v>1828</v>
      </c>
      <c r="J7" s="318">
        <f>'BD Team'!I14</f>
        <v>610</v>
      </c>
      <c r="K7" s="318">
        <f>'BD Team'!J14</f>
        <v>1</v>
      </c>
      <c r="L7" s="319">
        <f>'BD Team'!K14</f>
        <v>113.42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15" sqref="J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423</v>
      </c>
      <c r="F2" s="137"/>
      <c r="G2" s="163"/>
      <c r="H2" s="331" t="s">
        <v>185</v>
      </c>
      <c r="I2" s="332"/>
      <c r="J2" s="165" t="s">
        <v>426</v>
      </c>
      <c r="K2" s="167"/>
      <c r="L2" s="104" t="s">
        <v>208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424</v>
      </c>
      <c r="F3" s="136" t="s">
        <v>183</v>
      </c>
      <c r="G3" s="162" t="s">
        <v>418</v>
      </c>
      <c r="H3" s="331" t="s">
        <v>186</v>
      </c>
      <c r="I3" s="332"/>
      <c r="J3" s="166">
        <v>43687</v>
      </c>
      <c r="K3" s="167"/>
      <c r="L3" s="104" t="s">
        <v>258</v>
      </c>
      <c r="M3" s="104" t="s">
        <v>382</v>
      </c>
    </row>
    <row r="4" spans="1:13" s="104" customFormat="1" ht="18">
      <c r="A4" s="330" t="s">
        <v>169</v>
      </c>
      <c r="B4" s="330"/>
      <c r="C4" s="330"/>
      <c r="D4" s="330"/>
      <c r="E4" s="162" t="s">
        <v>371</v>
      </c>
      <c r="F4" s="135"/>
      <c r="G4" s="164"/>
      <c r="H4" s="331" t="s">
        <v>187</v>
      </c>
      <c r="I4" s="332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30" t="s">
        <v>177</v>
      </c>
      <c r="B5" s="330"/>
      <c r="C5" s="330"/>
      <c r="D5" s="330"/>
      <c r="E5" s="162" t="s">
        <v>425</v>
      </c>
      <c r="F5" s="136" t="s">
        <v>184</v>
      </c>
      <c r="G5" s="162" t="s">
        <v>208</v>
      </c>
      <c r="H5" s="331" t="s">
        <v>375</v>
      </c>
      <c r="I5" s="332"/>
      <c r="J5" s="165"/>
      <c r="K5" s="167"/>
      <c r="L5" s="104" t="s">
        <v>260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1066</v>
      </c>
      <c r="I9" s="113">
        <v>1830</v>
      </c>
      <c r="J9" s="113">
        <v>11</v>
      </c>
      <c r="K9" s="123">
        <v>154.31</v>
      </c>
    </row>
    <row r="10" spans="1:13" ht="20.100000000000001" customHeight="1">
      <c r="A10" s="113">
        <v>2</v>
      </c>
      <c r="B10" s="113" t="s">
        <v>433</v>
      </c>
      <c r="C10" s="113" t="s">
        <v>434</v>
      </c>
      <c r="D10" s="113" t="s">
        <v>435</v>
      </c>
      <c r="E10" s="113" t="s">
        <v>430</v>
      </c>
      <c r="F10" s="113" t="s">
        <v>436</v>
      </c>
      <c r="G10" s="113" t="s">
        <v>437</v>
      </c>
      <c r="H10" s="113">
        <v>610</v>
      </c>
      <c r="I10" s="113">
        <v>1829</v>
      </c>
      <c r="J10" s="113">
        <v>3</v>
      </c>
      <c r="K10" s="123">
        <v>180.05</v>
      </c>
      <c r="L10" s="47" t="s">
        <v>283</v>
      </c>
    </row>
    <row r="11" spans="1:13" ht="20.100000000000001" customHeight="1">
      <c r="A11" s="113">
        <v>3</v>
      </c>
      <c r="B11" s="113" t="s">
        <v>438</v>
      </c>
      <c r="C11" s="113" t="s">
        <v>439</v>
      </c>
      <c r="D11" s="113" t="s">
        <v>440</v>
      </c>
      <c r="E11" s="113" t="s">
        <v>430</v>
      </c>
      <c r="F11" s="113" t="s">
        <v>431</v>
      </c>
      <c r="G11" s="113" t="s">
        <v>441</v>
      </c>
      <c r="H11" s="113">
        <v>1068</v>
      </c>
      <c r="I11" s="113">
        <v>610</v>
      </c>
      <c r="J11" s="113">
        <v>1</v>
      </c>
      <c r="K11" s="123">
        <v>92</v>
      </c>
      <c r="L11" s="47" t="s">
        <v>282</v>
      </c>
    </row>
    <row r="12" spans="1:13" ht="20.100000000000001" customHeight="1">
      <c r="A12" s="113">
        <v>4</v>
      </c>
      <c r="B12" s="113" t="s">
        <v>442</v>
      </c>
      <c r="C12" s="113" t="s">
        <v>434</v>
      </c>
      <c r="D12" s="113" t="s">
        <v>443</v>
      </c>
      <c r="E12" s="113" t="s">
        <v>430</v>
      </c>
      <c r="F12" s="113" t="s">
        <v>436</v>
      </c>
      <c r="G12" s="113" t="s">
        <v>444</v>
      </c>
      <c r="H12" s="113">
        <v>1870</v>
      </c>
      <c r="I12" s="113">
        <v>1829</v>
      </c>
      <c r="J12" s="113">
        <v>2</v>
      </c>
      <c r="K12" s="123">
        <v>263.54000000000002</v>
      </c>
      <c r="L12" s="47" t="s">
        <v>366</v>
      </c>
    </row>
    <row r="13" spans="1:13" ht="20.100000000000001" customHeight="1">
      <c r="A13" s="113">
        <v>5</v>
      </c>
      <c r="B13" s="113" t="s">
        <v>445</v>
      </c>
      <c r="C13" s="113" t="s">
        <v>446</v>
      </c>
      <c r="D13" s="113" t="s">
        <v>447</v>
      </c>
      <c r="E13" s="113" t="s">
        <v>430</v>
      </c>
      <c r="F13" s="113" t="s">
        <v>436</v>
      </c>
      <c r="G13" s="113" t="s">
        <v>448</v>
      </c>
      <c r="H13" s="113">
        <v>2438</v>
      </c>
      <c r="I13" s="113">
        <v>2438</v>
      </c>
      <c r="J13" s="113">
        <v>3</v>
      </c>
      <c r="K13" s="123">
        <v>628.19000000000005</v>
      </c>
      <c r="L13" s="47" t="s">
        <v>367</v>
      </c>
    </row>
    <row r="14" spans="1:13">
      <c r="A14" s="113">
        <v>6</v>
      </c>
      <c r="B14" s="113" t="s">
        <v>449</v>
      </c>
      <c r="C14" s="113" t="s">
        <v>439</v>
      </c>
      <c r="D14" s="113" t="s">
        <v>440</v>
      </c>
      <c r="E14" s="113" t="s">
        <v>430</v>
      </c>
      <c r="F14" s="113" t="s">
        <v>431</v>
      </c>
      <c r="G14" s="113" t="s">
        <v>450</v>
      </c>
      <c r="H14" s="113">
        <v>1828</v>
      </c>
      <c r="I14" s="113">
        <v>610</v>
      </c>
      <c r="J14" s="113">
        <v>1</v>
      </c>
      <c r="K14" s="123">
        <v>113.42</v>
      </c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419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420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421</v>
      </c>
      <c r="M26" s="47" t="s">
        <v>422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R9" sqref="R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 ht="85.5">
      <c r="A4" s="118">
        <f>'BD Team'!A9</f>
        <v>1</v>
      </c>
      <c r="B4" s="118" t="str">
        <f>'BD Team'!B9</f>
        <v>W1</v>
      </c>
      <c r="C4" s="118" t="str">
        <f>'BD Team'!C9</f>
        <v>M900 &amp; M940</v>
      </c>
      <c r="D4" s="118" t="str">
        <f>'BD Team'!D9</f>
        <v>3 TRACK 2 SHUTTER SLIDING WINDOW WITH BOTTOM FIXED</v>
      </c>
      <c r="E4" s="118" t="str">
        <f>'BD Team'!F9</f>
        <v>SS</v>
      </c>
      <c r="F4" s="121" t="str">
        <f>'BD Team'!G9</f>
        <v>GF - ENTRANCE FOYER(1), DINING &amp; LIVING(1), BEDROOM(2),  1F - HALL(2),  BEDROOM(3), TF - BEDROOM (1), BEHIND PANTRY(1)</v>
      </c>
      <c r="G4" s="118">
        <f>'BD Team'!H9</f>
        <v>1066</v>
      </c>
      <c r="H4" s="118">
        <f>'BD Team'!I9</f>
        <v>1830</v>
      </c>
      <c r="I4" s="118">
        <f>'BD Team'!J9</f>
        <v>11</v>
      </c>
      <c r="J4" s="103">
        <f t="shared" ref="J4:J53" si="0">G4*H4*I4*10.764/1000000</f>
        <v>230.98015511999998</v>
      </c>
      <c r="K4" s="172">
        <f>'BD Team'!K9</f>
        <v>154.31</v>
      </c>
      <c r="L4" s="171">
        <f>K4*I4</f>
        <v>1697.41</v>
      </c>
      <c r="M4" s="170">
        <f>L4*'Changable Values'!$D$4</f>
        <v>140885.03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212.37333333333333</v>
      </c>
      <c r="U4" s="313">
        <f>SUM(G4:H4)*I4*2*4/1000</f>
        <v>254.84800000000001</v>
      </c>
      <c r="V4" s="313">
        <f>SUM(G4:H4)*I4*5*5*4/(1000*240)</f>
        <v>13.273333333333333</v>
      </c>
      <c r="W4" s="313">
        <f>T4</f>
        <v>212.37333333333333</v>
      </c>
      <c r="X4" s="313">
        <f>W4*2</f>
        <v>424.74666666666667</v>
      </c>
      <c r="Y4" s="313">
        <f>SUM(G4:H4)*I4*4/1000</f>
        <v>127.42400000000001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M940</v>
      </c>
      <c r="D5" s="118" t="str">
        <f>'BD Team'!D10</f>
        <v>SIDE HUNG WINDOW WITH BOTTOM FIXED</v>
      </c>
      <c r="E5" s="118" t="str">
        <f>'BD Team'!F10</f>
        <v>RETRACTABLE</v>
      </c>
      <c r="F5" s="121" t="str">
        <f>'BD Team'!G10</f>
        <v>1F - BEDROOM 3</v>
      </c>
      <c r="G5" s="118">
        <f>'BD Team'!H10</f>
        <v>610</v>
      </c>
      <c r="H5" s="118">
        <f>'BD Team'!I10</f>
        <v>1829</v>
      </c>
      <c r="I5" s="118">
        <f>'BD Team'!J10</f>
        <v>3</v>
      </c>
      <c r="J5" s="103">
        <f t="shared" si="0"/>
        <v>36.027861479999999</v>
      </c>
      <c r="K5" s="172">
        <f>'BD Team'!K10</f>
        <v>180.05</v>
      </c>
      <c r="L5" s="171">
        <f t="shared" ref="L5:L53" si="1">K5*I5</f>
        <v>540.15000000000009</v>
      </c>
      <c r="M5" s="170">
        <f>L5*'Changable Values'!$D$4</f>
        <v>44832.450000000004</v>
      </c>
      <c r="N5" s="170" t="str">
        <f>'BD Team'!E10</f>
        <v>6MM</v>
      </c>
      <c r="O5" s="172">
        <v>1002</v>
      </c>
      <c r="P5" s="241"/>
      <c r="Q5" s="173"/>
      <c r="R5" s="185">
        <f>500*10.764</f>
        <v>5382</v>
      </c>
      <c r="S5" s="312"/>
      <c r="T5" s="313">
        <f t="shared" ref="T5:T68" si="2">(G5+H5)*I5*2/300</f>
        <v>48.78</v>
      </c>
      <c r="U5" s="313">
        <f t="shared" ref="U5:U68" si="3">SUM(G5:H5)*I5*2*4/1000</f>
        <v>58.536000000000001</v>
      </c>
      <c r="V5" s="313">
        <f t="shared" ref="V5:V68" si="4">SUM(G5:H5)*I5*5*5*4/(1000*240)</f>
        <v>3.0487500000000001</v>
      </c>
      <c r="W5" s="313">
        <f t="shared" ref="W5:W68" si="5">T5</f>
        <v>48.78</v>
      </c>
      <c r="X5" s="313">
        <f t="shared" ref="X5:X68" si="6">W5*2</f>
        <v>97.56</v>
      </c>
      <c r="Y5" s="313">
        <f t="shared" ref="Y5:Y68" si="7">SUM(G5:H5)*I5*4/1000</f>
        <v>29.268000000000001</v>
      </c>
    </row>
    <row r="6" spans="1:25">
      <c r="A6" s="118">
        <f>'BD Team'!A11</f>
        <v>3</v>
      </c>
      <c r="B6" s="118" t="str">
        <f>'BD Team'!B11</f>
        <v>KW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KITCHEN</v>
      </c>
      <c r="G6" s="118">
        <f>'BD Team'!H11</f>
        <v>1068</v>
      </c>
      <c r="H6" s="118">
        <f>'BD Team'!I11</f>
        <v>610</v>
      </c>
      <c r="I6" s="118">
        <f>'BD Team'!J11</f>
        <v>1</v>
      </c>
      <c r="J6" s="103">
        <f t="shared" si="0"/>
        <v>7.01253072</v>
      </c>
      <c r="K6" s="172">
        <f>'BD Team'!K11</f>
        <v>92</v>
      </c>
      <c r="L6" s="171">
        <f t="shared" si="1"/>
        <v>92</v>
      </c>
      <c r="M6" s="170">
        <f>L6*'Changable Values'!$D$4</f>
        <v>7636</v>
      </c>
      <c r="N6" s="170" t="str">
        <f>'BD Team'!E11</f>
        <v>6MM</v>
      </c>
      <c r="O6" s="172">
        <v>1002</v>
      </c>
      <c r="P6" s="241"/>
      <c r="Q6" s="173">
        <f>50*10.764</f>
        <v>538.19999999999993</v>
      </c>
      <c r="R6" s="185"/>
      <c r="S6" s="312"/>
      <c r="T6" s="313">
        <f t="shared" si="2"/>
        <v>11.186666666666667</v>
      </c>
      <c r="U6" s="313">
        <f t="shared" si="3"/>
        <v>13.423999999999999</v>
      </c>
      <c r="V6" s="313">
        <f t="shared" si="4"/>
        <v>0.69916666666666671</v>
      </c>
      <c r="W6" s="313">
        <f t="shared" si="5"/>
        <v>11.186666666666667</v>
      </c>
      <c r="X6" s="313">
        <f t="shared" si="6"/>
        <v>22.373333333333335</v>
      </c>
      <c r="Y6" s="313">
        <f t="shared" si="7"/>
        <v>6.7119999999999997</v>
      </c>
    </row>
    <row r="7" spans="1:25">
      <c r="A7" s="118">
        <f>'BD Team'!A12</f>
        <v>4</v>
      </c>
      <c r="B7" s="118" t="str">
        <f>'BD Team'!B12</f>
        <v>CW</v>
      </c>
      <c r="C7" s="118" t="str">
        <f>'BD Team'!C12</f>
        <v>M940</v>
      </c>
      <c r="D7" s="118" t="str">
        <f>'BD Team'!D12</f>
        <v>SIDE HUNG WINDOW WITH BOTTOM FIXED &amp; CORNOR FIXED</v>
      </c>
      <c r="E7" s="118" t="str">
        <f>'BD Team'!F12</f>
        <v>RETRACTABLE</v>
      </c>
      <c r="F7" s="121" t="str">
        <f>'BD Team'!G12</f>
        <v>1F &amp; TF - BEDROOM</v>
      </c>
      <c r="G7" s="118">
        <f>'BD Team'!H12</f>
        <v>1870</v>
      </c>
      <c r="H7" s="118">
        <f>'BD Team'!I12</f>
        <v>1829</v>
      </c>
      <c r="I7" s="118">
        <f>'BD Team'!J12</f>
        <v>2</v>
      </c>
      <c r="J7" s="103">
        <f t="shared" si="0"/>
        <v>73.630711439999999</v>
      </c>
      <c r="K7" s="172">
        <f>'BD Team'!K12</f>
        <v>263.54000000000002</v>
      </c>
      <c r="L7" s="171">
        <f t="shared" si="1"/>
        <v>527.08000000000004</v>
      </c>
      <c r="M7" s="170">
        <f>L7*'Changable Values'!$D$4</f>
        <v>43747.640000000007</v>
      </c>
      <c r="N7" s="170" t="str">
        <f>'BD Team'!E12</f>
        <v>6MM</v>
      </c>
      <c r="O7" s="172">
        <v>1002</v>
      </c>
      <c r="P7" s="241"/>
      <c r="Q7" s="173"/>
      <c r="R7" s="185">
        <f>250*10.764</f>
        <v>2691</v>
      </c>
      <c r="S7" s="312"/>
      <c r="T7" s="313">
        <f t="shared" si="2"/>
        <v>49.32</v>
      </c>
      <c r="U7" s="313">
        <f t="shared" si="3"/>
        <v>59.183999999999997</v>
      </c>
      <c r="V7" s="313">
        <f t="shared" si="4"/>
        <v>3.0825</v>
      </c>
      <c r="W7" s="313">
        <f t="shared" si="5"/>
        <v>49.32</v>
      </c>
      <c r="X7" s="313">
        <f t="shared" si="6"/>
        <v>98.64</v>
      </c>
      <c r="Y7" s="313">
        <f t="shared" si="7"/>
        <v>29.591999999999999</v>
      </c>
    </row>
    <row r="8" spans="1:25" ht="28.5">
      <c r="A8" s="118">
        <f>'BD Team'!A13</f>
        <v>5</v>
      </c>
      <c r="B8" s="118" t="str">
        <f>'BD Team'!B13</f>
        <v>SD</v>
      </c>
      <c r="C8" s="118" t="str">
        <f>'BD Team'!C13</f>
        <v>M9800</v>
      </c>
      <c r="D8" s="118" t="str">
        <f>'BD Team'!D13</f>
        <v>SLIDE &amp; FOLD WITH 3 LEAFS</v>
      </c>
      <c r="E8" s="118" t="str">
        <f>'BD Team'!F13</f>
        <v>RETRACTABLE</v>
      </c>
      <c r="F8" s="121" t="str">
        <f>'BD Team'!G13</f>
        <v>GF - LIVING &amp; DINING (2), 1F - BALCONY(1)</v>
      </c>
      <c r="G8" s="118">
        <f>'BD Team'!H13</f>
        <v>2438</v>
      </c>
      <c r="H8" s="118">
        <f>'BD Team'!I13</f>
        <v>2438</v>
      </c>
      <c r="I8" s="118">
        <f>'BD Team'!J13</f>
        <v>3</v>
      </c>
      <c r="J8" s="103">
        <f t="shared" si="0"/>
        <v>191.93861044799999</v>
      </c>
      <c r="K8" s="172">
        <f>'BD Team'!K13</f>
        <v>628.19000000000005</v>
      </c>
      <c r="L8" s="171">
        <f t="shared" si="1"/>
        <v>1884.5700000000002</v>
      </c>
      <c r="M8" s="170">
        <f>L8*'Changable Values'!$D$4</f>
        <v>156419.31000000003</v>
      </c>
      <c r="N8" s="170" t="str">
        <f>'BD Team'!E13</f>
        <v>6MM</v>
      </c>
      <c r="O8" s="172">
        <v>1002</v>
      </c>
      <c r="P8" s="241"/>
      <c r="Q8" s="173"/>
      <c r="R8" s="185">
        <f>300*10.764</f>
        <v>3229.2</v>
      </c>
      <c r="S8" s="312"/>
      <c r="T8" s="313">
        <f t="shared" si="2"/>
        <v>97.52</v>
      </c>
      <c r="U8" s="313">
        <f t="shared" si="3"/>
        <v>117.024</v>
      </c>
      <c r="V8" s="313">
        <f t="shared" si="4"/>
        <v>6.0949999999999998</v>
      </c>
      <c r="W8" s="313">
        <f t="shared" si="5"/>
        <v>97.52</v>
      </c>
      <c r="X8" s="313">
        <f t="shared" si="6"/>
        <v>195.04</v>
      </c>
      <c r="Y8" s="313">
        <f t="shared" si="7"/>
        <v>58.512</v>
      </c>
    </row>
    <row r="9" spans="1:25">
      <c r="A9" s="118">
        <f>'BD Team'!A14</f>
        <v>6</v>
      </c>
      <c r="B9" s="118" t="str">
        <f>'BD Team'!B14</f>
        <v>W3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TF - PANTRY</v>
      </c>
      <c r="G9" s="118">
        <f>'BD Team'!H14</f>
        <v>1828</v>
      </c>
      <c r="H9" s="118">
        <f>'BD Team'!I14</f>
        <v>610</v>
      </c>
      <c r="I9" s="118">
        <f>'BD Team'!J14</f>
        <v>1</v>
      </c>
      <c r="J9" s="103">
        <f t="shared" si="0"/>
        <v>12.002721119999999</v>
      </c>
      <c r="K9" s="172">
        <f>'BD Team'!K14</f>
        <v>113.42</v>
      </c>
      <c r="L9" s="171">
        <f t="shared" si="1"/>
        <v>113.42</v>
      </c>
      <c r="M9" s="170">
        <f>L9*'Changable Values'!$D$4</f>
        <v>9413.86</v>
      </c>
      <c r="N9" s="170" t="str">
        <f>'BD Team'!E14</f>
        <v>6MM</v>
      </c>
      <c r="O9" s="172">
        <v>1002</v>
      </c>
      <c r="P9" s="241"/>
      <c r="Q9" s="173">
        <f>50*10.764</f>
        <v>538.19999999999993</v>
      </c>
      <c r="R9" s="185"/>
      <c r="S9" s="312"/>
      <c r="T9" s="313">
        <f t="shared" si="2"/>
        <v>16.253333333333334</v>
      </c>
      <c r="U9" s="313">
        <f t="shared" si="3"/>
        <v>19.504000000000001</v>
      </c>
      <c r="V9" s="313">
        <f t="shared" si="4"/>
        <v>1.0158333333333334</v>
      </c>
      <c r="W9" s="313">
        <f t="shared" si="5"/>
        <v>16.253333333333334</v>
      </c>
      <c r="X9" s="313">
        <f t="shared" si="6"/>
        <v>32.506666666666668</v>
      </c>
      <c r="Y9" s="313">
        <f t="shared" si="7"/>
        <v>9.7520000000000007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1431.5100000000002</v>
      </c>
      <c r="L104" s="168">
        <f>SUM(L4:L103)</f>
        <v>4854.630000000001</v>
      </c>
      <c r="M104" s="168">
        <f>SUM(M4:M103)</f>
        <v>402934.29000000004</v>
      </c>
      <c r="T104" s="314">
        <f t="shared" ref="T104:Y104" si="16">SUM(T4:T103)</f>
        <v>435.43333333333328</v>
      </c>
      <c r="U104" s="314">
        <f t="shared" si="16"/>
        <v>522.52</v>
      </c>
      <c r="V104" s="314">
        <f t="shared" si="16"/>
        <v>27.21458333333333</v>
      </c>
      <c r="W104" s="314">
        <f t="shared" si="16"/>
        <v>435.43333333333328</v>
      </c>
      <c r="X104" s="314">
        <f t="shared" si="16"/>
        <v>870.86666666666656</v>
      </c>
      <c r="Y104" s="314">
        <f t="shared" si="16"/>
        <v>261.26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O1" zoomScale="75" zoomScaleNormal="75" workbookViewId="0">
      <pane ySplit="6" topLeftCell="A7" activePane="bottomLeft" state="frozen"/>
      <selection pane="bottomLeft" activeCell="AD23" sqref="AD23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 WITH BOTTOM FIXED</v>
      </c>
      <c r="D8" s="131" t="str">
        <f>Pricing!B4</f>
        <v>W1</v>
      </c>
      <c r="E8" s="132" t="str">
        <f>Pricing!N4</f>
        <v>6MM</v>
      </c>
      <c r="F8" s="68">
        <f>Pricing!G4</f>
        <v>1066</v>
      </c>
      <c r="G8" s="68">
        <f>Pricing!H4</f>
        <v>1830</v>
      </c>
      <c r="H8" s="100">
        <f t="shared" ref="H8:H57" si="0">(F8*G8)/1000000</f>
        <v>1.95078</v>
      </c>
      <c r="I8" s="70">
        <f>Pricing!I4</f>
        <v>11</v>
      </c>
      <c r="J8" s="69">
        <f t="shared" ref="J8" si="1">H8*I8</f>
        <v>21.458579999999998</v>
      </c>
      <c r="K8" s="71">
        <f t="shared" ref="K8" si="2">J8*10.764</f>
        <v>230.98015511999995</v>
      </c>
      <c r="L8" s="69"/>
      <c r="M8" s="72"/>
      <c r="N8" s="72"/>
      <c r="O8" s="72">
        <f t="shared" ref="O8:O35" si="3">N8*M8*L8/1000000</f>
        <v>0</v>
      </c>
      <c r="P8" s="73">
        <f>Pricing!M4</f>
        <v>140885.03</v>
      </c>
      <c r="Q8" s="74">
        <f t="shared" ref="Q8:Q56" si="4">P8*$Q$6</f>
        <v>14088.503000000001</v>
      </c>
      <c r="R8" s="74">
        <f t="shared" ref="R8:R56" si="5">(P8+Q8)*$R$6</f>
        <v>17047.088629999998</v>
      </c>
      <c r="S8" s="74">
        <f t="shared" ref="S8:S56" si="6">(P8+Q8+R8)*$S$6</f>
        <v>860.10310815000003</v>
      </c>
      <c r="T8" s="74">
        <f t="shared" ref="T8:T56" si="7">(P8+Q8+R8+S8)*$T$6</f>
        <v>1728.8072473815002</v>
      </c>
      <c r="U8" s="72">
        <f t="shared" ref="U8:U56" si="8">SUM(P8:T8)</f>
        <v>174609.53198553153</v>
      </c>
      <c r="V8" s="74">
        <f t="shared" ref="V8:V56" si="9">U8*$V$6</f>
        <v>2619.1429797829728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21501.497159999999</v>
      </c>
      <c r="AE8" s="76">
        <f>((((F8+G8)*2)/305)*I8*$AE$7)</f>
        <v>5222.2950819672133</v>
      </c>
      <c r="AF8" s="342">
        <f>(((((F8*4)+(G8*4))/1000)*$AF$6*$AG$6)/300)*I8*$AF$7</f>
        <v>5351.8079999999991</v>
      </c>
      <c r="AG8" s="343"/>
      <c r="AH8" s="76">
        <f>(((F8+G8))*I8/1000)*8*$AH$7</f>
        <v>191.13600000000002</v>
      </c>
      <c r="AI8" s="76">
        <f t="shared" ref="AI8:AI57" si="15">(((F8+G8)*2*I8)/1000)*2*$AI$7</f>
        <v>637.12</v>
      </c>
      <c r="AJ8" s="76">
        <f>J8*Pricing!Q4</f>
        <v>11549.007755999997</v>
      </c>
      <c r="AK8" s="76">
        <f>J8*Pricing!R4</f>
        <v>0</v>
      </c>
      <c r="AL8" s="76">
        <f t="shared" ref="AL8:AL39" si="16">J8*$AL$6</f>
        <v>23098.015511999994</v>
      </c>
      <c r="AM8" s="77">
        <f t="shared" ref="AM8:AM39" si="17">$AM$6*J8</f>
        <v>0</v>
      </c>
      <c r="AN8" s="76">
        <f t="shared" ref="AN8:AN39" si="18">$AN$6*J8</f>
        <v>18478.412409599994</v>
      </c>
      <c r="AO8" s="72">
        <f t="shared" ref="AO8:AO39" si="19">SUM(U8:V8)+SUM(AC8:AI8)-AD8</f>
        <v>188631.03404728172</v>
      </c>
      <c r="AP8" s="74">
        <f t="shared" ref="AP8:AP39" si="20">AO8*$AP$6</f>
        <v>235788.79255910215</v>
      </c>
      <c r="AQ8" s="74">
        <f t="shared" ref="AQ8:AQ56" si="21">(AO8+AP8)*$AQ$6</f>
        <v>0</v>
      </c>
      <c r="AR8" s="74">
        <f t="shared" ref="AR8:AR39" si="22">SUM(AO8:AQ8)/J8</f>
        <v>19778.560678590286</v>
      </c>
      <c r="AS8" s="72">
        <f t="shared" ref="AS8:AS39" si="23">SUM(AJ8:AQ8)+AD8+AB8</f>
        <v>499046.7594439839</v>
      </c>
      <c r="AT8" s="72">
        <f t="shared" ref="AT8:AT39" si="24">AS8/J8</f>
        <v>23256.280678590287</v>
      </c>
      <c r="AU8" s="78">
        <f t="shared" ref="AU8:AU56" si="25">AT8/10.764</f>
        <v>2160.5611927341406</v>
      </c>
      <c r="AV8" s="79">
        <f t="shared" ref="AV8:AV39" si="26">K8/$K$109</f>
        <v>0.41875137405788843</v>
      </c>
      <c r="AW8" s="80">
        <f t="shared" ref="AW8:AW39" si="27">(U8+V8)/(J8*10.764)</f>
        <v>767.28961790349388</v>
      </c>
      <c r="AX8" s="81">
        <f t="shared" ref="AX8:AX39" si="28">SUM(W8:AN8,AP8)/(J8*10.764)</f>
        <v>1393.2715748306464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 WITH BOTTOM FIXED</v>
      </c>
      <c r="D9" s="131" t="str">
        <f>Pricing!B5</f>
        <v>W2</v>
      </c>
      <c r="E9" s="132" t="str">
        <f>Pricing!N5</f>
        <v>6MM</v>
      </c>
      <c r="F9" s="68">
        <f>Pricing!G5</f>
        <v>610</v>
      </c>
      <c r="G9" s="68">
        <f>Pricing!H5</f>
        <v>1829</v>
      </c>
      <c r="H9" s="100">
        <f t="shared" si="0"/>
        <v>1.1156900000000001</v>
      </c>
      <c r="I9" s="70">
        <f>Pricing!I5</f>
        <v>3</v>
      </c>
      <c r="J9" s="69">
        <f t="shared" ref="J9:J58" si="30">H9*I9</f>
        <v>3.3470700000000004</v>
      </c>
      <c r="K9" s="71">
        <f t="shared" ref="K9:K58" si="31">J9*10.764</f>
        <v>36.027861480000006</v>
      </c>
      <c r="L9" s="69"/>
      <c r="M9" s="72"/>
      <c r="N9" s="72"/>
      <c r="O9" s="72">
        <f t="shared" si="3"/>
        <v>0</v>
      </c>
      <c r="P9" s="73">
        <f>Pricing!M5</f>
        <v>44832.450000000004</v>
      </c>
      <c r="Q9" s="74">
        <f t="shared" ref="Q9:Q14" si="32">P9*$Q$6</f>
        <v>4483.2450000000008</v>
      </c>
      <c r="R9" s="74">
        <f t="shared" ref="R9:R14" si="33">(P9+Q9)*$R$6</f>
        <v>5424.726450000001</v>
      </c>
      <c r="S9" s="74">
        <f t="shared" ref="S9:S14" si="34">(P9+Q9+R9)*$S$6</f>
        <v>273.70210725000004</v>
      </c>
      <c r="T9" s="74">
        <f t="shared" ref="T9:T14" si="35">(P9+Q9+R9+S9)*$T$6</f>
        <v>550.14123557250014</v>
      </c>
      <c r="U9" s="72">
        <f t="shared" ref="U9:U14" si="36">SUM(P9:T9)</f>
        <v>55564.264792822505</v>
      </c>
      <c r="V9" s="74">
        <f t="shared" ref="V9:V14" si="37">U9*$V$6</f>
        <v>833.46397189233755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3353.7641400000002</v>
      </c>
      <c r="AE9" s="76">
        <f t="shared" ref="AE9:AE57" si="43">((((F9+G9)*2)/305)*I9*$AE$7)</f>
        <v>1199.5081967213114</v>
      </c>
      <c r="AF9" s="342">
        <f t="shared" ref="AF9:AF57" si="44">(((((F9*4)+(G9*4))/1000)*$AF$6*$AG$6)/300)*I9*$AF$7</f>
        <v>1229.2559999999999</v>
      </c>
      <c r="AG9" s="343"/>
      <c r="AH9" s="76">
        <f t="shared" ref="AH9:AH72" si="45">(((F9+G9))*I9/1000)*8*$AH$7</f>
        <v>43.902000000000001</v>
      </c>
      <c r="AI9" s="76">
        <f t="shared" si="15"/>
        <v>146.34</v>
      </c>
      <c r="AJ9" s="76">
        <f>J9*Pricing!Q5</f>
        <v>0</v>
      </c>
      <c r="AK9" s="76">
        <f>J9*Pricing!R5</f>
        <v>18013.930740000003</v>
      </c>
      <c r="AL9" s="76">
        <f t="shared" si="16"/>
        <v>3602.7861480000001</v>
      </c>
      <c r="AM9" s="77">
        <f t="shared" si="17"/>
        <v>0</v>
      </c>
      <c r="AN9" s="76">
        <f t="shared" si="18"/>
        <v>2882.2289184000001</v>
      </c>
      <c r="AO9" s="72">
        <f t="shared" si="19"/>
        <v>59016.734961436152</v>
      </c>
      <c r="AP9" s="74">
        <f t="shared" si="20"/>
        <v>73770.918701795192</v>
      </c>
      <c r="AQ9" s="74">
        <f t="shared" ref="AQ9:AQ14" si="46">(AO9+AP9)*$AQ$6</f>
        <v>0</v>
      </c>
      <c r="AR9" s="74">
        <f t="shared" si="22"/>
        <v>39672.80447174135</v>
      </c>
      <c r="AS9" s="72">
        <f t="shared" si="23"/>
        <v>160640.36360963134</v>
      </c>
      <c r="AT9" s="72">
        <f t="shared" si="24"/>
        <v>47994.324471741347</v>
      </c>
      <c r="AU9" s="78">
        <f t="shared" ref="AU9:AU14" si="47">AT9/10.764</f>
        <v>4458.7815376942908</v>
      </c>
      <c r="AV9" s="79">
        <f t="shared" si="26"/>
        <v>6.531607224559767E-2</v>
      </c>
      <c r="AW9" s="80">
        <f t="shared" si="27"/>
        <v>1565.3920729106464</v>
      </c>
      <c r="AX9" s="81">
        <f t="shared" si="28"/>
        <v>2893.3894647836446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KW</v>
      </c>
      <c r="E10" s="132" t="str">
        <f>Pricing!N6</f>
        <v>6MM</v>
      </c>
      <c r="F10" s="68">
        <f>Pricing!G6</f>
        <v>1068</v>
      </c>
      <c r="G10" s="68">
        <f>Pricing!H6</f>
        <v>610</v>
      </c>
      <c r="H10" s="100">
        <f t="shared" si="0"/>
        <v>0.65147999999999995</v>
      </c>
      <c r="I10" s="70">
        <f>Pricing!I6</f>
        <v>1</v>
      </c>
      <c r="J10" s="69">
        <f t="shared" si="30"/>
        <v>0.65147999999999995</v>
      </c>
      <c r="K10" s="71">
        <f t="shared" si="31"/>
        <v>7.0125307199999991</v>
      </c>
      <c r="L10" s="69"/>
      <c r="M10" s="72"/>
      <c r="N10" s="72"/>
      <c r="O10" s="72">
        <f t="shared" si="3"/>
        <v>0</v>
      </c>
      <c r="P10" s="73">
        <f>Pricing!M6</f>
        <v>7636</v>
      </c>
      <c r="Q10" s="74">
        <f t="shared" si="32"/>
        <v>763.6</v>
      </c>
      <c r="R10" s="74">
        <f t="shared" si="33"/>
        <v>923.95600000000002</v>
      </c>
      <c r="S10" s="74">
        <f t="shared" si="34"/>
        <v>46.617780000000003</v>
      </c>
      <c r="T10" s="74">
        <f t="shared" si="35"/>
        <v>93.701737800000018</v>
      </c>
      <c r="U10" s="72">
        <f t="shared" si="36"/>
        <v>9463.875517800001</v>
      </c>
      <c r="V10" s="74">
        <f t="shared" si="37"/>
        <v>141.95813276700002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652.78296</v>
      </c>
      <c r="AE10" s="76">
        <f t="shared" si="43"/>
        <v>275.08196721311475</v>
      </c>
      <c r="AF10" s="342">
        <f t="shared" si="44"/>
        <v>281.904</v>
      </c>
      <c r="AG10" s="343"/>
      <c r="AH10" s="76">
        <f t="shared" si="45"/>
        <v>10.068</v>
      </c>
      <c r="AI10" s="76">
        <f t="shared" si="15"/>
        <v>33.56</v>
      </c>
      <c r="AJ10" s="76">
        <f>J10*Pricing!Q6</f>
        <v>350.62653599999993</v>
      </c>
      <c r="AK10" s="76">
        <f>J10*Pricing!R6</f>
        <v>0</v>
      </c>
      <c r="AL10" s="76">
        <f t="shared" si="16"/>
        <v>701.25307199999986</v>
      </c>
      <c r="AM10" s="77">
        <f t="shared" si="17"/>
        <v>0</v>
      </c>
      <c r="AN10" s="76">
        <f t="shared" si="18"/>
        <v>561.00245759999984</v>
      </c>
      <c r="AO10" s="72">
        <f t="shared" si="19"/>
        <v>10206.447617780115</v>
      </c>
      <c r="AP10" s="74">
        <f t="shared" si="20"/>
        <v>12758.059522225143</v>
      </c>
      <c r="AQ10" s="74">
        <f t="shared" si="46"/>
        <v>0</v>
      </c>
      <c r="AR10" s="74">
        <f t="shared" si="22"/>
        <v>35249.750015357742</v>
      </c>
      <c r="AS10" s="72">
        <f t="shared" si="23"/>
        <v>25230.172165605258</v>
      </c>
      <c r="AT10" s="72">
        <f t="shared" si="24"/>
        <v>38727.470015357736</v>
      </c>
      <c r="AU10" s="78">
        <f t="shared" si="47"/>
        <v>3597.8697524486938</v>
      </c>
      <c r="AV10" s="79">
        <f t="shared" si="26"/>
        <v>1.2713243148951756E-2</v>
      </c>
      <c r="AW10" s="80">
        <f t="shared" si="27"/>
        <v>1369.8098495555685</v>
      </c>
      <c r="AX10" s="81">
        <f t="shared" si="28"/>
        <v>2228.0599028931256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 WITH BOTTOM FIXED &amp; CORNOR FIXED</v>
      </c>
      <c r="D11" s="131" t="str">
        <f>Pricing!B7</f>
        <v>CW</v>
      </c>
      <c r="E11" s="132" t="str">
        <f>Pricing!N7</f>
        <v>6MM</v>
      </c>
      <c r="F11" s="68">
        <f>Pricing!G7</f>
        <v>1870</v>
      </c>
      <c r="G11" s="68">
        <f>Pricing!H7</f>
        <v>1829</v>
      </c>
      <c r="H11" s="100">
        <f t="shared" si="0"/>
        <v>3.4202300000000001</v>
      </c>
      <c r="I11" s="70">
        <f>Pricing!I7</f>
        <v>2</v>
      </c>
      <c r="J11" s="69">
        <f t="shared" si="30"/>
        <v>6.8404600000000002</v>
      </c>
      <c r="K11" s="71">
        <f t="shared" si="31"/>
        <v>73.630711439999999</v>
      </c>
      <c r="L11" s="69"/>
      <c r="M11" s="72"/>
      <c r="N11" s="72"/>
      <c r="O11" s="72">
        <f t="shared" si="3"/>
        <v>0</v>
      </c>
      <c r="P11" s="73">
        <f>Pricing!M7</f>
        <v>43747.640000000007</v>
      </c>
      <c r="Q11" s="74">
        <f t="shared" si="32"/>
        <v>4374.764000000001</v>
      </c>
      <c r="R11" s="74">
        <f t="shared" si="33"/>
        <v>5293.4644400000006</v>
      </c>
      <c r="S11" s="74">
        <f t="shared" si="34"/>
        <v>267.07934220000004</v>
      </c>
      <c r="T11" s="74">
        <f t="shared" si="35"/>
        <v>536.82947782200017</v>
      </c>
      <c r="U11" s="72">
        <f t="shared" si="36"/>
        <v>54219.777260022012</v>
      </c>
      <c r="V11" s="74">
        <f t="shared" si="37"/>
        <v>813.29665890033016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6854.1409199999998</v>
      </c>
      <c r="AE11" s="76">
        <f t="shared" si="43"/>
        <v>1212.7868852459017</v>
      </c>
      <c r="AF11" s="342">
        <f t="shared" si="44"/>
        <v>1242.8639999999998</v>
      </c>
      <c r="AG11" s="343"/>
      <c r="AH11" s="76">
        <f t="shared" si="45"/>
        <v>44.387999999999998</v>
      </c>
      <c r="AI11" s="76">
        <f t="shared" si="15"/>
        <v>147.95999999999998</v>
      </c>
      <c r="AJ11" s="76">
        <f>J11*Pricing!Q7</f>
        <v>0</v>
      </c>
      <c r="AK11" s="76">
        <f>J11*Pricing!R7</f>
        <v>18407.67786</v>
      </c>
      <c r="AL11" s="76">
        <f t="shared" si="16"/>
        <v>7363.0711439999995</v>
      </c>
      <c r="AM11" s="77">
        <f t="shared" si="17"/>
        <v>0</v>
      </c>
      <c r="AN11" s="76">
        <f t="shared" si="18"/>
        <v>5890.4569151999995</v>
      </c>
      <c r="AO11" s="72">
        <f t="shared" si="19"/>
        <v>57681.072804168252</v>
      </c>
      <c r="AP11" s="74">
        <f t="shared" si="20"/>
        <v>72101.341005210314</v>
      </c>
      <c r="AQ11" s="74">
        <f t="shared" si="46"/>
        <v>0</v>
      </c>
      <c r="AR11" s="74">
        <f t="shared" si="22"/>
        <v>18972.76116070828</v>
      </c>
      <c r="AS11" s="72">
        <f t="shared" si="23"/>
        <v>168297.76064857855</v>
      </c>
      <c r="AT11" s="72">
        <f t="shared" si="24"/>
        <v>24603.281160708277</v>
      </c>
      <c r="AU11" s="78">
        <f t="shared" si="47"/>
        <v>2285.7005909242175</v>
      </c>
      <c r="AV11" s="79">
        <f t="shared" si="26"/>
        <v>0.13348749191176787</v>
      </c>
      <c r="AW11" s="80">
        <f t="shared" si="27"/>
        <v>747.42010287062828</v>
      </c>
      <c r="AX11" s="81">
        <f t="shared" si="28"/>
        <v>1538.2804880535896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SLIDE &amp; FOLD WITH 3 LEAFS</v>
      </c>
      <c r="D12" s="131" t="str">
        <f>Pricing!B8</f>
        <v>SD</v>
      </c>
      <c r="E12" s="132" t="str">
        <f>Pricing!N8</f>
        <v>6MM</v>
      </c>
      <c r="F12" s="68">
        <f>Pricing!G8</f>
        <v>2438</v>
      </c>
      <c r="G12" s="68">
        <f>Pricing!H8</f>
        <v>2438</v>
      </c>
      <c r="H12" s="100">
        <f t="shared" si="0"/>
        <v>5.9438440000000003</v>
      </c>
      <c r="I12" s="70">
        <f>Pricing!I8</f>
        <v>3</v>
      </c>
      <c r="J12" s="69">
        <f t="shared" si="30"/>
        <v>17.831532000000003</v>
      </c>
      <c r="K12" s="71">
        <f t="shared" si="31"/>
        <v>191.93861044800002</v>
      </c>
      <c r="L12" s="69"/>
      <c r="M12" s="72"/>
      <c r="N12" s="72"/>
      <c r="O12" s="72">
        <f t="shared" si="3"/>
        <v>0</v>
      </c>
      <c r="P12" s="73">
        <f>Pricing!M8</f>
        <v>156419.31000000003</v>
      </c>
      <c r="Q12" s="74">
        <f t="shared" si="32"/>
        <v>15641.931000000004</v>
      </c>
      <c r="R12" s="74">
        <f t="shared" si="33"/>
        <v>18926.736510000006</v>
      </c>
      <c r="S12" s="74">
        <f t="shared" si="34"/>
        <v>954.93988755000032</v>
      </c>
      <c r="T12" s="74">
        <f t="shared" si="35"/>
        <v>1919.4291739755006</v>
      </c>
      <c r="U12" s="72">
        <f t="shared" si="36"/>
        <v>193862.34657152556</v>
      </c>
      <c r="V12" s="74">
        <f t="shared" si="37"/>
        <v>2907.9351985728831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17867.195064000003</v>
      </c>
      <c r="AE12" s="76">
        <f t="shared" si="43"/>
        <v>2398.032786885246</v>
      </c>
      <c r="AF12" s="342">
        <f t="shared" si="44"/>
        <v>2457.5039999999999</v>
      </c>
      <c r="AG12" s="343"/>
      <c r="AH12" s="76">
        <f t="shared" si="45"/>
        <v>87.768000000000001</v>
      </c>
      <c r="AI12" s="76">
        <f t="shared" si="15"/>
        <v>292.56</v>
      </c>
      <c r="AJ12" s="76">
        <f>J12*Pricing!Q8</f>
        <v>0</v>
      </c>
      <c r="AK12" s="76">
        <f>J12*Pricing!R8</f>
        <v>57581.583134400003</v>
      </c>
      <c r="AL12" s="76">
        <f t="shared" si="16"/>
        <v>19193.8610448</v>
      </c>
      <c r="AM12" s="77">
        <f t="shared" si="17"/>
        <v>0</v>
      </c>
      <c r="AN12" s="76">
        <f t="shared" si="18"/>
        <v>15355.088835840001</v>
      </c>
      <c r="AO12" s="72">
        <f t="shared" si="19"/>
        <v>202006.14655698367</v>
      </c>
      <c r="AP12" s="74">
        <f t="shared" si="20"/>
        <v>252507.6831962296</v>
      </c>
      <c r="AQ12" s="74">
        <f t="shared" si="46"/>
        <v>0</v>
      </c>
      <c r="AR12" s="74">
        <f t="shared" si="22"/>
        <v>25489.331469287845</v>
      </c>
      <c r="AS12" s="72">
        <f t="shared" si="23"/>
        <v>564511.55783225328</v>
      </c>
      <c r="AT12" s="72">
        <f t="shared" si="24"/>
        <v>31658.051469287842</v>
      </c>
      <c r="AU12" s="78">
        <f t="shared" si="47"/>
        <v>2941.1047444526052</v>
      </c>
      <c r="AV12" s="79">
        <f t="shared" si="26"/>
        <v>0.34797169833964825</v>
      </c>
      <c r="AW12" s="80">
        <f t="shared" si="27"/>
        <v>1025.173003549525</v>
      </c>
      <c r="AX12" s="81">
        <f t="shared" si="28"/>
        <v>1915.9317409030805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W3</v>
      </c>
      <c r="E13" s="132" t="str">
        <f>Pricing!N9</f>
        <v>6MM</v>
      </c>
      <c r="F13" s="68">
        <f>Pricing!G9</f>
        <v>1828</v>
      </c>
      <c r="G13" s="68">
        <f>Pricing!H9</f>
        <v>610</v>
      </c>
      <c r="H13" s="100">
        <f t="shared" si="0"/>
        <v>1.1150800000000001</v>
      </c>
      <c r="I13" s="70">
        <f>Pricing!I9</f>
        <v>1</v>
      </c>
      <c r="J13" s="69">
        <f t="shared" si="30"/>
        <v>1.1150800000000001</v>
      </c>
      <c r="K13" s="71">
        <f t="shared" si="31"/>
        <v>12.00272112</v>
      </c>
      <c r="L13" s="69"/>
      <c r="M13" s="72"/>
      <c r="N13" s="72"/>
      <c r="O13" s="72">
        <f t="shared" si="3"/>
        <v>0</v>
      </c>
      <c r="P13" s="73">
        <f>Pricing!M9</f>
        <v>9413.86</v>
      </c>
      <c r="Q13" s="74">
        <f t="shared" si="32"/>
        <v>941.38600000000008</v>
      </c>
      <c r="R13" s="74">
        <f t="shared" si="33"/>
        <v>1139.0770600000001</v>
      </c>
      <c r="S13" s="74">
        <f t="shared" si="34"/>
        <v>57.471615300000003</v>
      </c>
      <c r="T13" s="74">
        <f t="shared" si="35"/>
        <v>115.51794675300002</v>
      </c>
      <c r="U13" s="72">
        <f t="shared" si="36"/>
        <v>11667.312622053001</v>
      </c>
      <c r="V13" s="74">
        <f t="shared" si="37"/>
        <v>175.009689330795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1117.31016</v>
      </c>
      <c r="AE13" s="76">
        <f t="shared" si="43"/>
        <v>399.67213114754099</v>
      </c>
      <c r="AF13" s="342">
        <f t="shared" si="44"/>
        <v>409.584</v>
      </c>
      <c r="AG13" s="343"/>
      <c r="AH13" s="76">
        <f t="shared" si="45"/>
        <v>14.628</v>
      </c>
      <c r="AI13" s="76">
        <f t="shared" si="15"/>
        <v>48.760000000000005</v>
      </c>
      <c r="AJ13" s="76">
        <f>J13*Pricing!Q9</f>
        <v>600.13605599999994</v>
      </c>
      <c r="AK13" s="76">
        <f>J13*Pricing!R9</f>
        <v>0</v>
      </c>
      <c r="AL13" s="76">
        <f t="shared" si="16"/>
        <v>1200.2721119999999</v>
      </c>
      <c r="AM13" s="77">
        <f t="shared" si="17"/>
        <v>0</v>
      </c>
      <c r="AN13" s="76">
        <f t="shared" si="18"/>
        <v>960.21768959999997</v>
      </c>
      <c r="AO13" s="72">
        <f t="shared" si="19"/>
        <v>12714.966442531335</v>
      </c>
      <c r="AP13" s="74">
        <f t="shared" si="20"/>
        <v>15893.70805316417</v>
      </c>
      <c r="AQ13" s="74">
        <f t="shared" si="46"/>
        <v>0</v>
      </c>
      <c r="AR13" s="74">
        <f t="shared" si="22"/>
        <v>25656.163231064591</v>
      </c>
      <c r="AS13" s="72">
        <f t="shared" si="23"/>
        <v>32486.610513295505</v>
      </c>
      <c r="AT13" s="72">
        <f t="shared" si="24"/>
        <v>29133.883231064588</v>
      </c>
      <c r="AU13" s="78">
        <f t="shared" si="47"/>
        <v>2706.6037932984568</v>
      </c>
      <c r="AV13" s="79">
        <f t="shared" si="26"/>
        <v>2.1760120296145893E-2</v>
      </c>
      <c r="AW13" s="80">
        <f t="shared" si="27"/>
        <v>986.63646293098202</v>
      </c>
      <c r="AX13" s="81">
        <f t="shared" si="28"/>
        <v>1719.9673303674749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14.197104000000001</v>
      </c>
      <c r="I109" s="87">
        <f>SUM(I8:I108)</f>
        <v>21</v>
      </c>
      <c r="J109" s="88">
        <f>SUM(J8:J108)</f>
        <v>51.244202000000001</v>
      </c>
      <c r="K109" s="89">
        <f>SUM(K8:K108)</f>
        <v>551.59259032800003</v>
      </c>
      <c r="L109" s="88">
        <f>SUM(L8:L8)</f>
        <v>0</v>
      </c>
      <c r="M109" s="88"/>
      <c r="N109" s="88"/>
      <c r="O109" s="88"/>
      <c r="P109" s="87">
        <f>SUM(P8:P108)</f>
        <v>402934.29000000004</v>
      </c>
      <c r="Q109" s="88">
        <f t="shared" ref="Q109:AE109" si="156">SUM(Q8:Q108)</f>
        <v>40293.429000000004</v>
      </c>
      <c r="R109" s="88">
        <f t="shared" si="156"/>
        <v>48755.049090000008</v>
      </c>
      <c r="S109" s="88">
        <f t="shared" si="156"/>
        <v>2459.9138404500009</v>
      </c>
      <c r="T109" s="88">
        <f t="shared" si="156"/>
        <v>4944.4268193045009</v>
      </c>
      <c r="U109" s="88">
        <f t="shared" si="156"/>
        <v>499387.10874975467</v>
      </c>
      <c r="V109" s="88">
        <f t="shared" si="156"/>
        <v>7490.8066312463179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51346.690404000001</v>
      </c>
      <c r="AE109" s="88">
        <f t="shared" si="156"/>
        <v>10707.377049180328</v>
      </c>
      <c r="AF109" s="353">
        <f>SUM(AF8:AG108)</f>
        <v>10972.92</v>
      </c>
      <c r="AG109" s="354"/>
      <c r="AH109" s="88">
        <f t="shared" ref="AH109:AQ109" si="157">SUM(AH8:AH108)</f>
        <v>391.89000000000004</v>
      </c>
      <c r="AI109" s="88">
        <f t="shared" si="157"/>
        <v>1306.3</v>
      </c>
      <c r="AJ109" s="88">
        <f t="shared" ref="AJ109" si="158">SUM(AJ8:AJ108)</f>
        <v>12499.770347999996</v>
      </c>
      <c r="AK109" s="88">
        <f t="shared" si="157"/>
        <v>94003.19173440001</v>
      </c>
      <c r="AL109" s="88">
        <f t="shared" si="157"/>
        <v>55159.259032799986</v>
      </c>
      <c r="AM109" s="88">
        <f t="shared" si="157"/>
        <v>0</v>
      </c>
      <c r="AN109" s="88">
        <f t="shared" si="157"/>
        <v>44127.40722624</v>
      </c>
      <c r="AO109" s="88">
        <f t="shared" si="157"/>
        <v>530256.40243018128</v>
      </c>
      <c r="AP109" s="88">
        <f t="shared" si="157"/>
        <v>662820.50303772662</v>
      </c>
      <c r="AQ109" s="88">
        <f t="shared" si="157"/>
        <v>0</v>
      </c>
      <c r="AR109" s="88"/>
      <c r="AS109" s="87">
        <f>SUM(AS8:AS108)</f>
        <v>1450213.2242133478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10972.92</v>
      </c>
      <c r="AW110" s="84"/>
    </row>
    <row r="111" spans="2:54">
      <c r="AF111" s="174"/>
      <c r="AG111" s="174"/>
      <c r="AH111" s="174">
        <f>SUM(AE109:AI109,AC109)</f>
        <v>23378.487049180327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1.28515625" style="122" customWidth="1"/>
    <col min="7" max="7" width="18.7109375" style="122" customWidth="1"/>
    <col min="8" max="8" width="43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ABPL-DE-19.20-2153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Mr. Naresh Naineni</v>
      </c>
      <c r="G7" s="434"/>
      <c r="H7" s="434"/>
      <c r="I7" s="434"/>
      <c r="J7" s="435"/>
      <c r="K7" s="501" t="s">
        <v>104</v>
      </c>
      <c r="L7" s="494"/>
      <c r="M7" s="499">
        <f>'BD Team'!J3</f>
        <v>43687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Hyderabad</v>
      </c>
      <c r="G8" s="485" t="s">
        <v>180</v>
      </c>
      <c r="H8" s="486"/>
      <c r="I8" s="434" t="str">
        <f>'BD Team'!G3</f>
        <v>1.5Kpa</v>
      </c>
      <c r="J8" s="435"/>
      <c r="K8" s="501" t="s">
        <v>105</v>
      </c>
      <c r="L8" s="494"/>
      <c r="M8" s="178" t="s">
        <v>365</v>
      </c>
      <c r="N8" s="179">
        <v>43687</v>
      </c>
    </row>
    <row r="9" spans="2:15" ht="24.95" customHeight="1">
      <c r="B9" s="493" t="s">
        <v>169</v>
      </c>
      <c r="C9" s="494"/>
      <c r="D9" s="494"/>
      <c r="E9" s="494"/>
      <c r="F9" s="434" t="str">
        <f>'BD Team'!E4</f>
        <v>Mr. Ravi Kiran : 9949841177</v>
      </c>
      <c r="G9" s="434"/>
      <c r="H9" s="434"/>
      <c r="I9" s="434"/>
      <c r="J9" s="435"/>
      <c r="K9" s="501" t="s">
        <v>179</v>
      </c>
      <c r="L9" s="494"/>
      <c r="M9" s="475" t="str">
        <f>'BD Team'!J4</f>
        <v>Mahesh</v>
      </c>
      <c r="N9" s="476"/>
    </row>
    <row r="10" spans="2:15" ht="27.75" customHeight="1" thickBot="1">
      <c r="B10" s="495" t="s">
        <v>177</v>
      </c>
      <c r="C10" s="496"/>
      <c r="D10" s="496"/>
      <c r="E10" s="496"/>
      <c r="F10" s="217" t="str">
        <f>'BD Team'!E5</f>
        <v>Anodized</v>
      </c>
      <c r="G10" s="506" t="s">
        <v>178</v>
      </c>
      <c r="H10" s="507"/>
      <c r="I10" s="504" t="str">
        <f>'BD Team'!G5</f>
        <v>Silver</v>
      </c>
      <c r="J10" s="505"/>
      <c r="K10" s="502" t="s">
        <v>374</v>
      </c>
      <c r="L10" s="503"/>
      <c r="M10" s="497">
        <f>'BD Team'!J5</f>
        <v>0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170</v>
      </c>
      <c r="C13" s="488"/>
      <c r="D13" s="491" t="s">
        <v>171</v>
      </c>
      <c r="E13" s="491" t="s">
        <v>172</v>
      </c>
      <c r="F13" s="491" t="s">
        <v>37</v>
      </c>
      <c r="G13" s="489" t="s">
        <v>63</v>
      </c>
      <c r="H13" s="489" t="s">
        <v>210</v>
      </c>
      <c r="I13" s="489" t="s">
        <v>209</v>
      </c>
      <c r="J13" s="490" t="s">
        <v>173</v>
      </c>
      <c r="K13" s="490" t="s">
        <v>174</v>
      </c>
      <c r="L13" s="488" t="s">
        <v>211</v>
      </c>
      <c r="M13" s="490" t="s">
        <v>175</v>
      </c>
      <c r="N13" s="492" t="s">
        <v>176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141" thickTop="1" thickBot="1">
      <c r="B16" s="410">
        <f>Pricing!A4</f>
        <v>1</v>
      </c>
      <c r="C16" s="411"/>
      <c r="D16" s="187" t="str">
        <f>Pricing!B4</f>
        <v>W1</v>
      </c>
      <c r="E16" s="187" t="str">
        <f>Pricing!C4</f>
        <v>M900 &amp; M940</v>
      </c>
      <c r="F16" s="187" t="str">
        <f>Pricing!D4</f>
        <v>3 TRACK 2 SHUTTER SLIDING WINDOW WITH BOTTOM FIXED</v>
      </c>
      <c r="G16" s="187" t="str">
        <f>Pricing!N4</f>
        <v>6MM</v>
      </c>
      <c r="H16" s="187" t="str">
        <f>Pricing!F4</f>
        <v>GF - ENTRANCE FOYER(1), DINING &amp; LIVING(1), BEDROOM(2),  1F - HALL(2),  BEDROOM(3), TF - BEDROOM (1), BEHIND PANTRY(1)</v>
      </c>
      <c r="I16" s="216" t="str">
        <f>Pricing!E4</f>
        <v>SS</v>
      </c>
      <c r="J16" s="216">
        <f>Pricing!G4</f>
        <v>1066</v>
      </c>
      <c r="K16" s="216">
        <f>Pricing!H4</f>
        <v>1830</v>
      </c>
      <c r="L16" s="216">
        <f>Pricing!I4</f>
        <v>11</v>
      </c>
      <c r="M16" s="188">
        <f t="shared" ref="M16:M24" si="0">J16*K16*L16/1000000</f>
        <v>21.458580000000001</v>
      </c>
      <c r="N16" s="189">
        <f>'Cost Calculation'!AS8</f>
        <v>499046.7594439839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W2</v>
      </c>
      <c r="E17" s="187" t="str">
        <f>Pricing!C5</f>
        <v>M940</v>
      </c>
      <c r="F17" s="187" t="str">
        <f>Pricing!D5</f>
        <v>SIDE HUNG WINDOW WITH BOTTOM FIXED</v>
      </c>
      <c r="G17" s="187" t="str">
        <f>Pricing!N5</f>
        <v>6MM</v>
      </c>
      <c r="H17" s="187" t="str">
        <f>Pricing!F5</f>
        <v>1F - BEDROOM 3</v>
      </c>
      <c r="I17" s="216" t="str">
        <f>Pricing!E5</f>
        <v>RETRACTABLE</v>
      </c>
      <c r="J17" s="216">
        <f>Pricing!G5</f>
        <v>610</v>
      </c>
      <c r="K17" s="216">
        <f>Pricing!H5</f>
        <v>1829</v>
      </c>
      <c r="L17" s="216">
        <f>Pricing!I5</f>
        <v>3</v>
      </c>
      <c r="M17" s="188">
        <f t="shared" si="0"/>
        <v>3.34707</v>
      </c>
      <c r="N17" s="189">
        <f>'Cost Calculation'!AS9</f>
        <v>160640.36360963134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KW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GF - KITCHEN</v>
      </c>
      <c r="I18" s="216" t="str">
        <f>Pricing!E6</f>
        <v>SS</v>
      </c>
      <c r="J18" s="216">
        <f>Pricing!G6</f>
        <v>1068</v>
      </c>
      <c r="K18" s="216">
        <f>Pricing!H6</f>
        <v>610</v>
      </c>
      <c r="L18" s="216">
        <f>Pricing!I6</f>
        <v>1</v>
      </c>
      <c r="M18" s="188">
        <f t="shared" si="0"/>
        <v>0.65147999999999995</v>
      </c>
      <c r="N18" s="189">
        <f>'Cost Calculation'!AS10</f>
        <v>25230.172165605258</v>
      </c>
      <c r="O18" s="95"/>
    </row>
    <row r="19" spans="2:15" s="94" customFormat="1" ht="71.25" thickTop="1" thickBot="1">
      <c r="B19" s="410">
        <f>Pricing!A7</f>
        <v>4</v>
      </c>
      <c r="C19" s="411"/>
      <c r="D19" s="187" t="str">
        <f>Pricing!B7</f>
        <v>CW</v>
      </c>
      <c r="E19" s="187" t="str">
        <f>Pricing!C7</f>
        <v>M940</v>
      </c>
      <c r="F19" s="187" t="str">
        <f>Pricing!D7</f>
        <v>SIDE HUNG WINDOW WITH BOTTOM FIXED &amp; CORNOR FIXED</v>
      </c>
      <c r="G19" s="187" t="str">
        <f>Pricing!N7</f>
        <v>6MM</v>
      </c>
      <c r="H19" s="187" t="str">
        <f>Pricing!F7</f>
        <v>1F &amp; TF - BEDROOM</v>
      </c>
      <c r="I19" s="216" t="str">
        <f>Pricing!E7</f>
        <v>RETRACTABLE</v>
      </c>
      <c r="J19" s="216">
        <f>Pricing!G7</f>
        <v>1870</v>
      </c>
      <c r="K19" s="216">
        <f>Pricing!H7</f>
        <v>1829</v>
      </c>
      <c r="L19" s="216">
        <f>Pricing!I7</f>
        <v>2</v>
      </c>
      <c r="M19" s="188">
        <f t="shared" si="0"/>
        <v>6.8404600000000002</v>
      </c>
      <c r="N19" s="189">
        <f>'Cost Calculation'!AS11</f>
        <v>168297.76064857855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SD</v>
      </c>
      <c r="E20" s="187" t="str">
        <f>Pricing!C8</f>
        <v>M9800</v>
      </c>
      <c r="F20" s="187" t="str">
        <f>Pricing!D8</f>
        <v>SLIDE &amp; FOLD WITH 3 LEAFS</v>
      </c>
      <c r="G20" s="187" t="str">
        <f>Pricing!N8</f>
        <v>6MM</v>
      </c>
      <c r="H20" s="187" t="str">
        <f>Pricing!F8</f>
        <v>GF - LIVING &amp; DINING (2), 1F - BALCONY(1)</v>
      </c>
      <c r="I20" s="216" t="str">
        <f>Pricing!E8</f>
        <v>RETRACTABLE</v>
      </c>
      <c r="J20" s="216">
        <f>Pricing!G8</f>
        <v>2438</v>
      </c>
      <c r="K20" s="216">
        <f>Pricing!H8</f>
        <v>2438</v>
      </c>
      <c r="L20" s="216">
        <f>Pricing!I8</f>
        <v>3</v>
      </c>
      <c r="M20" s="188">
        <f t="shared" si="0"/>
        <v>17.831531999999999</v>
      </c>
      <c r="N20" s="189">
        <f>'Cost Calculation'!AS12</f>
        <v>564511.55783225328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W3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TF - PANTRY</v>
      </c>
      <c r="I21" s="216" t="str">
        <f>Pricing!E9</f>
        <v>SS</v>
      </c>
      <c r="J21" s="216">
        <f>Pricing!G9</f>
        <v>1828</v>
      </c>
      <c r="K21" s="216">
        <f>Pricing!H9</f>
        <v>610</v>
      </c>
      <c r="L21" s="216">
        <f>Pricing!I9</f>
        <v>1</v>
      </c>
      <c r="M21" s="188">
        <f t="shared" si="0"/>
        <v>1.1150800000000001</v>
      </c>
      <c r="N21" s="189">
        <f>'Cost Calculation'!AS13</f>
        <v>32486.610513295505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21</v>
      </c>
      <c r="M116" s="191">
        <f>SUM(M16:M115)</f>
        <v>51.244201999999994</v>
      </c>
      <c r="N116" s="186"/>
      <c r="O116" s="95"/>
    </row>
    <row r="117" spans="2:15" s="94" customFormat="1" ht="30" customHeight="1" thickTop="1" thickBot="1">
      <c r="B117" s="511" t="s">
        <v>181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1450213</v>
      </c>
      <c r="O117" s="95">
        <f>N117/SUM(M116)</f>
        <v>28300.040656306839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261038</v>
      </c>
      <c r="O118" s="95">
        <f>N118/SUM(M116)</f>
        <v>5094.0006832382724</v>
      </c>
    </row>
    <row r="119" spans="2:15" s="94" customFormat="1" ht="30" customHeight="1" thickTop="1" thickBot="1">
      <c r="B119" s="511" t="s">
        <v>182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1711251</v>
      </c>
      <c r="O119" s="95">
        <f>N119/SUM(M116)</f>
        <v>33394.041339545111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2629.1379279363473</v>
      </c>
    </row>
    <row r="121" spans="2:15" s="139" customFormat="1" ht="30" customHeight="1" thickTop="1">
      <c r="B121" s="479" t="s">
        <v>237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207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451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19" t="s">
        <v>140</v>
      </c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1"/>
      <c r="O126" s="138"/>
    </row>
    <row r="127" spans="2:15" s="93" customFormat="1" ht="24.95" customHeight="1">
      <c r="B127" s="412">
        <v>1</v>
      </c>
      <c r="C127" s="413"/>
      <c r="D127" s="414" t="s">
        <v>364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389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3</v>
      </c>
      <c r="C129" s="413"/>
      <c r="D129" s="439" t="s">
        <v>405</v>
      </c>
      <c r="E129" s="439"/>
      <c r="F129" s="439"/>
      <c r="G129" s="439"/>
      <c r="H129" s="439"/>
      <c r="I129" s="439"/>
      <c r="J129" s="439"/>
      <c r="K129" s="439"/>
      <c r="L129" s="439"/>
      <c r="M129" s="439"/>
      <c r="N129" s="440"/>
    </row>
    <row r="130" spans="2:14" s="93" customFormat="1" ht="24.95" customHeight="1">
      <c r="B130" s="412">
        <v>4</v>
      </c>
      <c r="C130" s="413"/>
      <c r="D130" s="439" t="s">
        <v>406</v>
      </c>
      <c r="E130" s="439"/>
      <c r="F130" s="439"/>
      <c r="G130" s="439"/>
      <c r="H130" s="439"/>
      <c r="I130" s="439"/>
      <c r="J130" s="439"/>
      <c r="K130" s="439"/>
      <c r="L130" s="439"/>
      <c r="M130" s="439"/>
      <c r="N130" s="440"/>
    </row>
    <row r="131" spans="2:14" s="139" customFormat="1" ht="30" customHeight="1">
      <c r="B131" s="416" t="s">
        <v>141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</row>
    <row r="132" spans="2:14" s="93" customFormat="1" ht="24.95" customHeight="1">
      <c r="B132" s="412">
        <v>1</v>
      </c>
      <c r="C132" s="413"/>
      <c r="D132" s="414" t="s">
        <v>142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2</v>
      </c>
      <c r="C133" s="413"/>
      <c r="D133" s="414" t="s">
        <v>143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3</v>
      </c>
      <c r="C134" s="413"/>
      <c r="D134" s="414" t="s">
        <v>144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139" customFormat="1" ht="30" customHeight="1">
      <c r="B135" s="416" t="s">
        <v>145</v>
      </c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</row>
    <row r="136" spans="2:14" s="139" customFormat="1" ht="30" customHeight="1">
      <c r="B136" s="436" t="s">
        <v>146</v>
      </c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8"/>
    </row>
    <row r="137" spans="2:14" s="93" customFormat="1" ht="24.95" customHeight="1">
      <c r="B137" s="412">
        <v>1</v>
      </c>
      <c r="C137" s="413"/>
      <c r="D137" s="414" t="s">
        <v>147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2</v>
      </c>
      <c r="C138" s="413"/>
      <c r="D138" s="414" t="s">
        <v>402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3</v>
      </c>
      <c r="C139" s="413"/>
      <c r="D139" s="414" t="s">
        <v>148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4</v>
      </c>
      <c r="C140" s="413"/>
      <c r="D140" s="414" t="s">
        <v>149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5</v>
      </c>
      <c r="C141" s="413"/>
      <c r="D141" s="414" t="s">
        <v>150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6</v>
      </c>
      <c r="C142" s="413"/>
      <c r="D142" s="414" t="s">
        <v>151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140" customFormat="1" ht="30" customHeight="1">
      <c r="B143" s="416" t="s">
        <v>152</v>
      </c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1</v>
      </c>
      <c r="C144" s="413"/>
      <c r="D144" s="414" t="s">
        <v>153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135" customHeight="1">
      <c r="B145" s="412">
        <v>2</v>
      </c>
      <c r="C145" s="413"/>
      <c r="D145" s="422" t="s">
        <v>154</v>
      </c>
      <c r="E145" s="423"/>
      <c r="F145" s="423"/>
      <c r="G145" s="423"/>
      <c r="H145" s="423"/>
      <c r="I145" s="423"/>
      <c r="J145" s="423"/>
      <c r="K145" s="423"/>
      <c r="L145" s="423"/>
      <c r="M145" s="423"/>
      <c r="N145" s="424"/>
    </row>
    <row r="146" spans="2:14" s="93" customFormat="1" ht="24.95" customHeight="1">
      <c r="B146" s="412">
        <v>3</v>
      </c>
      <c r="C146" s="413"/>
      <c r="D146" s="414" t="s">
        <v>155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24.95" customHeight="1">
      <c r="B147" s="412">
        <v>4</v>
      </c>
      <c r="C147" s="413"/>
      <c r="D147" s="414" t="s">
        <v>156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140" customFormat="1" ht="30" customHeight="1">
      <c r="B148" s="416" t="s">
        <v>157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14" t="s">
        <v>158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55.9" customHeight="1">
      <c r="B150" s="412">
        <v>2</v>
      </c>
      <c r="C150" s="413"/>
      <c r="D150" s="422" t="s">
        <v>159</v>
      </c>
      <c r="E150" s="423"/>
      <c r="F150" s="423"/>
      <c r="G150" s="423"/>
      <c r="H150" s="423"/>
      <c r="I150" s="423"/>
      <c r="J150" s="423"/>
      <c r="K150" s="423"/>
      <c r="L150" s="423"/>
      <c r="M150" s="423"/>
      <c r="N150" s="424"/>
    </row>
    <row r="151" spans="2:14" s="140" customFormat="1" ht="30" customHeight="1">
      <c r="B151" s="416" t="s">
        <v>160</v>
      </c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93" customFormat="1" ht="24.95" customHeight="1">
      <c r="B152" s="412">
        <v>1</v>
      </c>
      <c r="C152" s="413"/>
      <c r="D152" s="441" t="s">
        <v>161</v>
      </c>
      <c r="E152" s="441"/>
      <c r="F152" s="441"/>
      <c r="G152" s="441"/>
      <c r="H152" s="441"/>
      <c r="I152" s="441"/>
      <c r="J152" s="441"/>
      <c r="K152" s="441"/>
      <c r="L152" s="441"/>
      <c r="M152" s="441"/>
      <c r="N152" s="442"/>
    </row>
    <row r="153" spans="2:14" s="93" customFormat="1" ht="24.95" customHeight="1">
      <c r="B153" s="412">
        <v>2</v>
      </c>
      <c r="C153" s="413"/>
      <c r="D153" s="441" t="s">
        <v>162</v>
      </c>
      <c r="E153" s="441"/>
      <c r="F153" s="441"/>
      <c r="G153" s="441"/>
      <c r="H153" s="441"/>
      <c r="I153" s="441"/>
      <c r="J153" s="441"/>
      <c r="K153" s="441"/>
      <c r="L153" s="441"/>
      <c r="M153" s="441"/>
      <c r="N153" s="442"/>
    </row>
    <row r="154" spans="2:14" s="93" customFormat="1" ht="49.9" customHeight="1">
      <c r="B154" s="412">
        <v>3</v>
      </c>
      <c r="C154" s="413"/>
      <c r="D154" s="446" t="s">
        <v>163</v>
      </c>
      <c r="E154" s="447"/>
      <c r="F154" s="447"/>
      <c r="G154" s="447"/>
      <c r="H154" s="447"/>
      <c r="I154" s="447"/>
      <c r="J154" s="447"/>
      <c r="K154" s="447"/>
      <c r="L154" s="447"/>
      <c r="M154" s="447"/>
      <c r="N154" s="448"/>
    </row>
    <row r="155" spans="2:14" s="93" customFormat="1" ht="24.95" customHeight="1">
      <c r="B155" s="412">
        <v>4</v>
      </c>
      <c r="C155" s="413"/>
      <c r="D155" s="441" t="s">
        <v>164</v>
      </c>
      <c r="E155" s="441"/>
      <c r="F155" s="441"/>
      <c r="G155" s="441"/>
      <c r="H155" s="441"/>
      <c r="I155" s="441"/>
      <c r="J155" s="441"/>
      <c r="K155" s="441"/>
      <c r="L155" s="441"/>
      <c r="M155" s="441"/>
      <c r="N155" s="442"/>
    </row>
    <row r="156" spans="2:14" s="140" customFormat="1" ht="30" customHeight="1">
      <c r="B156" s="416" t="s">
        <v>165</v>
      </c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8"/>
    </row>
    <row r="157" spans="2:14" s="93" customFormat="1" ht="24.95" customHeight="1">
      <c r="B157" s="412">
        <v>1</v>
      </c>
      <c r="C157" s="413"/>
      <c r="D157" s="441" t="s">
        <v>166</v>
      </c>
      <c r="E157" s="441"/>
      <c r="F157" s="441"/>
      <c r="G157" s="441"/>
      <c r="H157" s="441"/>
      <c r="I157" s="441"/>
      <c r="J157" s="441"/>
      <c r="K157" s="441"/>
      <c r="L157" s="441"/>
      <c r="M157" s="441"/>
      <c r="N157" s="442"/>
    </row>
    <row r="158" spans="2:14" s="93" customFormat="1" ht="24.95" customHeight="1">
      <c r="B158" s="412">
        <v>2</v>
      </c>
      <c r="C158" s="413"/>
      <c r="D158" s="441" t="s">
        <v>167</v>
      </c>
      <c r="E158" s="441"/>
      <c r="F158" s="441"/>
      <c r="G158" s="441"/>
      <c r="H158" s="441"/>
      <c r="I158" s="441"/>
      <c r="J158" s="441"/>
      <c r="K158" s="441"/>
      <c r="L158" s="441"/>
      <c r="M158" s="441"/>
      <c r="N158" s="442"/>
    </row>
    <row r="159" spans="2:14" s="93" customFormat="1" ht="24.95" customHeight="1">
      <c r="B159" s="412">
        <v>3</v>
      </c>
      <c r="C159" s="413"/>
      <c r="D159" s="441" t="s">
        <v>168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2">
        <v>4</v>
      </c>
      <c r="C160" s="413"/>
      <c r="D160" s="441" t="s">
        <v>401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43" t="s">
        <v>240</v>
      </c>
      <c r="C161" s="444"/>
      <c r="D161" s="444"/>
      <c r="E161" s="444"/>
      <c r="F161" s="444"/>
      <c r="G161" s="444"/>
      <c r="H161" s="444"/>
      <c r="I161" s="444"/>
      <c r="J161" s="444"/>
      <c r="K161" s="444"/>
      <c r="L161" s="444"/>
      <c r="M161" s="444"/>
      <c r="N161" s="445"/>
    </row>
    <row r="162" spans="2:14" s="93" customFormat="1" ht="24.95" customHeight="1">
      <c r="B162" s="443" t="s">
        <v>241</v>
      </c>
      <c r="C162" s="444"/>
      <c r="D162" s="444"/>
      <c r="E162" s="444"/>
      <c r="F162" s="444"/>
      <c r="G162" s="444"/>
      <c r="H162" s="444"/>
      <c r="I162" s="444"/>
      <c r="J162" s="444"/>
      <c r="K162" s="444"/>
      <c r="L162" s="444"/>
      <c r="M162" s="444"/>
      <c r="N162" s="445"/>
    </row>
    <row r="163" spans="2:14" s="93" customFormat="1" ht="41.25" customHeight="1">
      <c r="B163" s="461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3"/>
    </row>
    <row r="164" spans="2:14" s="93" customFormat="1" ht="39.950000000000003" customHeight="1">
      <c r="B164" s="464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6"/>
    </row>
    <row r="165" spans="2:14" s="93" customFormat="1" ht="41.25" customHeight="1">
      <c r="B165" s="464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</row>
    <row r="166" spans="2:14" s="93" customFormat="1" ht="39.950000000000003" customHeight="1" thickBot="1">
      <c r="B166" s="467"/>
      <c r="C166" s="468"/>
      <c r="D166" s="468"/>
      <c r="E166" s="468"/>
      <c r="F166" s="468"/>
      <c r="G166" s="468"/>
      <c r="H166" s="468"/>
      <c r="I166" s="468"/>
      <c r="J166" s="468"/>
      <c r="K166" s="468"/>
      <c r="L166" s="468"/>
      <c r="M166" s="468"/>
      <c r="N166" s="469"/>
    </row>
    <row r="167" spans="2:14" s="93" customFormat="1" ht="30" customHeight="1" thickTop="1">
      <c r="B167" s="451" t="s">
        <v>110</v>
      </c>
      <c r="C167" s="452"/>
      <c r="D167" s="452"/>
      <c r="E167" s="455"/>
      <c r="F167" s="456"/>
      <c r="G167" s="456"/>
      <c r="H167" s="456"/>
      <c r="I167" s="456"/>
      <c r="J167" s="456"/>
      <c r="K167" s="456"/>
      <c r="L167" s="457"/>
      <c r="M167" s="452" t="s">
        <v>205</v>
      </c>
      <c r="N167" s="453"/>
    </row>
    <row r="168" spans="2:14" s="93" customFormat="1" ht="33" customHeight="1" thickBot="1">
      <c r="B168" s="454" t="s">
        <v>107</v>
      </c>
      <c r="C168" s="449"/>
      <c r="D168" s="449"/>
      <c r="E168" s="458"/>
      <c r="F168" s="459"/>
      <c r="G168" s="459"/>
      <c r="H168" s="459"/>
      <c r="I168" s="459"/>
      <c r="J168" s="459"/>
      <c r="K168" s="459"/>
      <c r="L168" s="460"/>
      <c r="M168" s="449" t="s">
        <v>108</v>
      </c>
      <c r="N168" s="450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28:C128"/>
    <mergeCell ref="D128:N128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1:N131"/>
    <mergeCell ref="B126:N126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7:C127"/>
    <mergeCell ref="D127:N127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I10" sqref="I10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43687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Naresh Naineni</v>
      </c>
      <c r="E3" s="519"/>
      <c r="F3" s="522" t="s">
        <v>246</v>
      </c>
      <c r="G3" s="523">
        <f>QUOTATION!N8</f>
        <v>43687</v>
      </c>
    </row>
    <row r="4" spans="3:13">
      <c r="C4" s="297" t="s">
        <v>243</v>
      </c>
      <c r="D4" s="520" t="str">
        <f>QUOTATION!M6</f>
        <v>ABPL-DE-19.20-2153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169</v>
      </c>
      <c r="D6" s="519" t="str">
        <f>QUOTATION!F9</f>
        <v>Mr. Ravi Kiran : 9949841177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Mahesh</v>
      </c>
      <c r="E11" s="519"/>
      <c r="F11" s="522"/>
      <c r="G11" s="524"/>
    </row>
    <row r="12" spans="3:13">
      <c r="C12" s="297" t="s">
        <v>244</v>
      </c>
      <c r="D12" s="521">
        <f>QUOTATION!M7</f>
        <v>43687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4854.630000000001</v>
      </c>
      <c r="F14" s="205"/>
      <c r="G14" s="206">
        <f>E14</f>
        <v>4854.630000000001</v>
      </c>
    </row>
    <row r="15" spans="3:13">
      <c r="C15" s="194" t="s">
        <v>235</v>
      </c>
      <c r="D15" s="296">
        <f>'Changable Values'!D4</f>
        <v>83</v>
      </c>
      <c r="E15" s="199">
        <f>E14*D15</f>
        <v>402934.2900000001</v>
      </c>
      <c r="F15" s="205"/>
      <c r="G15" s="207">
        <f>E15</f>
        <v>402934.2900000001</v>
      </c>
    </row>
    <row r="16" spans="3:13">
      <c r="C16" s="195" t="s">
        <v>97</v>
      </c>
      <c r="D16" s="200">
        <f>'Changable Values'!D5</f>
        <v>0.1</v>
      </c>
      <c r="E16" s="199">
        <f>E15*D16</f>
        <v>40293.429000000011</v>
      </c>
      <c r="F16" s="208">
        <f>'Changable Values'!D5</f>
        <v>0.1</v>
      </c>
      <c r="G16" s="207">
        <f>G15*F16</f>
        <v>40293.429000000011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48755.049090000008</v>
      </c>
      <c r="F17" s="208">
        <f>'Changable Values'!D6</f>
        <v>0.11</v>
      </c>
      <c r="G17" s="207">
        <f>SUM(G15:G16)*F17</f>
        <v>48755.049090000008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2459.9138404500004</v>
      </c>
      <c r="F18" s="208">
        <f>'Changable Values'!D7</f>
        <v>5.0000000000000001E-3</v>
      </c>
      <c r="G18" s="207">
        <f>SUM(G15:G17)*F18</f>
        <v>2459.9138404500004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4944.4268193045009</v>
      </c>
      <c r="F19" s="208">
        <f>'Changable Values'!D8</f>
        <v>0.01</v>
      </c>
      <c r="G19" s="207">
        <f>SUM(G15:G18)*F19</f>
        <v>4944.4268193045009</v>
      </c>
    </row>
    <row r="20" spans="3:7">
      <c r="C20" s="195" t="s">
        <v>99</v>
      </c>
      <c r="D20" s="201"/>
      <c r="E20" s="199">
        <f>SUM(E15:E19)</f>
        <v>499387.10874975461</v>
      </c>
      <c r="F20" s="208"/>
      <c r="G20" s="207">
        <f>SUM(G15:G19)</f>
        <v>499387.10874975461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7490.8066312463188</v>
      </c>
      <c r="F21" s="208">
        <f>'Changable Values'!D9</f>
        <v>1.4999999999999999E-2</v>
      </c>
      <c r="G21" s="207">
        <f>G20*F21</f>
        <v>7490.8066312463188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51346.690404000001</v>
      </c>
      <c r="F23" s="209"/>
      <c r="G23" s="207">
        <f t="shared" si="0"/>
        <v>51346.690404000001</v>
      </c>
    </row>
    <row r="24" spans="3:7">
      <c r="C24" s="195" t="s">
        <v>230</v>
      </c>
      <c r="D24" s="198"/>
      <c r="E24" s="199">
        <f>'Cost Calculation'!AH111</f>
        <v>23378.487049180327</v>
      </c>
      <c r="F24" s="209"/>
      <c r="G24" s="207">
        <f t="shared" si="0"/>
        <v>23378.487049180327</v>
      </c>
    </row>
    <row r="25" spans="3:7">
      <c r="C25" s="196" t="s">
        <v>238</v>
      </c>
      <c r="D25" s="198"/>
      <c r="E25" s="199">
        <f>'Cost Calculation'!AJ109</f>
        <v>12499.770347999996</v>
      </c>
      <c r="F25" s="209"/>
      <c r="G25" s="207">
        <f t="shared" si="0"/>
        <v>12499.770347999996</v>
      </c>
    </row>
    <row r="26" spans="3:7">
      <c r="C26" s="196" t="s">
        <v>239</v>
      </c>
      <c r="D26" s="198"/>
      <c r="E26" s="199">
        <f>'Cost Calculation'!AK109</f>
        <v>94003.19173440001</v>
      </c>
      <c r="F26" s="209"/>
      <c r="G26" s="207">
        <f t="shared" si="0"/>
        <v>94003.19173440001</v>
      </c>
    </row>
    <row r="27" spans="3:7">
      <c r="C27" s="195" t="s">
        <v>86</v>
      </c>
      <c r="D27" s="198"/>
      <c r="E27" s="199">
        <f>'Cost Calculation'!AL109</f>
        <v>55159.259032799986</v>
      </c>
      <c r="F27" s="209"/>
      <c r="G27" s="207">
        <f t="shared" si="0"/>
        <v>55159.259032799986</v>
      </c>
    </row>
    <row r="28" spans="3:7">
      <c r="C28" s="195" t="s">
        <v>88</v>
      </c>
      <c r="D28" s="198"/>
      <c r="E28" s="199">
        <f>'Cost Calculation'!AN109</f>
        <v>44127.40722624</v>
      </c>
      <c r="F28" s="209"/>
      <c r="G28" s="207">
        <f t="shared" si="0"/>
        <v>44127.40722624</v>
      </c>
    </row>
    <row r="29" spans="3:7">
      <c r="C29" s="293" t="s">
        <v>379</v>
      </c>
      <c r="D29" s="294"/>
      <c r="E29" s="295">
        <f>SUM(E20:E28)</f>
        <v>787392.72117562126</v>
      </c>
      <c r="F29" s="209"/>
      <c r="G29" s="207">
        <f>SUM(G20:G21,G24)</f>
        <v>530256.40243018128</v>
      </c>
    </row>
    <row r="30" spans="3:7">
      <c r="C30" s="293" t="s">
        <v>380</v>
      </c>
      <c r="D30" s="294"/>
      <c r="E30" s="295">
        <f>E29/E33</f>
        <v>1427.4896635348284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662820.50303772662</v>
      </c>
      <c r="F31" s="214">
        <f>'Changable Values'!D23</f>
        <v>1.25</v>
      </c>
      <c r="G31" s="207">
        <f>G29*F31</f>
        <v>662820.50303772662</v>
      </c>
    </row>
    <row r="32" spans="3:7">
      <c r="C32" s="290" t="s">
        <v>5</v>
      </c>
      <c r="D32" s="291"/>
      <c r="E32" s="292">
        <f>E31+E29</f>
        <v>1450213.2242133478</v>
      </c>
      <c r="F32" s="205"/>
      <c r="G32" s="207">
        <f>SUM(G25:G31,G22:G23)</f>
        <v>1450213.224213348</v>
      </c>
    </row>
    <row r="33" spans="3:7">
      <c r="C33" s="300" t="s">
        <v>231</v>
      </c>
      <c r="D33" s="301"/>
      <c r="E33" s="308">
        <f>'Cost Calculation'!K109</f>
        <v>551.59259032800003</v>
      </c>
      <c r="F33" s="210"/>
      <c r="G33" s="211">
        <f>E33</f>
        <v>551.59259032800003</v>
      </c>
    </row>
    <row r="34" spans="3:7">
      <c r="C34" s="302" t="s">
        <v>9</v>
      </c>
      <c r="D34" s="303"/>
      <c r="E34" s="304">
        <f>QUOTATION!L116</f>
        <v>21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2629.1383344199571</v>
      </c>
      <c r="F35" s="212"/>
      <c r="G35" s="213">
        <f>G32/(G33)</f>
        <v>2629.1383344199576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2019-08-12T09:42:49Z</cp:lastPrinted>
  <dcterms:created xsi:type="dcterms:W3CDTF">2010-12-18T06:34:46Z</dcterms:created>
  <dcterms:modified xsi:type="dcterms:W3CDTF">2019-08-13T08:53:56Z</dcterms:modified>
</cp:coreProperties>
</file>