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4" i="158" l="1"/>
  <c r="N6" i="166" l="1"/>
  <c r="U3" i="169" l="1"/>
  <c r="U2" i="169"/>
  <c r="T3" i="169"/>
  <c r="T2" i="169"/>
  <c r="S2" i="169"/>
  <c r="S3" i="169"/>
  <c r="R2" i="169"/>
  <c r="R3" i="169"/>
  <c r="Q3" i="169"/>
  <c r="Q2" i="169"/>
  <c r="P3" i="169"/>
  <c r="P2" i="169"/>
  <c r="O2" i="169"/>
  <c r="O3" i="169"/>
  <c r="N3" i="169"/>
  <c r="M3" i="169"/>
  <c r="M2" i="169"/>
  <c r="L3" i="169"/>
  <c r="L2" i="169"/>
  <c r="K2" i="169"/>
  <c r="K3" i="169"/>
  <c r="J3" i="169"/>
  <c r="J2" i="169"/>
  <c r="I3" i="169"/>
  <c r="I2" i="169"/>
  <c r="F3" i="169"/>
  <c r="F2" i="169"/>
  <c r="E3" i="169"/>
  <c r="E2" i="169"/>
  <c r="B2" i="169"/>
  <c r="C2" i="169"/>
  <c r="D2" i="169"/>
  <c r="B3" i="169"/>
  <c r="C3" i="169"/>
  <c r="D3" i="169"/>
  <c r="A3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8" i="159" l="1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D8" i="159"/>
  <c r="AK8" i="159"/>
  <c r="N2" i="169" s="1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AJ8" i="159" l="1"/>
  <c r="AJ109" i="159" s="1"/>
  <c r="E25" i="165" s="1"/>
  <c r="G25" i="165" s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<sst xmlns="http://schemas.openxmlformats.org/spreadsheetml/2006/main" count="1930" uniqueCount="437">
  <si>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</si>
  <si>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</si>
  <si>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</si>
  <si>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</si>
  <si>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</si>
  <si>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</si>
  <si>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</si>
  <si>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</si>
  <si>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</si>
  <si>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</si>
  <si>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</si>
  <si>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</si>
  <si>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</si>
  <si>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</si>
  <si>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</si>
  <si>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</si>
  <si>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</si>
  <si>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</si>
  <si>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</si>
  <si>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</si>
  <si>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</si>
  <si>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</si>
  <si>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</si>
  <si>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</si>
  <si>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</si>
  <si>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</si>
  <si>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</si>
  <si>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</si>
  <si>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</si>
  <si>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</si>
  <si>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</si>
  <si>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</si>
  <si>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</si>
  <si>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</si>
  <si>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</si>
  <si>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</si>
  <si>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</si>
  <si>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</si>
  <si>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</si>
  <si>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</si>
  <si>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</si>
  <si>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</si>
  <si>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</si>
  <si>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</si>
  <si>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</si>
  <si>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</si>
  <si>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</si>
  <si>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</si>
  <si>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</si>
  <si>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</si>
  <si>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</si>
  <si>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</si>
  <si>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</si>
  <si>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</si>
  <si>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</si>
  <si>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</si>
  <si>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</si>
  <si>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</si>
  <si>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</si>
  <si>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</si>
  <si>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</si>
  <si>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</si>
  <si>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</si>
  <si>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</si>
  <si>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</si>
  <si>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</si>
  <si>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</si>
  <si>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</si>
  <si>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</si>
  <si>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</si>
  <si>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</si>
  <si>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</si>
  <si>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</si>
  <si>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</si>
  <si>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</si>
  <si>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</si>
  <si>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</si>
  <si>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</si>
  <si>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</si>
  <si>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</si>
  <si>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</si>
  <si>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</si>
  <si>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</si>
  <si>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</si>
  <si>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</si>
  <si>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</si>
  <si>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</si>
  <si>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</si>
  <si>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</si>
  <si>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</si>
  <si>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</si>
  <si>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</si>
  <si>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</si>
  <si>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</si>
  <si>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</si>
  <si>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</si>
  <si>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</si>
  <si>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</si>
  <si>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</si>
  <si>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</si>
  <si>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</si>
  <si>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</si>
  <si>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</si>
  <si>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</si>
  <si>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</si>
  <si>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</si>
  <si>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</si>
  <si>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</si>
  <si>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</si>
  <si>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</si>
  <si>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</si>
  <si>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</si>
  <si>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</si>
  <si>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</si>
  <si>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</si>
  <si>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</si>
  <si>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</si>
  <si>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</si>
  <si>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</si>
  <si>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</si>
  <si>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</si>
  <si>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</si>
  <si>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</si>
  <si>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</si>
  <si>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</si>
  <si>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</si>
  <si>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</si>
  <si>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</si>
  <si>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</si>
  <si>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</si>
  <si>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</si>
  <si>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</si>
  <si>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</si>
  <si>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</si>
  <si>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</si>
  <si>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</si>
  <si>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</si>
  <si>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</si>
  <si>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</si>
  <si>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</si>
  <si>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</si>
  <si>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</si>
  <si>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</si>
  <si>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</si>
  <si>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</si>
  <si>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</si>
  <si>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</si>
  <si>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</si>
  <si>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</si>
  <si>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</si>
  <si>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</si>
  <si>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</si>
  <si>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</si>
  <si>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</si>
  <si>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</si>
  <si>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</si>
  <si>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</si>
  <si>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</si>
  <si>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</si>
  <si>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</si>
  <si>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</si>
  <si>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</si>
  <si>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</si>
  <si>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</si>
  <si>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</si>
  <si>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</si>
  <si>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</si>
  <si>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</si>
  <si>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</si>
  <si>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</si>
  <si>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</si>
  <si>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</si>
  <si>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</si>
  <si>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</si>
  <si>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</si>
  <si>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</si>
  <si>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</si>
  <si>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</si>
  <si>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</si>
  <si>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</si>
  <si>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</si>
  <si>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</si>
  <si>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</si>
  <si>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</si>
  <si>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</si>
  <si>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</si>
  <si>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</si>
  <si>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</si>
  <si>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</si>
  <si>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</si>
  <si>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</si>
  <si>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</si>
  <si>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</si>
  <si>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</si>
  <si>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</si>
  <si>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</si>
  <si>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</si>
  <si>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</si>
  <si>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</si>
  <si>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</si>
  <si>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</si>
  <si>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</si>
  <si>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</si>
  <si>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</si>
  <si>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</si>
  <si>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</si>
  <si>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</si>
  <si>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</si>
  <si>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</si>
  <si>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</si>
  <si>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</si>
  <si>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</si>
  <si>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</si>
  <si>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</si>
  <si>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</si>
  <si>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</si>
  <si>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</si>
  <si>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</si>
  <si>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</si>
  <si>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</si>
  <si>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</si>
  <si>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</si>
  <si>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</si>
  <si>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</si>
  <si>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</si>
  <si>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</si>
  <si>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</si>
  <si>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</si>
  <si>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</si>
  <si>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</si>
  <si>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</si>
  <si>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</si>
  <si>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</si>
  <si>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</si>
  <si>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</si>
  <si>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</si>
  <si>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</si>
  <si>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</si>
  <si>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</si>
  <si>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</si>
  <si>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</si>
  <si>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</si>
  <si>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</si>
  <si>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</si>
  <si>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</si>
  <si>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</si>
  <si>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</si>
  <si>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</si>
  <si>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</si>
  <si>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</si>
  <si>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</si>
  <si>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</si>
  <si>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</si>
  <si>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</si>
  <si>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</si>
  <si>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</si>
  <si>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</si>
  <si>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</si>
  <si>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</si>
  <si>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</si>
  <si>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</si>
  <si>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</si>
  <si>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</si>
  <si>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</si>
  <si>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</si>
  <si>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</si>
  <si>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</si>
  <si>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</si>
  <si>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</si>
  <si>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</si>
  <si>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</si>
  <si>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</si>
  <si>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</si>
  <si>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</si>
  <si>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</si>
  <si>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</si>
  <si>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</si>
  <si>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</si>
  <si>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</si>
  <si>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</si>
  <si>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</si>
  <si>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</si>
  <si>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</si>
  <si>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</si>
  <si>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</si>
  <si>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</si>
  <si>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</si>
  <si>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</si>
  <si>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</si>
  <si>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</si>
  <si>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</si>
  <si>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</si>
  <si>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</si>
  <si>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</si>
  <si>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</si>
  <si>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</si>
  <si>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</si>
  <si>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</si>
  <si>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</si>
  <si>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</si>
  <si>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</si>
  <si>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</si>
  <si>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</si>
  <si>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</si>
  <si>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</si>
  <si>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</si>
  <si>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</si>
  <si>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</si>
  <si>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</si>
  <si>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</si>
  <si>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</si>
  <si>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</si>
  <si>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</si>
  <si>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</si>
  <si>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</si>
  <si>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</si>
  <si>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</si>
  <si>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</si>
  <si>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</si>
  <si>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</si>
  <si>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</si>
  <si>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</si>
  <si>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</si>
  <si>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</si>
  <si>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</si>
  <si>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</si>
  <si>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</si>
  <si>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</si>
  <si>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</si>
  <si>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</si>
  <si>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</si>
  <si>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</si>
  <si>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</si>
  <si>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</si>
  <si>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</si>
  <si>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</si>
  <si>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</si>
  <si>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</si>
  <si>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</si>
  <si>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</si>
  <si>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</si>
  <si>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</si>
  <si>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</si>
  <si>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</si>
  <si>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</si>
  <si>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</si>
  <si>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</si>
  <si>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</si>
  <si>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</si>
  <si>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</si>
  <si>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</si>
  <si>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</si>
  <si>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</si>
  <si>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</si>
  <si>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</si>
  <si>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</si>
  <si>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</si>
  <si>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</si>
  <si>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</si>
  <si>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</si>
  <si>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</si>
  <si>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</si>
  <si>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</si>
  <si>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</si>
  <si>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</si>
  <si>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</si>
  <si>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</si>
  <si>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</si>
  <si>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</si>
  <si>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</si>
  <si>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</si>
  <si>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</si>
  <si>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</si>
  <si>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</si>
  <si>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</si>
  <si>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</si>
  <si>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</si>
  <si>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</si>
  <si>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</si>
  <si>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</si>
  <si>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</si>
  <si>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</si>
  <si>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</si>
  <si>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</si>
  <si>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</si>
  <si>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</si>
  <si>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</si>
  <si>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</si>
  <si>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</si>
  <si>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</si>
  <si>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</si>
  <si>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</si>
  <si>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</si>
  <si>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</si>
  <si>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</si>
  <si>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</si>
  <si>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</si>
  <si>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</si>
  <si>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</si>
  <si>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</si>
  <si>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</si>
  <si>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</si>
  <si>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</si>
  <si>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</si>
  <si>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</si>
  <si>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</si>
  <si>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</si>
  <si>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</si>
  <si>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</si>
  <si>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</si>
  <si>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</si>
  <si>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</si>
  <si>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</si>
  <si>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</si>
  <si>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</si>
  <si>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</si>
  <si>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</si>
  <si>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</si>
  <si>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</si>
  <si>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</si>
  <si>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</si>
  <si>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</si>
  <si>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</si>
  <si>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Venugopal Reddy</t>
  </si>
  <si>
    <t>Hyderabad</t>
  </si>
  <si>
    <t>White Powder Coating</t>
  </si>
  <si>
    <t>ABPL-DE-19.20-2162</t>
  </si>
  <si>
    <t>GF-1</t>
  </si>
  <si>
    <t>M15000</t>
  </si>
  <si>
    <t>TOP HUNG WINDOW</t>
  </si>
  <si>
    <t>6MM (F)</t>
  </si>
  <si>
    <t>ROLL UP</t>
  </si>
  <si>
    <t>GBR</t>
  </si>
  <si>
    <t>V2</t>
  </si>
  <si>
    <t>TOP HUNG WINDOW WITH FIXED GLASS</t>
  </si>
  <si>
    <t>2F - BED ROOM</t>
  </si>
  <si>
    <t>6mm (F) :- 6mm Frosted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</si>
</sst>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1478973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397564</xdr:colOff>
      <xdr:row>8</xdr:row>
      <xdr:rowOff>289891</xdr:rowOff>
    </xdr:from>
    <xdr:to>
      <xdr:col>6</xdr:col>
      <xdr:colOff>24848</xdr:colOff>
      <xdr:row>15</xdr:row>
      <xdr:rowOff>192558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5564" y="1764195"/>
          <a:ext cx="1606827" cy="2105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99390</xdr:colOff>
      <xdr:row>19</xdr:row>
      <xdr:rowOff>173935</xdr:rowOff>
    </xdr:from>
    <xdr:to>
      <xdr:col>7</xdr:col>
      <xdr:colOff>24847</xdr:colOff>
      <xdr:row>26</xdr:row>
      <xdr:rowOff>266891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0" y="4961283"/>
          <a:ext cx="2294283" cy="2296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B8" sqref="B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ABPL-DE-19.20-2162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Mr. Venugopal Reddy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43696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43696</v>
      </c>
    </row>
    <row r="5" spans="2:16">
      <c r="B5" s="218"/>
      <c r="C5" s="539" t="s">
        <v>168</v>
      </c>
      <c r="D5" s="539"/>
      <c r="E5" s="539"/>
      <c r="F5" s="540" t="str">
        <f>QUOTATION!F9</f>
        <v>Mr. Srinivas : 9949077279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Ranjan</v>
      </c>
      <c r="O5" s="540"/>
    </row>
    <row r="6" spans="2:16">
      <c r="B6" s="218"/>
      <c r="C6" s="539" t="s">
        <v>176</v>
      </c>
      <c r="D6" s="539"/>
      <c r="E6" s="539"/>
      <c r="F6" s="285" t="str">
        <f>QUOTATION!F10</f>
        <v>White Powder Coating</v>
      </c>
      <c r="G6" s="539"/>
      <c r="H6" s="539"/>
      <c r="I6" s="541" t="s">
        <v>177</v>
      </c>
      <c r="J6" s="541"/>
      <c r="K6" s="540" t="str">
        <f>QUOTATION!I10</f>
        <v>White</v>
      </c>
      <c r="L6" s="540"/>
      <c r="M6" s="320" t="s">
        <v>373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GF-1</v>
      </c>
      <c r="F8" s="288" t="s">
        <v>254</v>
      </c>
      <c r="G8" s="540" t="str">
        <f>'BD Team'!D9</f>
        <v>TOP HUNG WINDOW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GBR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White Powder Coating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White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886 X 1225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6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M15000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6MM (F)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ROLL UP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 t="str">
        <f>'BD Team'!B10</f>
        <v>V2</v>
      </c>
      <c r="F19" s="288" t="s">
        <v>254</v>
      </c>
      <c r="G19" s="540" t="str">
        <f>'BD Team'!D10</f>
        <v>TOP HUNG WINDOW WITH FIXED GLASS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2F - BED ROOM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White Powder Coating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White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>1201 X 1006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 t="str">
        <f>'BD Team'!E10</f>
        <v>6MM (F)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 t="str">
        <f>'BD Team'!F10</f>
        <v>ROLL UP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>
        <f>'BD Team'!B11</f>
        <v>0</v>
      </c>
      <c r="F30" s="288" t="s">
        <v>254</v>
      </c>
      <c r="G30" s="540">
        <f>'BD Team'!D11</f>
        <v>0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>
        <f>'BD Team'!G11</f>
        <v>0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tr">
        <f>$F$6</f>
        <v>White Powder Coating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tr">
        <f>$K$6</f>
        <v>White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 xml:space="preserve"> X 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0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>
        <f>'BD Team'!C11</f>
        <v>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>
        <f>'BD Team'!E11</f>
        <v>0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>
        <f>'BD Team'!F11</f>
        <v>0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>
        <f>'BD Team'!B12</f>
        <v>0</v>
      </c>
      <c r="F41" s="288" t="s">
        <v>254</v>
      </c>
      <c r="G41" s="540">
        <f>'BD Team'!D12</f>
        <v>0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>
        <f>'BD Team'!G12</f>
        <v>0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White Powder Coating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White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 xml:space="preserve"> X 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0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>
        <f>'BD Team'!C12</f>
        <v>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>
        <f>'BD Team'!E12</f>
        <v>0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>
        <f>'BD Team'!F12</f>
        <v>0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>
        <f>'BD Team'!B13</f>
        <v>0</v>
      </c>
      <c r="F52" s="288" t="s">
        <v>254</v>
      </c>
      <c r="G52" s="540">
        <f>'BD Team'!D13</f>
        <v>0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>
        <f>'BD Team'!G13</f>
        <v>0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White Powder Coating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White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 xml:space="preserve"> X 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0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>
        <f>'BD Team'!C13</f>
        <v>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>
        <f>'BD Team'!E13</f>
        <v>0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>
        <f>'BD Team'!F13</f>
        <v>0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>
        <f>'BD Team'!B14</f>
        <v>0</v>
      </c>
      <c r="F63" s="288" t="s">
        <v>254</v>
      </c>
      <c r="G63" s="540">
        <f>'BD Team'!D14</f>
        <v>0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>
        <f>'BD Team'!G14</f>
        <v>0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White Powder Coating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White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 xml:space="preserve"> X 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0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>
        <f>'BD Team'!C14</f>
        <v>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>
        <f>'BD Team'!E14</f>
        <v>0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>
        <f>'BD Team'!F14</f>
        <v>0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>
        <f>'BD Team'!B15</f>
        <v>0</v>
      </c>
      <c r="F74" s="288" t="s">
        <v>254</v>
      </c>
      <c r="G74" s="540">
        <f>'BD Team'!D15</f>
        <v>0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>
        <f>'BD Team'!G15</f>
        <v>0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White Powder Coating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White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 xml:space="preserve"> X 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0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>
        <f>'BD Team'!C15</f>
        <v>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>
        <f>'BD Team'!E15</f>
        <v>0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>
        <f>'BD Team'!F15</f>
        <v>0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>
        <f>'BD Team'!B16</f>
        <v>0</v>
      </c>
      <c r="F85" s="288" t="s">
        <v>254</v>
      </c>
      <c r="G85" s="540">
        <f>'BD Team'!D16</f>
        <v>0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>
        <f>'BD Team'!G16</f>
        <v>0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White Powder Coating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White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 xml:space="preserve"> X 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0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>
        <f>'BD Team'!C16</f>
        <v>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>
        <f>'BD Team'!E16</f>
        <v>0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>
        <f>'BD Team'!F16</f>
        <v>0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>
        <f>'BD Team'!B17</f>
        <v>0</v>
      </c>
      <c r="F96" s="288" t="s">
        <v>254</v>
      </c>
      <c r="G96" s="540">
        <f>'BD Team'!D17</f>
        <v>0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>
        <f>'BD Team'!G17</f>
        <v>0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White Powder Coating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White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0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>
        <f>'BD Team'!F17</f>
        <v>0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>
        <f>'BD Team'!B18</f>
        <v>0</v>
      </c>
      <c r="F107" s="288" t="s">
        <v>254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>
        <f>'BD Team'!G18</f>
        <v>0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White Powder Coating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White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0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>
        <f>'BD Team'!F18</f>
        <v>0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>
        <f>'BD Team'!B19</f>
        <v>0</v>
      </c>
      <c r="F118" s="288" t="s">
        <v>254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>
        <f>'BD Team'!G19</f>
        <v>0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White Powder Coating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White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0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>
        <f>'BD Team'!F19</f>
        <v>0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>
        <f>'BD Team'!B20</f>
        <v>0</v>
      </c>
      <c r="F129" s="288" t="s">
        <v>254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>
        <f>'BD Team'!G20</f>
        <v>0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White Powder Coating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White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0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>
        <f>'BD Team'!F20</f>
        <v>0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>
        <f>'BD Team'!B21</f>
        <v>0</v>
      </c>
      <c r="F140" s="288" t="s">
        <v>254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>
        <f>'BD Team'!G21</f>
        <v>0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White Powder Coating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White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0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>
        <f>'BD Team'!F21</f>
        <v>0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>
        <f>'BD Team'!B22</f>
        <v>0</v>
      </c>
      <c r="F151" s="288" t="s">
        <v>254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>
        <f>'BD Team'!G22</f>
        <v>0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White Powder Coating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White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0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>
        <f>'BD Team'!F22</f>
        <v>0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>
        <f>'BD Team'!B23</f>
        <v>0</v>
      </c>
      <c r="F162" s="288" t="s">
        <v>254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>
        <f>'BD Team'!G23</f>
        <v>0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White Powder Coating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White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0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>
        <f>'BD Team'!F23</f>
        <v>0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>
        <f>'BD Team'!B24</f>
        <v>0</v>
      </c>
      <c r="F173" s="288" t="s">
        <v>254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>
        <f>'BD Team'!G24</f>
        <v>0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White Powder Coating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White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0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>
        <f>'BD Team'!F24</f>
        <v>0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>
        <f>'BD Team'!B25</f>
        <v>0</v>
      </c>
      <c r="F184" s="288" t="s">
        <v>254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>
        <f>'BD Team'!G25</f>
        <v>0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White Powder Coating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White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0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>
        <f>'BD Team'!F25</f>
        <v>0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>
        <f>'BD Team'!B26</f>
        <v>0</v>
      </c>
      <c r="F195" s="288" t="s">
        <v>254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>
        <f>'BD Team'!G26</f>
        <v>0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White Powder Coating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White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0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>
        <f>'BD Team'!F26</f>
        <v>0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>
        <f>'BD Team'!B27</f>
        <v>0</v>
      </c>
      <c r="F206" s="288" t="s">
        <v>254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>
        <f>'BD Team'!G27</f>
        <v>0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White Powder Coating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White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0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>
        <f>'BD Team'!F27</f>
        <v>0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>
        <f>'BD Team'!B28</f>
        <v>0</v>
      </c>
      <c r="F217" s="288" t="s">
        <v>254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>
        <f>'BD Team'!G28</f>
        <v>0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White Powder Coating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White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0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>
        <f>'BD Team'!F28</f>
        <v>0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>
        <f>'BD Team'!B29</f>
        <v>0</v>
      </c>
      <c r="F228" s="288" t="s">
        <v>254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>
        <f>'BD Team'!G29</f>
        <v>0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White Powder Coating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White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0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>
        <f>'BD Team'!F29</f>
        <v>0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>
        <f>'BD Team'!B30</f>
        <v>0</v>
      </c>
      <c r="F239" s="288" t="s">
        <v>254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>
        <f>'BD Team'!G30</f>
        <v>0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White Powder Coating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White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0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>
        <f>'BD Team'!F30</f>
        <v>0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>
        <f>'BD Team'!B31</f>
        <v>0</v>
      </c>
      <c r="F250" s="288" t="s">
        <v>254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>
        <f>'BD Team'!G31</f>
        <v>0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White Powder Coating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White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0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>
        <f>'BD Team'!F31</f>
        <v>0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>
        <f>'BD Team'!B32</f>
        <v>0</v>
      </c>
      <c r="F261" s="288" t="s">
        <v>254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>
        <f>'BD Team'!G32</f>
        <v>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White Powder Coating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White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0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>
        <f>'BD Team'!F32</f>
        <v>0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>
        <f>'BD Team'!B33</f>
        <v>0</v>
      </c>
      <c r="F272" s="288" t="s">
        <v>254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>
        <f>'BD Team'!G33</f>
        <v>0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White Powder Coating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White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0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>
        <f>'BD Team'!F33</f>
        <v>0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>
        <f>'BD Team'!B34</f>
        <v>0</v>
      </c>
      <c r="F283" s="288" t="s">
        <v>254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White Powder Coating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White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White Powder Coating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White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White Powder Coating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White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White Powder Coating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White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White Powder Coating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White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White Powder Coating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White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White Powder Coating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White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White Powder Coating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White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White Powder Coating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White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White Powder Coating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White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White Powder Coating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White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White Powder Coating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White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White Powder Coating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White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White Powder Coating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White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White Powder Coating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White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White Powder Coating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White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White Powder Coating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White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White Powder Coating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White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White Powder Coating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White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White Powder Coating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White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White Powder Coating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White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White Powder Coating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White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White Powder Coating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White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White Powder Coating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White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White Powder Coating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White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White Powder Coating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White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White Powder Coating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White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White Powder Coating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White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White Powder Coating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White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White Powder Coating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White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White Powder Coating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White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White Powder Coating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White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White Powder Coating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White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White Powder Coating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White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White Powder Coating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White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White Powder Coating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White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White Powder Coating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White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White Powder Coating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White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White Powder Coating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White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White Powder Coating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White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White Powder Coating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White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White Powder Coating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White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White Powder Coating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White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White Powder Coating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White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White Powder Coating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White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White Powder Coating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White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White Powder Coating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White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White Powder Coating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White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White Powder Coating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White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White Powder Coating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White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White Powder Coating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White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White Powder Coating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White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White Powder Coating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White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White Powder Coating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White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White Powder Coating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White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White Powder Coating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White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White Powder Coating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White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White Powder Coating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White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White Powder Coating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White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White Powder Coating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White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White Powder Coating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White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White Powder Coating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White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White Powder Coating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White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White Powder Coating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White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White Powder Coating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White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White Powder Coating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White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White Powder Coating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White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White Powder Coating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White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White Powder Coating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White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White Powder Coating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White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White Powder Coating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White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White Powder Coating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White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White Powder Coating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White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White Powder Coating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White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White Powder Coating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White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99</v>
      </c>
    </row>
    <row r="5" spans="3:5">
      <c r="C5" s="236" t="s">
        <v>395</v>
      </c>
      <c r="D5" s="236" t="s">
        <v>393</v>
      </c>
      <c r="E5" s="309">
        <f>ROUND(Pricing!U104,0.1)/40</f>
        <v>2.9750000000000001</v>
      </c>
    </row>
    <row r="6" spans="3:5">
      <c r="C6" s="236" t="s">
        <v>83</v>
      </c>
      <c r="D6" s="236" t="s">
        <v>392</v>
      </c>
      <c r="E6" s="309">
        <f>ROUND(Pricing!V104,0.1)</f>
        <v>6</v>
      </c>
    </row>
    <row r="7" spans="3:5">
      <c r="C7" s="236" t="s">
        <v>399</v>
      </c>
      <c r="D7" s="236" t="s">
        <v>391</v>
      </c>
      <c r="E7" s="309">
        <f>ROUND(Pricing!W104,0.1)</f>
        <v>99</v>
      </c>
    </row>
    <row r="8" spans="3:5">
      <c r="C8" s="236" t="s">
        <v>396</v>
      </c>
      <c r="D8" s="236" t="s">
        <v>391</v>
      </c>
      <c r="E8" s="309">
        <f>ROUND(Pricing!X104,0.1)</f>
        <v>198</v>
      </c>
    </row>
    <row r="9" spans="3:5">
      <c r="C9" t="s">
        <v>222</v>
      </c>
      <c r="D9" s="236" t="s">
        <v>394</v>
      </c>
      <c r="E9" s="309">
        <f>ROUND(Pricing!Y104,0.1)</f>
        <v>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"/>
  <sheetViews>
    <sheetView workbookViewId="0">
      <selection activeCell="A4" sqref="A4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GF-1</v>
      </c>
      <c r="B2" s="318" t="str">
        <f>'BD Team'!C9</f>
        <v>M15000</v>
      </c>
      <c r="C2" s="318" t="str">
        <f>'BD Team'!D9</f>
        <v>TOP HUNG WINDOW</v>
      </c>
      <c r="D2" s="318" t="str">
        <f>'BD Team'!E9</f>
        <v>6MM (F)</v>
      </c>
      <c r="E2" s="318" t="str">
        <f>'BD Team'!G9</f>
        <v>GBR</v>
      </c>
      <c r="F2" s="318" t="str">
        <f>'BD Team'!F9</f>
        <v>ROLL UP</v>
      </c>
      <c r="I2" s="318">
        <f>'BD Team'!H9</f>
        <v>886</v>
      </c>
      <c r="J2" s="318">
        <f>'BD Team'!I9</f>
        <v>1225</v>
      </c>
      <c r="K2" s="318">
        <f>'BD Team'!J9</f>
        <v>6</v>
      </c>
      <c r="L2" s="319">
        <f>'BD Team'!K9</f>
        <v>175.06</v>
      </c>
      <c r="M2" s="318">
        <f>Pricing!O4</f>
        <v>2003</v>
      </c>
      <c r="N2" s="318">
        <f>Pricing!Q4</f>
        <v>0</v>
      </c>
      <c r="O2" s="318">
        <f>Pricing!R4</f>
        <v>10225.799999999999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V2</v>
      </c>
      <c r="B3" s="318" t="str">
        <f>'BD Team'!C10</f>
        <v>M15000</v>
      </c>
      <c r="C3" s="318" t="str">
        <f>'BD Team'!D10</f>
        <v>TOP HUNG WINDOW WITH FIXED GLASS</v>
      </c>
      <c r="D3" s="318" t="str">
        <f>'BD Team'!E10</f>
        <v>6MM (F)</v>
      </c>
      <c r="E3" s="318" t="str">
        <f>'BD Team'!G10</f>
        <v>2F - BED ROOM</v>
      </c>
      <c r="F3" s="318" t="str">
        <f>'BD Team'!F10</f>
        <v>ROLL UP</v>
      </c>
      <c r="I3" s="318">
        <f>'BD Team'!H10</f>
        <v>1201</v>
      </c>
      <c r="J3" s="318">
        <f>'BD Team'!I10</f>
        <v>1006</v>
      </c>
      <c r="K3" s="318">
        <f>'BD Team'!J10</f>
        <v>1</v>
      </c>
      <c r="L3" s="319">
        <f>'BD Team'!K10</f>
        <v>399.91</v>
      </c>
      <c r="M3" s="318">
        <f>Pricing!O5</f>
        <v>2003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11" sqref="G1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423</v>
      </c>
      <c r="F2" s="137"/>
      <c r="G2" s="163"/>
      <c r="H2" s="323" t="s">
        <v>184</v>
      </c>
      <c r="I2" s="324"/>
      <c r="J2" s="165" t="s">
        <v>426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424</v>
      </c>
      <c r="F3" s="136" t="s">
        <v>182</v>
      </c>
      <c r="G3" s="162" t="s">
        <v>417</v>
      </c>
      <c r="H3" s="323" t="s">
        <v>185</v>
      </c>
      <c r="I3" s="324"/>
      <c r="J3" s="166">
        <v>43696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281</v>
      </c>
      <c r="F4" s="135"/>
      <c r="G4" s="164"/>
      <c r="H4" s="323" t="s">
        <v>186</v>
      </c>
      <c r="I4" s="324"/>
      <c r="J4" s="165" t="s">
        <v>381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425</v>
      </c>
      <c r="F5" s="136" t="s">
        <v>183</v>
      </c>
      <c r="G5" s="162" t="s">
        <v>261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430</v>
      </c>
      <c r="F9" s="113" t="s">
        <v>431</v>
      </c>
      <c r="G9" s="113" t="s">
        <v>432</v>
      </c>
      <c r="H9" s="113">
        <v>886</v>
      </c>
      <c r="I9" s="113">
        <v>1225</v>
      </c>
      <c r="J9" s="113">
        <v>6</v>
      </c>
      <c r="K9" s="123">
        <v>175.06</v>
      </c>
    </row>
    <row r="10" spans="1:13" ht="20.100000000000001" customHeight="1">
      <c r="A10" s="113">
        <v>2</v>
      </c>
      <c r="B10" s="113" t="s">
        <v>433</v>
      </c>
      <c r="C10" s="113" t="s">
        <v>428</v>
      </c>
      <c r="D10" s="113" t="s">
        <v>434</v>
      </c>
      <c r="E10" s="113" t="s">
        <v>430</v>
      </c>
      <c r="F10" s="113" t="s">
        <v>431</v>
      </c>
      <c r="G10" s="113" t="s">
        <v>435</v>
      </c>
      <c r="H10" s="113">
        <v>1201</v>
      </c>
      <c r="I10" s="113">
        <v>1006</v>
      </c>
      <c r="J10" s="113">
        <v>1</v>
      </c>
      <c r="K10" s="123">
        <v>399.91</v>
      </c>
      <c r="L10" s="47" t="s">
        <v>282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418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419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31" sqref="P3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GF-1</v>
      </c>
      <c r="C4" s="118" t="str">
        <f>'BD Team'!C9</f>
        <v>M15000</v>
      </c>
      <c r="D4" s="118" t="str">
        <f>'BD Team'!D9</f>
        <v>TOP HUNG WINDOW</v>
      </c>
      <c r="E4" s="118" t="str">
        <f>'BD Team'!F9</f>
        <v>ROLL UP</v>
      </c>
      <c r="F4" s="121" t="str">
        <f>'BD Team'!G9</f>
        <v>GBR</v>
      </c>
      <c r="G4" s="118">
        <f>'BD Team'!H9</f>
        <v>886</v>
      </c>
      <c r="H4" s="118">
        <f>'BD Team'!I9</f>
        <v>1225</v>
      </c>
      <c r="I4" s="118">
        <f>'BD Team'!J9</f>
        <v>6</v>
      </c>
      <c r="J4" s="103">
        <f t="shared" ref="J4:J53" si="0">G4*H4*I4*10.764/1000000</f>
        <v>70.096244399999989</v>
      </c>
      <c r="K4" s="172">
        <f>'BD Team'!K9</f>
        <v>175.06</v>
      </c>
      <c r="L4" s="171">
        <f>K4*I4</f>
        <v>1050.3600000000001</v>
      </c>
      <c r="M4" s="170">
        <f>L4*'Changable Values'!$D$4</f>
        <v>87179.88</v>
      </c>
      <c r="N4" s="170" t="str">
        <f>'BD Team'!E9</f>
        <v>6MM (F)</v>
      </c>
      <c r="O4" s="172">
        <v>2003</v>
      </c>
      <c r="P4" s="241"/>
      <c r="Q4" s="173"/>
      <c r="R4" s="185">
        <f>950*10.764</f>
        <v>10225.799999999999</v>
      </c>
      <c r="S4" s="312"/>
      <c r="T4" s="313">
        <f>(G4+H4)*I4*2/300</f>
        <v>84.44</v>
      </c>
      <c r="U4" s="313">
        <f>SUM(G4:H4)*I4*2*4/1000</f>
        <v>101.328</v>
      </c>
      <c r="V4" s="313">
        <f>SUM(G4:H4)*I4*5*5*4/(1000*240)</f>
        <v>5.2774999999999999</v>
      </c>
      <c r="W4" s="313">
        <f>T4</f>
        <v>84.44</v>
      </c>
      <c r="X4" s="313">
        <f>W4*2</f>
        <v>168.88</v>
      </c>
      <c r="Y4" s="313">
        <f>SUM(G4:H4)*I4*4/1000</f>
        <v>50.664000000000001</v>
      </c>
    </row>
    <row r="5" spans="1:25">
      <c r="A5" s="118">
        <f>'BD Team'!A10</f>
        <v>2</v>
      </c>
      <c r="B5" s="118" t="str">
        <f>'BD Team'!B10</f>
        <v>V2</v>
      </c>
      <c r="C5" s="118" t="str">
        <f>'BD Team'!C10</f>
        <v>M15000</v>
      </c>
      <c r="D5" s="118" t="str">
        <f>'BD Team'!D10</f>
        <v>TOP HUNG WINDOW WITH FIXED GLASS</v>
      </c>
      <c r="E5" s="118" t="str">
        <f>'BD Team'!F10</f>
        <v>ROLL UP</v>
      </c>
      <c r="F5" s="121" t="str">
        <f>'BD Team'!G10</f>
        <v>2F - BED ROOM</v>
      </c>
      <c r="G5" s="118">
        <f>'BD Team'!H10</f>
        <v>1201</v>
      </c>
      <c r="H5" s="118">
        <f>'BD Team'!I10</f>
        <v>1006</v>
      </c>
      <c r="I5" s="118">
        <f>'BD Team'!J10</f>
        <v>1</v>
      </c>
      <c r="J5" s="103">
        <f t="shared" si="0"/>
        <v>13.005129384</v>
      </c>
      <c r="K5" s="172">
        <f>'BD Team'!K10</f>
        <v>399.91</v>
      </c>
      <c r="L5" s="171">
        <f t="shared" ref="L5:L53" si="1">K5*I5</f>
        <v>399.91</v>
      </c>
      <c r="M5" s="170">
        <f>L5*'Changable Values'!$D$4</f>
        <v>33192.53</v>
      </c>
      <c r="N5" s="170" t="str">
        <f>'BD Team'!E10</f>
        <v>6MM (F)</v>
      </c>
      <c r="O5" s="172">
        <v>2003</v>
      </c>
      <c r="P5" s="241"/>
      <c r="Q5" s="173"/>
      <c r="R5" s="185"/>
      <c r="S5" s="312"/>
      <c r="T5" s="313">
        <f t="shared" ref="T5:T68" si="2">(G5+H5)*I5*2/300</f>
        <v>14.713333333333333</v>
      </c>
      <c r="U5" s="313">
        <f t="shared" ref="U5:U68" si="3">SUM(G5:H5)*I5*2*4/1000</f>
        <v>17.655999999999999</v>
      </c>
      <c r="V5" s="313">
        <f t="shared" ref="V5:V68" si="4">SUM(G5:H5)*I5*5*5*4/(1000*240)</f>
        <v>0.91958333333333331</v>
      </c>
      <c r="W5" s="313">
        <f t="shared" ref="W5:W68" si="5">T5</f>
        <v>14.713333333333333</v>
      </c>
      <c r="X5" s="313">
        <f t="shared" ref="X5:X68" si="6">W5*2</f>
        <v>29.426666666666666</v>
      </c>
      <c r="Y5" s="313">
        <f t="shared" ref="Y5:Y68" si="7">SUM(G5:H5)*I5*4/1000</f>
        <v>8.8279999999999994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574.97</v>
      </c>
      <c r="L104" s="168">
        <f>SUM(L4:L103)</f>
        <v>1450.2700000000002</v>
      </c>
      <c r="M104" s="168">
        <f>SUM(M4:M103)</f>
        <v>120372.41</v>
      </c>
      <c r="T104" s="314">
        <f t="shared" ref="T104:Y104" si="16">SUM(T4:T103)</f>
        <v>99.153333333333336</v>
      </c>
      <c r="U104" s="314">
        <f t="shared" si="16"/>
        <v>118.98400000000001</v>
      </c>
      <c r="V104" s="314">
        <f t="shared" si="16"/>
        <v>6.1970833333333335</v>
      </c>
      <c r="W104" s="314">
        <f t="shared" si="16"/>
        <v>99.153333333333336</v>
      </c>
      <c r="X104" s="314">
        <f t="shared" si="16"/>
        <v>198.30666666666667</v>
      </c>
      <c r="Y104" s="314">
        <f t="shared" si="16"/>
        <v>59.492000000000004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2804.76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L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TOP HUNG WINDOW</v>
      </c>
      <c r="D8" s="131" t="str">
        <f>Pricing!B4</f>
        <v>GF-1</v>
      </c>
      <c r="E8" s="132" t="str">
        <f>Pricing!N4</f>
        <v>6MM (F)</v>
      </c>
      <c r="F8" s="68">
        <f>Pricing!G4</f>
        <v>886</v>
      </c>
      <c r="G8" s="68">
        <f>Pricing!H4</f>
        <v>1225</v>
      </c>
      <c r="H8" s="100">
        <f t="shared" ref="H8:H57" si="0">(F8*G8)/1000000</f>
        <v>1.08535</v>
      </c>
      <c r="I8" s="70">
        <f>Pricing!I4</f>
        <v>6</v>
      </c>
      <c r="J8" s="69">
        <f t="shared" ref="J8" si="1">H8*I8</f>
        <v>6.5121000000000002</v>
      </c>
      <c r="K8" s="71">
        <f t="shared" ref="K8" si="2">J8*10.764</f>
        <v>70.096244400000003</v>
      </c>
      <c r="L8" s="69"/>
      <c r="M8" s="72"/>
      <c r="N8" s="72"/>
      <c r="O8" s="72">
        <f t="shared" ref="O8:O35" si="3">N8*M8*L8/1000000</f>
        <v>0</v>
      </c>
      <c r="P8" s="73">
        <f>Pricing!M4</f>
        <v>87179.88</v>
      </c>
      <c r="Q8" s="74">
        <f t="shared" ref="Q8:Q56" si="4">P8*$Q$6</f>
        <v>8717.9880000000012</v>
      </c>
      <c r="R8" s="74">
        <f t="shared" ref="R8:R56" si="5">(P8+Q8)*$R$6</f>
        <v>10548.76548</v>
      </c>
      <c r="S8" s="74">
        <f t="shared" ref="S8:S56" si="6">(P8+Q8+R8)*$S$6</f>
        <v>532.23316740000007</v>
      </c>
      <c r="T8" s="74">
        <f t="shared" ref="T8:T56" si="7">(P8+Q8+R8+S8)*$T$6</f>
        <v>1069.7886664740001</v>
      </c>
      <c r="U8" s="72">
        <f t="shared" ref="U8:U56" si="8">SUM(P8:T8)</f>
        <v>108048.65531387401</v>
      </c>
      <c r="V8" s="74">
        <f t="shared" ref="V8:V56" si="9">U8*$V$6</f>
        <v>1620.7298297081102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13043.7363</v>
      </c>
      <c r="AE8" s="76">
        <f>((((F8+G8)*2)/305)*I8*$AE$7)</f>
        <v>2076.3934426229507</v>
      </c>
      <c r="AF8" s="346">
        <f>(((((F8*4)+(G8*4))/1000)*$AF$6*$AG$6)/300)*I8*$AF$7</f>
        <v>2127.8880000000004</v>
      </c>
      <c r="AG8" s="347"/>
      <c r="AH8" s="76">
        <f>(((F8+G8))*I8/1000)*8*$AH$7</f>
        <v>75.996000000000009</v>
      </c>
      <c r="AI8" s="76">
        <f t="shared" ref="AI8:AI57" si="15">(((F8+G8)*2*I8)/1000)*2*$AI$7</f>
        <v>253.32</v>
      </c>
      <c r="AJ8" s="76">
        <f>J8*Pricing!Q4</f>
        <v>0</v>
      </c>
      <c r="AK8" s="76">
        <f>J8*Pricing!R4</f>
        <v>66591.432180000003</v>
      </c>
      <c r="AL8" s="76">
        <f t="shared" ref="AL8:AL39" si="16">J8*$AL$6</f>
        <v>7009.6244399999996</v>
      </c>
      <c r="AM8" s="77">
        <f t="shared" ref="AM8:AM39" si="17">$AM$6*J8</f>
        <v>0</v>
      </c>
      <c r="AN8" s="76">
        <f t="shared" ref="AN8:AN39" si="18">$AN$6*J8</f>
        <v>5607.6995519999991</v>
      </c>
      <c r="AO8" s="72">
        <f t="shared" ref="AO8:AO39" si="19">SUM(U8:V8)+SUM(AC8:AI8)-AD8</f>
        <v>114202.98258620508</v>
      </c>
      <c r="AP8" s="74">
        <f t="shared" ref="AP8:AP39" si="20">AO8*$AP$6</f>
        <v>142753.72823275634</v>
      </c>
      <c r="AQ8" s="74">
        <f t="shared" ref="AQ8:AQ56" si="21">(AO8+AP8)*$AQ$6</f>
        <v>0</v>
      </c>
      <c r="AR8" s="74">
        <f t="shared" ref="AR8:AR39" si="22">SUM(AO8:AQ8)/J8</f>
        <v>39458.348431222097</v>
      </c>
      <c r="AS8" s="72">
        <f t="shared" ref="AS8:AS39" si="23">SUM(AJ8:AQ8)+AD8+AB8</f>
        <v>349209.20329096145</v>
      </c>
      <c r="AT8" s="72">
        <f t="shared" ref="AT8:AT39" si="24">AS8/J8</f>
        <v>53624.668431222097</v>
      </c>
      <c r="AU8" s="78">
        <f t="shared" ref="AU8:AU56" si="25">AT8/10.764</f>
        <v>4981.8532544799427</v>
      </c>
      <c r="AV8" s="79">
        <f t="shared" ref="AV8:AV39" si="26">K8/$K$109</f>
        <v>0.84350283525031267</v>
      </c>
      <c r="AW8" s="80">
        <f t="shared" ref="AW8:AW39" si="27">(U8+V8)/(J8*10.764)</f>
        <v>1564.5543649636973</v>
      </c>
      <c r="AX8" s="81">
        <f t="shared" ref="AX8:AX39" si="28">SUM(W8:AN8,AP8)/(J8*10.764)</f>
        <v>3417.2988895162453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TOP HUNG WINDOW WITH FIXED GLASS</v>
      </c>
      <c r="D9" s="131" t="str">
        <f>Pricing!B5</f>
        <v>V2</v>
      </c>
      <c r="E9" s="132" t="str">
        <f>Pricing!N5</f>
        <v>6MM (F)</v>
      </c>
      <c r="F9" s="68">
        <f>Pricing!G5</f>
        <v>1201</v>
      </c>
      <c r="G9" s="68">
        <f>Pricing!H5</f>
        <v>1006</v>
      </c>
      <c r="H9" s="100">
        <f t="shared" si="0"/>
        <v>1.2082059999999999</v>
      </c>
      <c r="I9" s="70">
        <f>Pricing!I5</f>
        <v>1</v>
      </c>
      <c r="J9" s="69">
        <f t="shared" ref="J9:J58" si="30">H9*I9</f>
        <v>1.2082059999999999</v>
      </c>
      <c r="K9" s="71">
        <f t="shared" ref="K9:K58" si="31">J9*10.764</f>
        <v>13.005129383999998</v>
      </c>
      <c r="L9" s="69"/>
      <c r="M9" s="72"/>
      <c r="N9" s="72"/>
      <c r="O9" s="72">
        <f t="shared" si="3"/>
        <v>0</v>
      </c>
      <c r="P9" s="73">
        <f>Pricing!M5</f>
        <v>33192.53</v>
      </c>
      <c r="Q9" s="74">
        <f t="shared" ref="Q9:Q14" si="32">P9*$Q$6</f>
        <v>3319.2530000000002</v>
      </c>
      <c r="R9" s="74">
        <f t="shared" ref="R9:R14" si="33">(P9+Q9)*$R$6</f>
        <v>4016.2961299999997</v>
      </c>
      <c r="S9" s="74">
        <f t="shared" ref="S9:S14" si="34">(P9+Q9+R9)*$S$6</f>
        <v>202.64039564999999</v>
      </c>
      <c r="T9" s="74">
        <f t="shared" ref="T9:T14" si="35">(P9+Q9+R9+S9)*$T$6</f>
        <v>407.30719525649999</v>
      </c>
      <c r="U9" s="72">
        <f t="shared" ref="U9:U14" si="36">SUM(P9:T9)</f>
        <v>41138.026720906499</v>
      </c>
      <c r="V9" s="74">
        <f t="shared" ref="V9:V14" si="37">U9*$V$6</f>
        <v>617.07040081359742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2420.0366179999996</v>
      </c>
      <c r="AE9" s="76">
        <f t="shared" ref="AE9:AE57" si="43">((((F9+G9)*2)/305)*I9*$AE$7)</f>
        <v>361.80327868852459</v>
      </c>
      <c r="AF9" s="346">
        <f t="shared" ref="AF9:AF57" si="44">(((((F9*4)+(G9*4))/1000)*$AF$6*$AG$6)/300)*I9*$AF$7</f>
        <v>370.77600000000001</v>
      </c>
      <c r="AG9" s="347"/>
      <c r="AH9" s="76">
        <f t="shared" ref="AH9:AH72" si="45">(((F9+G9))*I9/1000)*8*$AH$7</f>
        <v>13.241999999999999</v>
      </c>
      <c r="AI9" s="76">
        <f t="shared" si="15"/>
        <v>44.14</v>
      </c>
      <c r="AJ9" s="76">
        <f>J9*Pricing!Q5</f>
        <v>0</v>
      </c>
      <c r="AK9" s="76">
        <f>J9*Pricing!R5</f>
        <v>0</v>
      </c>
      <c r="AL9" s="76">
        <f t="shared" si="16"/>
        <v>1300.5129383999997</v>
      </c>
      <c r="AM9" s="77">
        <f t="shared" si="17"/>
        <v>0</v>
      </c>
      <c r="AN9" s="76">
        <f t="shared" si="18"/>
        <v>1040.4103507199998</v>
      </c>
      <c r="AO9" s="72">
        <f t="shared" si="19"/>
        <v>42545.058400408619</v>
      </c>
      <c r="AP9" s="74">
        <f t="shared" si="20"/>
        <v>53181.323000510776</v>
      </c>
      <c r="AQ9" s="74">
        <f t="shared" ref="AQ9:AQ14" si="46">(AO9+AP9)*$AQ$6</f>
        <v>0</v>
      </c>
      <c r="AR9" s="74">
        <f t="shared" si="22"/>
        <v>79230.18210546828</v>
      </c>
      <c r="AS9" s="72">
        <f t="shared" si="23"/>
        <v>100487.34130803939</v>
      </c>
      <c r="AT9" s="72">
        <f t="shared" si="24"/>
        <v>83170.70210546827</v>
      </c>
      <c r="AU9" s="78">
        <f t="shared" ref="AU9:AU14" si="47">AT9/10.764</f>
        <v>7726.7467582189029</v>
      </c>
      <c r="AV9" s="79">
        <f t="shared" si="26"/>
        <v>0.15649716474968736</v>
      </c>
      <c r="AW9" s="80">
        <f t="shared" si="27"/>
        <v>3210.6637226609</v>
      </c>
      <c r="AX9" s="81">
        <f t="shared" si="28"/>
        <v>4516.0830355580038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6">
        <f t="shared" si="44"/>
        <v>0</v>
      </c>
      <c r="AG10" s="34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2.2935559999999997</v>
      </c>
      <c r="I109" s="87">
        <f>SUM(I8:I108)</f>
        <v>7</v>
      </c>
      <c r="J109" s="88">
        <f>SUM(J8:J108)</f>
        <v>7.7203059999999999</v>
      </c>
      <c r="K109" s="89">
        <f>SUM(K8:K108)</f>
        <v>83.101373784000003</v>
      </c>
      <c r="L109" s="88">
        <f>SUM(L8:L8)</f>
        <v>0</v>
      </c>
      <c r="M109" s="88"/>
      <c r="N109" s="88"/>
      <c r="O109" s="88"/>
      <c r="P109" s="87">
        <f>SUM(P8:P108)</f>
        <v>120372.41</v>
      </c>
      <c r="Q109" s="88">
        <f t="shared" ref="Q109:AE109" si="156">SUM(Q8:Q108)</f>
        <v>12037.241000000002</v>
      </c>
      <c r="R109" s="88">
        <f t="shared" si="156"/>
        <v>14565.061610000001</v>
      </c>
      <c r="S109" s="88">
        <f t="shared" si="156"/>
        <v>734.87356305000003</v>
      </c>
      <c r="T109" s="88">
        <f t="shared" si="156"/>
        <v>1477.0958617305</v>
      </c>
      <c r="U109" s="88">
        <f t="shared" si="156"/>
        <v>149186.6820347805</v>
      </c>
      <c r="V109" s="88">
        <f t="shared" si="156"/>
        <v>2237.8002305217078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15463.772918000001</v>
      </c>
      <c r="AE109" s="88">
        <f t="shared" si="156"/>
        <v>2438.1967213114754</v>
      </c>
      <c r="AF109" s="407">
        <f>SUM(AF8:AG108)</f>
        <v>2498.6640000000002</v>
      </c>
      <c r="AG109" s="408"/>
      <c r="AH109" s="88">
        <f t="shared" ref="AH109:AQ109" si="157">SUM(AH8:AH108)</f>
        <v>89.238000000000014</v>
      </c>
      <c r="AI109" s="88">
        <f t="shared" si="157"/>
        <v>297.45999999999998</v>
      </c>
      <c r="AJ109" s="88">
        <f t="shared" ref="AJ109" si="158">SUM(AJ8:AJ108)</f>
        <v>0</v>
      </c>
      <c r="AK109" s="88">
        <f t="shared" si="157"/>
        <v>66591.432180000003</v>
      </c>
      <c r="AL109" s="88">
        <f t="shared" si="157"/>
        <v>8310.1373783999989</v>
      </c>
      <c r="AM109" s="88">
        <f t="shared" si="157"/>
        <v>0</v>
      </c>
      <c r="AN109" s="88">
        <f t="shared" si="157"/>
        <v>6648.1099027199989</v>
      </c>
      <c r="AO109" s="88">
        <f t="shared" si="157"/>
        <v>156748.04098661369</v>
      </c>
      <c r="AP109" s="88">
        <f t="shared" si="157"/>
        <v>195935.05123326712</v>
      </c>
      <c r="AQ109" s="88">
        <f t="shared" si="157"/>
        <v>0</v>
      </c>
      <c r="AR109" s="88"/>
      <c r="AS109" s="87">
        <f>SUM(AS8:AS108)</f>
        <v>449696.54459900083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2498.6640000000002</v>
      </c>
      <c r="AW110" s="84"/>
    </row>
    <row r="111" spans="2:54">
      <c r="AF111" s="174"/>
      <c r="AG111" s="174"/>
      <c r="AH111" s="174">
        <f>SUM(AE109:AI109,AC109)</f>
        <v>5323.5587213114759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1.85546875" style="122" customWidth="1"/>
    <col min="9" max="9" width="13.7109375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ABPL-DE-19.20-2162</v>
      </c>
      <c r="N6" s="448"/>
    </row>
    <row r="7" spans="2:15" ht="24.95" customHeight="1">
      <c r="B7" s="428" t="s">
        <v>126</v>
      </c>
      <c r="C7" s="429"/>
      <c r="D7" s="429"/>
      <c r="E7" s="429"/>
      <c r="F7" s="460" t="str">
        <f>'BD Team'!E2</f>
        <v>Mr. Venugopal Reddy</v>
      </c>
      <c r="G7" s="460"/>
      <c r="H7" s="460"/>
      <c r="I7" s="460"/>
      <c r="J7" s="461"/>
      <c r="K7" s="437" t="s">
        <v>104</v>
      </c>
      <c r="L7" s="429"/>
      <c r="M7" s="434">
        <f>'BD Team'!J3</f>
        <v>43696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Hyderabad</v>
      </c>
      <c r="G8" s="462" t="s">
        <v>179</v>
      </c>
      <c r="H8" s="463"/>
      <c r="I8" s="460" t="str">
        <f>'BD Team'!G3</f>
        <v>1.5Kpa</v>
      </c>
      <c r="J8" s="461"/>
      <c r="K8" s="437" t="s">
        <v>105</v>
      </c>
      <c r="L8" s="429"/>
      <c r="M8" s="178" t="s">
        <v>364</v>
      </c>
      <c r="N8" s="179">
        <v>43696</v>
      </c>
    </row>
    <row r="9" spans="2:15" ht="24.95" customHeight="1">
      <c r="B9" s="428" t="s">
        <v>168</v>
      </c>
      <c r="C9" s="429"/>
      <c r="D9" s="429"/>
      <c r="E9" s="429"/>
      <c r="F9" s="460" t="str">
        <f>'BD Team'!E4</f>
        <v>Mr. Srinivas : 9949077279</v>
      </c>
      <c r="G9" s="460"/>
      <c r="H9" s="460"/>
      <c r="I9" s="460"/>
      <c r="J9" s="461"/>
      <c r="K9" s="437" t="s">
        <v>178</v>
      </c>
      <c r="L9" s="429"/>
      <c r="M9" s="449" t="str">
        <f>'BD Team'!J4</f>
        <v>Ranjan</v>
      </c>
      <c r="N9" s="450"/>
    </row>
    <row r="10" spans="2:15" ht="27.75" customHeight="1" thickBot="1">
      <c r="B10" s="430" t="s">
        <v>176</v>
      </c>
      <c r="C10" s="431"/>
      <c r="D10" s="431"/>
      <c r="E10" s="431"/>
      <c r="F10" s="217" t="str">
        <f>'BD Team'!E5</f>
        <v>White Powder Coating</v>
      </c>
      <c r="G10" s="442" t="s">
        <v>177</v>
      </c>
      <c r="H10" s="443"/>
      <c r="I10" s="440" t="str">
        <f>'BD Team'!G5</f>
        <v>White</v>
      </c>
      <c r="J10" s="441"/>
      <c r="K10" s="438" t="s">
        <v>373</v>
      </c>
      <c r="L10" s="439"/>
      <c r="M10" s="432">
        <f>'BD Team'!J5</f>
        <v>0</v>
      </c>
      <c r="N10" s="433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169</v>
      </c>
      <c r="C13" s="465"/>
      <c r="D13" s="436" t="s">
        <v>170</v>
      </c>
      <c r="E13" s="436" t="s">
        <v>171</v>
      </c>
      <c r="F13" s="436" t="s">
        <v>37</v>
      </c>
      <c r="G13" s="418" t="s">
        <v>63</v>
      </c>
      <c r="H13" s="418" t="s">
        <v>209</v>
      </c>
      <c r="I13" s="418" t="s">
        <v>208</v>
      </c>
      <c r="J13" s="466" t="s">
        <v>172</v>
      </c>
      <c r="K13" s="466" t="s">
        <v>173</v>
      </c>
      <c r="L13" s="465" t="s">
        <v>210</v>
      </c>
      <c r="M13" s="466" t="s">
        <v>174</v>
      </c>
      <c r="N13" s="467" t="s">
        <v>175</v>
      </c>
    </row>
    <row r="14" spans="2:15" s="94" customFormat="1" ht="18" customHeight="1" thickTop="1" thickBot="1">
      <c r="B14" s="464"/>
      <c r="C14" s="465"/>
      <c r="D14" s="436"/>
      <c r="E14" s="436"/>
      <c r="F14" s="436"/>
      <c r="G14" s="418"/>
      <c r="H14" s="418"/>
      <c r="I14" s="418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6"/>
      <c r="E15" s="436"/>
      <c r="F15" s="436"/>
      <c r="G15" s="418"/>
      <c r="H15" s="418"/>
      <c r="I15" s="418"/>
      <c r="J15" s="466"/>
      <c r="K15" s="466"/>
      <c r="L15" s="465"/>
      <c r="M15" s="466"/>
      <c r="N15" s="467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GF-1</v>
      </c>
      <c r="E16" s="187" t="str">
        <f>Pricing!C4</f>
        <v>M15000</v>
      </c>
      <c r="F16" s="187" t="str">
        <f>Pricing!D4</f>
        <v>TOP HUNG WINDOW</v>
      </c>
      <c r="G16" s="187" t="str">
        <f>Pricing!N4</f>
        <v>6MM (F)</v>
      </c>
      <c r="H16" s="187" t="str">
        <f>Pricing!F4</f>
        <v>GBR</v>
      </c>
      <c r="I16" s="216" t="str">
        <f>Pricing!E4</f>
        <v>ROLL UP</v>
      </c>
      <c r="J16" s="216">
        <f>Pricing!G4</f>
        <v>886</v>
      </c>
      <c r="K16" s="216">
        <f>Pricing!H4</f>
        <v>1225</v>
      </c>
      <c r="L16" s="216">
        <f>Pricing!I4</f>
        <v>6</v>
      </c>
      <c r="M16" s="188">
        <f t="shared" ref="M16:M24" si="0">J16*K16*L16/1000000</f>
        <v>6.5121000000000002</v>
      </c>
      <c r="N16" s="189">
        <f>'Cost Calculation'!AS8</f>
        <v>349209.20329096145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V2</v>
      </c>
      <c r="E17" s="187" t="str">
        <f>Pricing!C5</f>
        <v>M15000</v>
      </c>
      <c r="F17" s="187" t="str">
        <f>Pricing!D5</f>
        <v>TOP HUNG WINDOW WITH FIXED GLASS</v>
      </c>
      <c r="G17" s="187" t="str">
        <f>Pricing!N5</f>
        <v>6MM (F)</v>
      </c>
      <c r="H17" s="187" t="str">
        <f>Pricing!F5</f>
        <v>2F - BED ROOM</v>
      </c>
      <c r="I17" s="216" t="str">
        <f>Pricing!E5</f>
        <v>ROLL UP</v>
      </c>
      <c r="J17" s="216">
        <f>Pricing!G5</f>
        <v>1201</v>
      </c>
      <c r="K17" s="216">
        <f>Pricing!H5</f>
        <v>1006</v>
      </c>
      <c r="L17" s="216">
        <f>Pricing!I5</f>
        <v>1</v>
      </c>
      <c r="M17" s="188">
        <f t="shared" si="0"/>
        <v>1.2082059999999999</v>
      </c>
      <c r="N17" s="189">
        <f>'Cost Calculation'!AS9</f>
        <v>100487.34130803939</v>
      </c>
      <c r="O17" s="95"/>
    </row>
    <row r="18" spans="2:15" s="94" customFormat="1" ht="49.9" hidden="1" customHeight="1" thickTop="1" thickBot="1">
      <c r="B18" s="416">
        <f>Pricing!A6</f>
        <v>3</v>
      </c>
      <c r="C18" s="417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6">
        <f>Pricing!A7</f>
        <v>4</v>
      </c>
      <c r="C19" s="417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6">
        <f>Pricing!A8</f>
        <v>5</v>
      </c>
      <c r="C20" s="417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6">
        <f>Pricing!A9</f>
        <v>6</v>
      </c>
      <c r="C21" s="417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6">
        <f>Pricing!A10</f>
        <v>7</v>
      </c>
      <c r="C22" s="417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6">
        <f>Pricing!A11</f>
        <v>8</v>
      </c>
      <c r="C23" s="417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6">
        <f>Pricing!A12</f>
        <v>9</v>
      </c>
      <c r="C24" s="417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6">
        <f>Pricing!A13</f>
        <v>10</v>
      </c>
      <c r="C25" s="417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6">
        <f>Pricing!A14</f>
        <v>11</v>
      </c>
      <c r="C26" s="417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6">
        <f>Pricing!A15</f>
        <v>12</v>
      </c>
      <c r="C27" s="417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6">
        <f>Pricing!A16</f>
        <v>13</v>
      </c>
      <c r="C28" s="417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6">
        <f>Pricing!A17</f>
        <v>14</v>
      </c>
      <c r="C29" s="417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6">
        <f>Pricing!A18</f>
        <v>15</v>
      </c>
      <c r="C30" s="417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6">
        <f>Pricing!A19</f>
        <v>16</v>
      </c>
      <c r="C31" s="417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6">
        <f>Pricing!A20</f>
        <v>17</v>
      </c>
      <c r="C32" s="417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6">
        <f>Pricing!A21</f>
        <v>18</v>
      </c>
      <c r="C33" s="417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6">
        <f>Pricing!A22</f>
        <v>19</v>
      </c>
      <c r="C34" s="417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6">
        <f>Pricing!A23</f>
        <v>20</v>
      </c>
      <c r="C35" s="417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6">
        <f>Pricing!A24</f>
        <v>21</v>
      </c>
      <c r="C36" s="417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6">
        <f>Pricing!A25</f>
        <v>22</v>
      </c>
      <c r="C37" s="417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6">
        <f>Pricing!A26</f>
        <v>23</v>
      </c>
      <c r="C38" s="417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6">
        <f>Pricing!A27</f>
        <v>24</v>
      </c>
      <c r="C39" s="417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6">
        <f>Pricing!A28</f>
        <v>25</v>
      </c>
      <c r="C40" s="417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6">
        <f>Pricing!A29</f>
        <v>26</v>
      </c>
      <c r="C41" s="417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9"/>
      <c r="C116" s="420"/>
      <c r="D116" s="420"/>
      <c r="E116" s="420"/>
      <c r="F116" s="420"/>
      <c r="G116" s="420"/>
      <c r="H116" s="420"/>
      <c r="I116" s="420"/>
      <c r="J116" s="420"/>
      <c r="K116" s="421"/>
      <c r="L116" s="190">
        <f>SUM(L16:L115)</f>
        <v>7</v>
      </c>
      <c r="M116" s="191">
        <f>SUM(M16:M115)</f>
        <v>7.7203059999999999</v>
      </c>
      <c r="N116" s="186"/>
      <c r="O116" s="95"/>
    </row>
    <row r="117" spans="2:15" s="94" customFormat="1" ht="30" customHeight="1" thickTop="1" thickBot="1">
      <c r="B117" s="422" t="s">
        <v>180</v>
      </c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192">
        <f>ROUND(SUM(N16:N115),0.1)</f>
        <v>449697</v>
      </c>
      <c r="O117" s="95">
        <f>N117/SUM(M116)</f>
        <v>58248.597918269043</v>
      </c>
    </row>
    <row r="118" spans="2:15" s="94" customFormat="1" ht="30" customHeight="1" thickTop="1" thickBot="1">
      <c r="B118" s="422" t="s">
        <v>111</v>
      </c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4"/>
      <c r="N118" s="192">
        <f>ROUND(N117*18%,0.1)</f>
        <v>80945</v>
      </c>
      <c r="O118" s="95">
        <f>N118/SUM(M116)</f>
        <v>10484.688042157915</v>
      </c>
    </row>
    <row r="119" spans="2:15" s="94" customFormat="1" ht="30" customHeight="1" thickTop="1" thickBot="1">
      <c r="B119" s="422" t="s">
        <v>181</v>
      </c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192">
        <f>ROUND(SUM(N117:N118),0.1)</f>
        <v>530642</v>
      </c>
      <c r="O119" s="95">
        <f>N119/SUM(M116)</f>
        <v>68733.285960426962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5411.4267854207583</v>
      </c>
    </row>
    <row r="121" spans="2:15" s="139" customFormat="1" ht="30" customHeight="1" thickTop="1">
      <c r="B121" s="453" t="s">
        <v>236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5" t="s">
        <v>206</v>
      </c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7"/>
      <c r="O124" s="138"/>
    </row>
    <row r="125" spans="2:15" s="93" customFormat="1" ht="24.95" customHeight="1">
      <c r="B125" s="410">
        <v>1</v>
      </c>
      <c r="C125" s="411"/>
      <c r="D125" s="412" t="s">
        <v>436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5" t="s">
        <v>140</v>
      </c>
      <c r="C126" s="426"/>
      <c r="D126" s="426"/>
      <c r="E126" s="426"/>
      <c r="F126" s="426"/>
      <c r="G126" s="426"/>
      <c r="H126" s="426"/>
      <c r="I126" s="426"/>
      <c r="J126" s="426"/>
      <c r="K126" s="426"/>
      <c r="L126" s="426"/>
      <c r="M126" s="426"/>
      <c r="N126" s="427"/>
      <c r="O126" s="138"/>
    </row>
    <row r="127" spans="2:15" s="93" customFormat="1" ht="24.95" customHeight="1">
      <c r="B127" s="410">
        <v>1</v>
      </c>
      <c r="C127" s="411"/>
      <c r="D127" s="412" t="s">
        <v>363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388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3</v>
      </c>
      <c r="C129" s="411"/>
      <c r="D129" s="414" t="s">
        <v>404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0">
        <v>4</v>
      </c>
      <c r="C130" s="411"/>
      <c r="D130" s="414" t="s">
        <v>405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139" customFormat="1" ht="30" customHeight="1">
      <c r="B131" s="496" t="s">
        <v>141</v>
      </c>
      <c r="C131" s="497"/>
      <c r="D131" s="497"/>
      <c r="E131" s="497"/>
      <c r="F131" s="497"/>
      <c r="G131" s="497"/>
      <c r="H131" s="497"/>
      <c r="I131" s="497"/>
      <c r="J131" s="497"/>
      <c r="K131" s="497"/>
      <c r="L131" s="497"/>
      <c r="M131" s="497"/>
      <c r="N131" s="498"/>
    </row>
    <row r="132" spans="2:14" s="93" customFormat="1" ht="24.95" customHeight="1">
      <c r="B132" s="410">
        <v>1</v>
      </c>
      <c r="C132" s="411"/>
      <c r="D132" s="412" t="s">
        <v>142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0">
        <v>2</v>
      </c>
      <c r="C133" s="411"/>
      <c r="D133" s="412" t="s">
        <v>143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93" customFormat="1" ht="24.95" customHeight="1">
      <c r="B134" s="410">
        <v>3</v>
      </c>
      <c r="C134" s="411"/>
      <c r="D134" s="412" t="s">
        <v>144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139" customFormat="1" ht="30" customHeight="1">
      <c r="B135" s="496" t="s">
        <v>145</v>
      </c>
      <c r="C135" s="497"/>
      <c r="D135" s="497"/>
      <c r="E135" s="497"/>
      <c r="F135" s="497"/>
      <c r="G135" s="497"/>
      <c r="H135" s="497"/>
      <c r="I135" s="497"/>
      <c r="J135" s="497"/>
      <c r="K135" s="497"/>
      <c r="L135" s="497"/>
      <c r="M135" s="497"/>
      <c r="N135" s="498"/>
    </row>
    <row r="136" spans="2:14" s="139" customFormat="1" ht="30" customHeight="1">
      <c r="B136" s="511" t="s">
        <v>146</v>
      </c>
      <c r="C136" s="512"/>
      <c r="D136" s="512"/>
      <c r="E136" s="512"/>
      <c r="F136" s="512"/>
      <c r="G136" s="512"/>
      <c r="H136" s="512"/>
      <c r="I136" s="512"/>
      <c r="J136" s="512"/>
      <c r="K136" s="512"/>
      <c r="L136" s="512"/>
      <c r="M136" s="512"/>
      <c r="N136" s="513"/>
    </row>
    <row r="137" spans="2:14" s="93" customFormat="1" ht="24.95" customHeight="1">
      <c r="B137" s="410">
        <v>1</v>
      </c>
      <c r="C137" s="411"/>
      <c r="D137" s="412" t="s">
        <v>147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2</v>
      </c>
      <c r="C138" s="411"/>
      <c r="D138" s="412" t="s">
        <v>401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3</v>
      </c>
      <c r="C139" s="411"/>
      <c r="D139" s="412" t="s">
        <v>148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4</v>
      </c>
      <c r="C140" s="411"/>
      <c r="D140" s="412" t="s">
        <v>149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5</v>
      </c>
      <c r="C141" s="411"/>
      <c r="D141" s="412" t="s">
        <v>150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6</v>
      </c>
      <c r="C142" s="411"/>
      <c r="D142" s="412" t="s">
        <v>151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140" customFormat="1" ht="30" customHeight="1">
      <c r="B143" s="496" t="s">
        <v>152</v>
      </c>
      <c r="C143" s="497"/>
      <c r="D143" s="497"/>
      <c r="E143" s="497"/>
      <c r="F143" s="497"/>
      <c r="G143" s="497"/>
      <c r="H143" s="497"/>
      <c r="I143" s="497"/>
      <c r="J143" s="497"/>
      <c r="K143" s="497"/>
      <c r="L143" s="497"/>
      <c r="M143" s="497"/>
      <c r="N143" s="498"/>
    </row>
    <row r="144" spans="2:14" s="93" customFormat="1" ht="24.95" customHeight="1">
      <c r="B144" s="410">
        <v>1</v>
      </c>
      <c r="C144" s="411"/>
      <c r="D144" s="412" t="s">
        <v>153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135" customHeight="1">
      <c r="B145" s="410">
        <v>2</v>
      </c>
      <c r="C145" s="411"/>
      <c r="D145" s="499" t="s">
        <v>422</v>
      </c>
      <c r="E145" s="500"/>
      <c r="F145" s="500"/>
      <c r="G145" s="500"/>
      <c r="H145" s="500"/>
      <c r="I145" s="500"/>
      <c r="J145" s="500"/>
      <c r="K145" s="500"/>
      <c r="L145" s="500"/>
      <c r="M145" s="500"/>
      <c r="N145" s="501"/>
    </row>
    <row r="146" spans="2:14" s="93" customFormat="1" ht="24.95" customHeight="1">
      <c r="B146" s="410">
        <v>3</v>
      </c>
      <c r="C146" s="411"/>
      <c r="D146" s="412" t="s">
        <v>154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24.95" customHeight="1">
      <c r="B147" s="410">
        <v>4</v>
      </c>
      <c r="C147" s="411"/>
      <c r="D147" s="412" t="s">
        <v>155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140" customFormat="1" ht="30" customHeight="1">
      <c r="B148" s="496" t="s">
        <v>156</v>
      </c>
      <c r="C148" s="497"/>
      <c r="D148" s="497"/>
      <c r="E148" s="497"/>
      <c r="F148" s="497"/>
      <c r="G148" s="497"/>
      <c r="H148" s="497"/>
      <c r="I148" s="497"/>
      <c r="J148" s="497"/>
      <c r="K148" s="497"/>
      <c r="L148" s="497"/>
      <c r="M148" s="497"/>
      <c r="N148" s="498"/>
    </row>
    <row r="149" spans="2:14" s="93" customFormat="1" ht="24.95" customHeight="1">
      <c r="B149" s="410">
        <v>1</v>
      </c>
      <c r="C149" s="411"/>
      <c r="D149" s="412" t="s">
        <v>157</v>
      </c>
      <c r="E149" s="412"/>
      <c r="F149" s="412"/>
      <c r="G149" s="412"/>
      <c r="H149" s="412"/>
      <c r="I149" s="412"/>
      <c r="J149" s="412"/>
      <c r="K149" s="412"/>
      <c r="L149" s="412"/>
      <c r="M149" s="412"/>
      <c r="N149" s="413"/>
    </row>
    <row r="150" spans="2:14" s="93" customFormat="1" ht="55.9" customHeight="1">
      <c r="B150" s="410">
        <v>2</v>
      </c>
      <c r="C150" s="411"/>
      <c r="D150" s="499" t="s">
        <v>158</v>
      </c>
      <c r="E150" s="500"/>
      <c r="F150" s="500"/>
      <c r="G150" s="500"/>
      <c r="H150" s="500"/>
      <c r="I150" s="500"/>
      <c r="J150" s="500"/>
      <c r="K150" s="500"/>
      <c r="L150" s="500"/>
      <c r="M150" s="500"/>
      <c r="N150" s="501"/>
    </row>
    <row r="151" spans="2:14" s="140" customFormat="1" ht="30" customHeight="1">
      <c r="B151" s="496" t="s">
        <v>159</v>
      </c>
      <c r="C151" s="497"/>
      <c r="D151" s="497"/>
      <c r="E151" s="497"/>
      <c r="F151" s="497"/>
      <c r="G151" s="497"/>
      <c r="H151" s="497"/>
      <c r="I151" s="497"/>
      <c r="J151" s="497"/>
      <c r="K151" s="497"/>
      <c r="L151" s="497"/>
      <c r="M151" s="497"/>
      <c r="N151" s="498"/>
    </row>
    <row r="152" spans="2:14" s="93" customFormat="1" ht="24.95" customHeight="1">
      <c r="B152" s="410">
        <v>1</v>
      </c>
      <c r="C152" s="411"/>
      <c r="D152" s="474" t="s">
        <v>160</v>
      </c>
      <c r="E152" s="474"/>
      <c r="F152" s="474"/>
      <c r="G152" s="474"/>
      <c r="H152" s="474"/>
      <c r="I152" s="474"/>
      <c r="J152" s="474"/>
      <c r="K152" s="474"/>
      <c r="L152" s="474"/>
      <c r="M152" s="474"/>
      <c r="N152" s="475"/>
    </row>
    <row r="153" spans="2:14" s="93" customFormat="1" ht="24.95" customHeight="1">
      <c r="B153" s="410">
        <v>2</v>
      </c>
      <c r="C153" s="411"/>
      <c r="D153" s="474" t="s">
        <v>161</v>
      </c>
      <c r="E153" s="474"/>
      <c r="F153" s="474"/>
      <c r="G153" s="474"/>
      <c r="H153" s="474"/>
      <c r="I153" s="474"/>
      <c r="J153" s="474"/>
      <c r="K153" s="474"/>
      <c r="L153" s="474"/>
      <c r="M153" s="474"/>
      <c r="N153" s="475"/>
    </row>
    <row r="154" spans="2:14" s="93" customFormat="1" ht="49.9" customHeight="1">
      <c r="B154" s="410">
        <v>3</v>
      </c>
      <c r="C154" s="411"/>
      <c r="D154" s="493" t="s">
        <v>162</v>
      </c>
      <c r="E154" s="494"/>
      <c r="F154" s="494"/>
      <c r="G154" s="494"/>
      <c r="H154" s="494"/>
      <c r="I154" s="494"/>
      <c r="J154" s="494"/>
      <c r="K154" s="494"/>
      <c r="L154" s="494"/>
      <c r="M154" s="494"/>
      <c r="N154" s="495"/>
    </row>
    <row r="155" spans="2:14" s="93" customFormat="1" ht="24.95" customHeight="1">
      <c r="B155" s="410">
        <v>4</v>
      </c>
      <c r="C155" s="411"/>
      <c r="D155" s="474" t="s">
        <v>163</v>
      </c>
      <c r="E155" s="474"/>
      <c r="F155" s="474"/>
      <c r="G155" s="474"/>
      <c r="H155" s="474"/>
      <c r="I155" s="474"/>
      <c r="J155" s="474"/>
      <c r="K155" s="474"/>
      <c r="L155" s="474"/>
      <c r="M155" s="474"/>
      <c r="N155" s="475"/>
    </row>
    <row r="156" spans="2:14" s="140" customFormat="1" ht="30" customHeight="1">
      <c r="B156" s="496" t="s">
        <v>164</v>
      </c>
      <c r="C156" s="497"/>
      <c r="D156" s="497"/>
      <c r="E156" s="497"/>
      <c r="F156" s="497"/>
      <c r="G156" s="497"/>
      <c r="H156" s="497"/>
      <c r="I156" s="497"/>
      <c r="J156" s="497"/>
      <c r="K156" s="497"/>
      <c r="L156" s="497"/>
      <c r="M156" s="497"/>
      <c r="N156" s="498"/>
    </row>
    <row r="157" spans="2:14" s="93" customFormat="1" ht="24.95" customHeight="1">
      <c r="B157" s="410">
        <v>1</v>
      </c>
      <c r="C157" s="411"/>
      <c r="D157" s="474" t="s">
        <v>165</v>
      </c>
      <c r="E157" s="474"/>
      <c r="F157" s="474"/>
      <c r="G157" s="474"/>
      <c r="H157" s="474"/>
      <c r="I157" s="474"/>
      <c r="J157" s="474"/>
      <c r="K157" s="474"/>
      <c r="L157" s="474"/>
      <c r="M157" s="474"/>
      <c r="N157" s="475"/>
    </row>
    <row r="158" spans="2:14" s="93" customFormat="1" ht="24.95" customHeight="1">
      <c r="B158" s="410">
        <v>2</v>
      </c>
      <c r="C158" s="411"/>
      <c r="D158" s="474" t="s">
        <v>166</v>
      </c>
      <c r="E158" s="474"/>
      <c r="F158" s="474"/>
      <c r="G158" s="474"/>
      <c r="H158" s="474"/>
      <c r="I158" s="474"/>
      <c r="J158" s="474"/>
      <c r="K158" s="474"/>
      <c r="L158" s="474"/>
      <c r="M158" s="474"/>
      <c r="N158" s="475"/>
    </row>
    <row r="159" spans="2:14" s="93" customFormat="1" ht="24.95" customHeight="1">
      <c r="B159" s="410">
        <v>3</v>
      </c>
      <c r="C159" s="411"/>
      <c r="D159" s="474" t="s">
        <v>167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0">
        <v>4</v>
      </c>
      <c r="C160" s="411"/>
      <c r="D160" s="474" t="s">
        <v>400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56" t="s">
        <v>239</v>
      </c>
      <c r="C161" s="491"/>
      <c r="D161" s="491"/>
      <c r="E161" s="491"/>
      <c r="F161" s="491"/>
      <c r="G161" s="491"/>
      <c r="H161" s="491"/>
      <c r="I161" s="491"/>
      <c r="J161" s="491"/>
      <c r="K161" s="491"/>
      <c r="L161" s="491"/>
      <c r="M161" s="491"/>
      <c r="N161" s="492"/>
    </row>
    <row r="162" spans="2:14" s="93" customFormat="1" ht="24.95" customHeight="1">
      <c r="B162" s="456" t="s">
        <v>240</v>
      </c>
      <c r="C162" s="491"/>
      <c r="D162" s="491"/>
      <c r="E162" s="491"/>
      <c r="F162" s="491"/>
      <c r="G162" s="491"/>
      <c r="H162" s="491"/>
      <c r="I162" s="491"/>
      <c r="J162" s="491"/>
      <c r="K162" s="491"/>
      <c r="L162" s="491"/>
      <c r="M162" s="491"/>
      <c r="N162" s="492"/>
    </row>
    <row r="163" spans="2:14" s="93" customFormat="1" ht="41.25" customHeight="1">
      <c r="B163" s="482"/>
      <c r="C163" s="483"/>
      <c r="D163" s="483"/>
      <c r="E163" s="483"/>
      <c r="F163" s="483"/>
      <c r="G163" s="483"/>
      <c r="H163" s="483"/>
      <c r="I163" s="483"/>
      <c r="J163" s="483"/>
      <c r="K163" s="483"/>
      <c r="L163" s="483"/>
      <c r="M163" s="483"/>
      <c r="N163" s="484"/>
    </row>
    <row r="164" spans="2:14" s="93" customFormat="1" ht="39.950000000000003" customHeight="1">
      <c r="B164" s="485"/>
      <c r="C164" s="486"/>
      <c r="D164" s="486"/>
      <c r="E164" s="486"/>
      <c r="F164" s="486"/>
      <c r="G164" s="486"/>
      <c r="H164" s="486"/>
      <c r="I164" s="486"/>
      <c r="J164" s="486"/>
      <c r="K164" s="486"/>
      <c r="L164" s="486"/>
      <c r="M164" s="486"/>
      <c r="N164" s="487"/>
    </row>
    <row r="165" spans="2:14" s="93" customFormat="1" ht="41.25" customHeight="1">
      <c r="B165" s="485"/>
      <c r="C165" s="486"/>
      <c r="D165" s="486"/>
      <c r="E165" s="486"/>
      <c r="F165" s="486"/>
      <c r="G165" s="486"/>
      <c r="H165" s="486"/>
      <c r="I165" s="486"/>
      <c r="J165" s="486"/>
      <c r="K165" s="486"/>
      <c r="L165" s="486"/>
      <c r="M165" s="486"/>
      <c r="N165" s="487"/>
    </row>
    <row r="166" spans="2:14" s="93" customFormat="1" ht="39.950000000000003" customHeight="1" thickBot="1">
      <c r="B166" s="488"/>
      <c r="C166" s="489"/>
      <c r="D166" s="489"/>
      <c r="E166" s="489"/>
      <c r="F166" s="489"/>
      <c r="G166" s="489"/>
      <c r="H166" s="489"/>
      <c r="I166" s="489"/>
      <c r="J166" s="489"/>
      <c r="K166" s="489"/>
      <c r="L166" s="489"/>
      <c r="M166" s="489"/>
      <c r="N166" s="490"/>
    </row>
    <row r="167" spans="2:14" s="93" customFormat="1" ht="30" customHeight="1" thickTop="1">
      <c r="B167" s="470" t="s">
        <v>110</v>
      </c>
      <c r="C167" s="471"/>
      <c r="D167" s="471"/>
      <c r="E167" s="476"/>
      <c r="F167" s="477"/>
      <c r="G167" s="477"/>
      <c r="H167" s="477"/>
      <c r="I167" s="477"/>
      <c r="J167" s="477"/>
      <c r="K167" s="477"/>
      <c r="L167" s="478"/>
      <c r="M167" s="471" t="s">
        <v>204</v>
      </c>
      <c r="N167" s="472"/>
    </row>
    <row r="168" spans="2:14" s="93" customFormat="1" ht="33" customHeight="1" thickBot="1">
      <c r="B168" s="473" t="s">
        <v>107</v>
      </c>
      <c r="C168" s="468"/>
      <c r="D168" s="468"/>
      <c r="E168" s="479"/>
      <c r="F168" s="480"/>
      <c r="G168" s="480"/>
      <c r="H168" s="480"/>
      <c r="I168" s="480"/>
      <c r="J168" s="480"/>
      <c r="K168" s="480"/>
      <c r="L168" s="481"/>
      <c r="M168" s="468" t="s">
        <v>108</v>
      </c>
      <c r="N168" s="469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N131"/>
    <mergeCell ref="B126:N126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7:C127"/>
    <mergeCell ref="D127:N127"/>
    <mergeCell ref="B130:C130"/>
    <mergeCell ref="D130:N130"/>
    <mergeCell ref="B134:C134"/>
    <mergeCell ref="D134:N134"/>
    <mergeCell ref="B132:C132"/>
    <mergeCell ref="D132:N132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P21" sqref="P21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43696</v>
      </c>
      <c r="F2" s="518" t="s">
        <v>244</v>
      </c>
      <c r="G2" s="518"/>
    </row>
    <row r="3" spans="3:13">
      <c r="C3" s="297" t="s">
        <v>126</v>
      </c>
      <c r="D3" s="519" t="str">
        <f>QUOTATION!F7</f>
        <v>Mr. Venugopal Reddy</v>
      </c>
      <c r="E3" s="519"/>
      <c r="F3" s="522" t="s">
        <v>245</v>
      </c>
      <c r="G3" s="523">
        <f>QUOTATION!N8</f>
        <v>43696</v>
      </c>
    </row>
    <row r="4" spans="3:13">
      <c r="C4" s="297" t="s">
        <v>242</v>
      </c>
      <c r="D4" s="520" t="str">
        <f>QUOTATION!M6</f>
        <v>ABPL-DE-19.20-2162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168</v>
      </c>
      <c r="D6" s="519" t="str">
        <f>QUOTATION!F9</f>
        <v>Mr. Srinivas : 9949077279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White Powder Coating</v>
      </c>
      <c r="E8" s="519"/>
      <c r="F8" s="522"/>
      <c r="G8" s="524"/>
    </row>
    <row r="9" spans="3:13">
      <c r="C9" s="297" t="s">
        <v>177</v>
      </c>
      <c r="D9" s="519" t="str">
        <f>QUOTATION!I10</f>
        <v>White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 t="str">
        <f>QUOTATION!M9</f>
        <v>Ranjan</v>
      </c>
      <c r="E11" s="519"/>
      <c r="F11" s="522"/>
      <c r="G11" s="524"/>
    </row>
    <row r="12" spans="3:13">
      <c r="C12" s="297" t="s">
        <v>243</v>
      </c>
      <c r="D12" s="521">
        <f>QUOTATION!M7</f>
        <v>43696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1450.2700000000002</v>
      </c>
      <c r="F14" s="205"/>
      <c r="G14" s="206">
        <f>E14</f>
        <v>1450.2700000000002</v>
      </c>
    </row>
    <row r="15" spans="3:13">
      <c r="C15" s="194" t="s">
        <v>234</v>
      </c>
      <c r="D15" s="296">
        <f>'Changable Values'!D4</f>
        <v>83</v>
      </c>
      <c r="E15" s="199">
        <f>E14*D15</f>
        <v>120372.41000000002</v>
      </c>
      <c r="F15" s="205"/>
      <c r="G15" s="207">
        <f>E15</f>
        <v>120372.41000000002</v>
      </c>
    </row>
    <row r="16" spans="3:13">
      <c r="C16" s="195" t="s">
        <v>97</v>
      </c>
      <c r="D16" s="200">
        <f>'Changable Values'!D5</f>
        <v>0.1</v>
      </c>
      <c r="E16" s="199">
        <f>E15*D16</f>
        <v>12037.241000000002</v>
      </c>
      <c r="F16" s="208">
        <f>'Changable Values'!D5</f>
        <v>0.1</v>
      </c>
      <c r="G16" s="207">
        <f>G15*F16</f>
        <v>12037.241000000002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14565.061610000001</v>
      </c>
      <c r="F17" s="208">
        <f>'Changable Values'!D6</f>
        <v>0.11</v>
      </c>
      <c r="G17" s="207">
        <f>SUM(G15:G16)*F17</f>
        <v>14565.061610000001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734.87356305000014</v>
      </c>
      <c r="F18" s="208">
        <f>'Changable Values'!D7</f>
        <v>5.0000000000000001E-3</v>
      </c>
      <c r="G18" s="207">
        <f>SUM(G15:G17)*F18</f>
        <v>734.87356305000014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1477.0958617305002</v>
      </c>
      <c r="F19" s="208">
        <f>'Changable Values'!D8</f>
        <v>0.01</v>
      </c>
      <c r="G19" s="207">
        <f>SUM(G15:G18)*F19</f>
        <v>1477.0958617305002</v>
      </c>
    </row>
    <row r="20" spans="3:7">
      <c r="C20" s="195" t="s">
        <v>99</v>
      </c>
      <c r="D20" s="201"/>
      <c r="E20" s="199">
        <f>SUM(E15:E19)</f>
        <v>149186.6820347805</v>
      </c>
      <c r="F20" s="208"/>
      <c r="G20" s="207">
        <f>SUM(G15:G19)</f>
        <v>149186.6820347805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2237.8002305217074</v>
      </c>
      <c r="F21" s="208">
        <f>'Changable Values'!D9</f>
        <v>1.4999999999999999E-2</v>
      </c>
      <c r="G21" s="207">
        <f>G20*F21</f>
        <v>2237.8002305217074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15463.772918000001</v>
      </c>
      <c r="F23" s="209"/>
      <c r="G23" s="207">
        <f t="shared" si="0"/>
        <v>15463.772918000001</v>
      </c>
    </row>
    <row r="24" spans="3:7">
      <c r="C24" s="195" t="s">
        <v>229</v>
      </c>
      <c r="D24" s="198"/>
      <c r="E24" s="199">
        <f>'Cost Calculation'!AH111</f>
        <v>5323.5587213114759</v>
      </c>
      <c r="F24" s="209"/>
      <c r="G24" s="207">
        <f t="shared" si="0"/>
        <v>5323.5587213114759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66591.432180000003</v>
      </c>
      <c r="F26" s="209"/>
      <c r="G26" s="207">
        <f t="shared" si="0"/>
        <v>66591.432180000003</v>
      </c>
    </row>
    <row r="27" spans="3:7">
      <c r="C27" s="195" t="s">
        <v>86</v>
      </c>
      <c r="D27" s="198"/>
      <c r="E27" s="199">
        <f>'Cost Calculation'!AL109</f>
        <v>8310.1373783999989</v>
      </c>
      <c r="F27" s="209"/>
      <c r="G27" s="207">
        <f t="shared" si="0"/>
        <v>8310.1373783999989</v>
      </c>
    </row>
    <row r="28" spans="3:7">
      <c r="C28" s="195" t="s">
        <v>88</v>
      </c>
      <c r="D28" s="198"/>
      <c r="E28" s="199">
        <f>'Cost Calculation'!AN109</f>
        <v>6648.1099027199989</v>
      </c>
      <c r="F28" s="209"/>
      <c r="G28" s="207">
        <f t="shared" si="0"/>
        <v>6648.1099027199989</v>
      </c>
    </row>
    <row r="29" spans="3:7">
      <c r="C29" s="293" t="s">
        <v>378</v>
      </c>
      <c r="D29" s="294"/>
      <c r="E29" s="295">
        <f>SUM(E20:E28)</f>
        <v>253761.49336573368</v>
      </c>
      <c r="F29" s="209"/>
      <c r="G29" s="207">
        <f>SUM(G20:G21,G24)</f>
        <v>156748.04098661369</v>
      </c>
    </row>
    <row r="30" spans="3:7">
      <c r="C30" s="293" t="s">
        <v>379</v>
      </c>
      <c r="D30" s="294"/>
      <c r="E30" s="295">
        <f>E29/E33</f>
        <v>3053.6377656682239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195935.05123326706</v>
      </c>
      <c r="F31" s="214">
        <f>'Changable Values'!D23</f>
        <v>1.25</v>
      </c>
      <c r="G31" s="207">
        <f>G29*F31</f>
        <v>195935.05123326712</v>
      </c>
    </row>
    <row r="32" spans="3:7">
      <c r="C32" s="290" t="s">
        <v>5</v>
      </c>
      <c r="D32" s="291"/>
      <c r="E32" s="292">
        <f>E31+E29</f>
        <v>449696.54459900071</v>
      </c>
      <c r="F32" s="205"/>
      <c r="G32" s="207">
        <f>SUM(G25:G31,G22:G23)</f>
        <v>449696.54459900083</v>
      </c>
    </row>
    <row r="33" spans="3:7">
      <c r="C33" s="300" t="s">
        <v>230</v>
      </c>
      <c r="D33" s="301"/>
      <c r="E33" s="308">
        <f>'Cost Calculation'!K109</f>
        <v>83.101373784000003</v>
      </c>
      <c r="F33" s="210"/>
      <c r="G33" s="211">
        <f>E33</f>
        <v>83.101373784000003</v>
      </c>
    </row>
    <row r="34" spans="3:7">
      <c r="C34" s="302" t="s">
        <v>9</v>
      </c>
      <c r="D34" s="303"/>
      <c r="E34" s="304">
        <f>QUOTATION!L116</f>
        <v>7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5411.4213053549238</v>
      </c>
      <c r="F35" s="212"/>
      <c r="G35" s="213">
        <f>G32/(G33)</f>
        <v>5411.4213053549247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2019-08-20T14:07:37Z</cp:lastPrinted>
  <dcterms:created xsi:type="dcterms:W3CDTF">2010-12-18T06:34:46Z</dcterms:created>
  <dcterms:modified xsi:type="dcterms:W3CDTF">2019-08-28T10:18:23Z</dcterms:modified>
</cp:coreProperties>
</file>