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2" i="169"/>
  <c r="T3" i="169"/>
  <c r="T2" i="169"/>
  <c r="S2" i="169"/>
  <c r="S3" i="169"/>
  <c r="R2" i="169"/>
  <c r="R3" i="169"/>
  <c r="Q3" i="169"/>
  <c r="Q2" i="169"/>
  <c r="P3" i="169"/>
  <c r="P2" i="169"/>
  <c r="O2" i="169"/>
  <c r="O3" i="169"/>
  <c r="N3" i="169"/>
  <c r="N2" i="169"/>
  <c r="M3" i="169"/>
  <c r="M2" i="169"/>
  <c r="L3" i="169"/>
  <c r="L2" i="169"/>
  <c r="K2" i="169"/>
  <c r="K3" i="169"/>
  <c r="J3" i="169"/>
  <c r="J2" i="169"/>
  <c r="I3" i="169"/>
  <c r="I2" i="169"/>
  <c r="F3" i="169"/>
  <c r="F2" i="169"/>
  <c r="E3" i="169"/>
  <c r="E2" i="169"/>
  <c r="B2" i="169"/>
  <c r="C2" i="169"/>
  <c r="D2" i="169"/>
  <c r="B3" i="169"/>
  <c r="C3" i="169"/>
  <c r="D3" i="169"/>
  <c r="A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5" i="160" l="1"/>
  <c r="M40" i="160"/>
  <c r="M34" i="160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<sst xmlns="http://schemas.openxmlformats.org/spreadsheetml/2006/main" count="1927" uniqueCount="433">
  <si>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</si>
  <si>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</si>
  <si>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</si>
  <si>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</si>
  <si>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</si>
  <si>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</si>
  <si>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</si>
  <si>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</si>
  <si>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</si>
  <si>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</si>
  <si>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</si>
  <si>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</si>
  <si>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</si>
  <si>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</si>
  <si>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</si>
  <si>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</si>
  <si>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</si>
  <si>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</si>
  <si>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</si>
  <si>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</si>
  <si>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</si>
  <si>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</si>
  <si>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</si>
  <si>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</si>
  <si>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</si>
  <si>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</si>
  <si>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</si>
  <si>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</si>
  <si>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</si>
  <si>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</si>
  <si>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</si>
  <si>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</si>
  <si>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</si>
  <si>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</si>
  <si>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</si>
  <si>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</si>
  <si>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</si>
  <si>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</si>
  <si>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</si>
  <si>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</si>
  <si>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</si>
  <si>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</si>
  <si>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</si>
  <si>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</si>
  <si>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</si>
  <si>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</si>
  <si>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</si>
  <si>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</si>
  <si>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</si>
  <si>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</si>
  <si>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</si>
  <si>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</si>
  <si>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</si>
  <si>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</si>
  <si>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</si>
  <si>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</si>
  <si>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</si>
  <si>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</si>
  <si>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</si>
  <si>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</si>
  <si>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</si>
  <si>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</si>
  <si>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</si>
  <si>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</si>
  <si>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</si>
  <si>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</si>
  <si>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</si>
  <si>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</si>
  <si>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</si>
  <si>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</si>
  <si>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</si>
  <si>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</si>
  <si>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</si>
  <si>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</si>
  <si>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</si>
  <si>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</si>
  <si>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</si>
  <si>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</si>
  <si>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</si>
  <si>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</si>
  <si>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</si>
  <si>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</si>
  <si>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</si>
  <si>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</si>
  <si>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</si>
  <si>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</si>
  <si>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</si>
  <si>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</si>
  <si>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</si>
  <si>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</si>
  <si>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</si>
  <si>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</si>
  <si>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</si>
  <si>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</si>
  <si>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</si>
  <si>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</si>
  <si>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</si>
  <si>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</si>
  <si>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</si>
  <si>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</si>
  <si>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</si>
  <si>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</si>
  <si>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</si>
  <si>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</si>
  <si>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</si>
  <si>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</si>
  <si>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</si>
  <si>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</si>
  <si>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</si>
  <si>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</si>
  <si>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</si>
  <si>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</si>
  <si>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</si>
  <si>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</si>
  <si>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</si>
  <si>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</si>
  <si>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</si>
  <si>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</si>
  <si>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</si>
  <si>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</si>
  <si>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</si>
  <si>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</si>
  <si>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</si>
  <si>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</si>
  <si>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</si>
  <si>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</si>
  <si>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</si>
  <si>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</si>
  <si>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</si>
  <si>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</si>
  <si>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</si>
  <si>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</si>
  <si>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</si>
  <si>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</si>
  <si>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</si>
  <si>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</si>
  <si>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</si>
  <si>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</si>
  <si>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</si>
  <si>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</si>
  <si>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</si>
  <si>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</si>
  <si>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</si>
  <si>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</si>
  <si>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</si>
  <si>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</si>
  <si>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</si>
  <si>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</si>
  <si>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</si>
  <si>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</si>
  <si>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</si>
  <si>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</si>
  <si>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</si>
  <si>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</si>
  <si>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</si>
  <si>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</si>
  <si>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</si>
  <si>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</si>
  <si>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</si>
  <si>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</si>
  <si>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</si>
  <si>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</si>
  <si>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</si>
  <si>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</si>
  <si>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</si>
  <si>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</si>
  <si>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</si>
  <si>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</si>
  <si>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</si>
  <si>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</si>
  <si>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</si>
  <si>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</si>
  <si>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</si>
  <si>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</si>
  <si>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</si>
  <si>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</si>
  <si>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</si>
  <si>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</si>
  <si>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</si>
  <si>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</si>
  <si>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</si>
  <si>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</si>
  <si>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</si>
  <si>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</si>
  <si>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</si>
  <si>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</si>
  <si>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</si>
  <si>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</si>
  <si>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</si>
  <si>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</si>
  <si>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</si>
  <si>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</si>
  <si>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</si>
  <si>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</si>
  <si>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</si>
  <si>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</si>
  <si>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</si>
  <si>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</si>
  <si>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</si>
  <si>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</si>
  <si>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</si>
  <si>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</si>
  <si>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</si>
  <si>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</si>
  <si>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</si>
  <si>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</si>
  <si>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</si>
  <si>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</si>
  <si>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</si>
  <si>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</si>
  <si>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</si>
  <si>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</si>
  <si>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</si>
  <si>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</si>
  <si>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</si>
  <si>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</si>
  <si>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</si>
  <si>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</si>
  <si>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</si>
  <si>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</si>
  <si>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</si>
  <si>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</si>
  <si>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</si>
  <si>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</si>
  <si>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</si>
  <si>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</si>
  <si>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</si>
  <si>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</si>
  <si>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</si>
  <si>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</si>
  <si>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</si>
  <si>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</si>
  <si>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</si>
  <si>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</si>
  <si>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</si>
  <si>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</si>
  <si>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</si>
  <si>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</si>
  <si>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</si>
  <si>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</si>
  <si>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</si>
  <si>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</si>
  <si>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</si>
  <si>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</si>
  <si>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</si>
  <si>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</si>
  <si>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</si>
  <si>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</si>
  <si>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</si>
  <si>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</si>
  <si>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</si>
  <si>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</si>
  <si>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</si>
  <si>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</si>
  <si>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</si>
  <si>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</si>
  <si>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</si>
  <si>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</si>
  <si>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</si>
  <si>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</si>
  <si>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</si>
  <si>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</si>
  <si>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</si>
  <si>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</si>
  <si>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</si>
  <si>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</si>
  <si>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</si>
  <si>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</si>
  <si>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</si>
  <si>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</si>
  <si>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</si>
  <si>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</si>
  <si>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</si>
  <si>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</si>
  <si>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</si>
  <si>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</si>
  <si>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</si>
  <si>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</si>
  <si>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</si>
  <si>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</si>
  <si>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</si>
  <si>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</si>
  <si>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</si>
  <si>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</si>
  <si>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</si>
  <si>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</si>
  <si>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</si>
  <si>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</si>
  <si>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</si>
  <si>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</si>
  <si>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</si>
  <si>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</si>
  <si>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</si>
  <si>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</si>
  <si>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</si>
  <si>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</si>
  <si>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</si>
  <si>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</si>
  <si>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</si>
  <si>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</si>
  <si>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</si>
  <si>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</si>
  <si>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</si>
  <si>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</si>
  <si>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</si>
  <si>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</si>
  <si>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</si>
  <si>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</si>
  <si>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</si>
  <si>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</si>
  <si>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</si>
  <si>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</si>
  <si>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</si>
  <si>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</si>
  <si>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</si>
  <si>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</si>
  <si>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</si>
  <si>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</si>
  <si>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</si>
  <si>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</si>
  <si>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</si>
  <si>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</si>
  <si>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</si>
  <si>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</si>
  <si>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</si>
  <si>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</si>
  <si>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</si>
  <si>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</si>
  <si>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</si>
  <si>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</si>
  <si>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</si>
  <si>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</si>
  <si>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</si>
  <si>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</si>
  <si>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</si>
  <si>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</si>
  <si>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</si>
  <si>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</si>
  <si>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</si>
  <si>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</si>
  <si>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</si>
  <si>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</si>
  <si>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</si>
  <si>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</si>
  <si>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</si>
  <si>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</si>
  <si>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</si>
  <si>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</si>
  <si>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</si>
  <si>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</si>
  <si>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</si>
  <si>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</si>
  <si>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</si>
  <si>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</si>
  <si>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</si>
  <si>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</si>
  <si>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</si>
  <si>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</si>
  <si>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</si>
  <si>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</si>
  <si>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</si>
  <si>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</si>
  <si>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</si>
  <si>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</si>
  <si>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</si>
  <si>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</si>
  <si>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</si>
  <si>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</si>
  <si>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</si>
  <si>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</si>
  <si>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</si>
  <si>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</si>
  <si>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</si>
  <si>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</si>
  <si>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</si>
  <si>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</si>
  <si>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</si>
  <si>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</si>
  <si>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</si>
  <si>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</si>
  <si>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</si>
  <si>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</si>
  <si>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</si>
  <si>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</si>
  <si>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</si>
  <si>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</si>
  <si>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</si>
  <si>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</si>
  <si>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</si>
  <si>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</si>
  <si>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</si>
  <si>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</si>
  <si>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</si>
  <si>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</si>
  <si>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</si>
  <si>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</si>
  <si>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</si>
  <si>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</si>
  <si>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</si>
  <si>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</si>
  <si>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</si>
  <si>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</si>
  <si>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</si>
  <si>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</si>
  <si>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</si>
  <si>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</si>
  <si>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</si>
  <si>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</si>
  <si>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</si>
  <si>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</si>
  <si>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</si>
  <si>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</si>
  <si>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</si>
  <si>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</si>
  <si>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</si>
  <si>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</si>
  <si>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</si>
  <si>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</si>
  <si>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</si>
  <si>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</si>
  <si>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</si>
  <si>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Ravi</t>
  </si>
  <si>
    <t>Rajahmundry</t>
  </si>
  <si>
    <t>Anodized 101520</t>
  </si>
  <si>
    <t>ABPL-DE-19.20-2165</t>
  </si>
  <si>
    <t>SKY-1</t>
  </si>
  <si>
    <t>M10800</t>
  </si>
  <si>
    <t>SKYLIGHT WITH 3 FIXED GLASS</t>
  </si>
  <si>
    <t>19.52MM</t>
  </si>
  <si>
    <t>NO</t>
  </si>
  <si>
    <t>NA</t>
  </si>
  <si>
    <t>SKY-2</t>
  </si>
  <si>
    <t>19.52mm :- 8mm Clear Toughened Glass + 1.52mm Clear PVB + 10mm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</si>
</sst>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9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28" fillId="0" borderId="97" xfId="132" applyNumberFormat="1" applyFont="1" applyFill="1" applyBorder="1" applyAlignment="1">
      <alignment horizontal="left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2" xfId="132" applyNumberFormat="1" applyFont="1" applyFill="1" applyBorder="1" applyAlignment="1">
      <alignment horizontal="right" vertical="center"/>
    </xf>
    <xf numFmtId="0" fontId="128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132" fillId="0" borderId="1" xfId="0" applyNumberFormat="1" applyFont="1" applyBorder="1" applyAlignment="1">
      <alignment horizontal="left" vertic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32" fillId="0" borderId="1" xfId="0" applyNumberFormat="1" applyFont="1" applyBorder="1" applyAlignment="1">
      <alignment horizontal="center" vertical="center"/>
    </xf>
    <xf numFmtId="0" fontId="132" fillId="0" borderId="1" xfId="0" applyNumberFormat="1" applyFont="1" applyBorder="1" applyAlignment="1">
      <alignment horizontal="righ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66260</xdr:colOff>
      <xdr:row>8</xdr:row>
      <xdr:rowOff>82826</xdr:rowOff>
    </xdr:from>
    <xdr:to>
      <xdr:col>10</xdr:col>
      <xdr:colOff>240196</xdr:colOff>
      <xdr:row>16</xdr:row>
      <xdr:rowOff>216923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0456" y="1557130"/>
          <a:ext cx="5267740" cy="2652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281607</xdr:colOff>
      <xdr:row>19</xdr:row>
      <xdr:rowOff>41412</xdr:rowOff>
    </xdr:from>
    <xdr:to>
      <xdr:col>10</xdr:col>
      <xdr:colOff>124238</xdr:colOff>
      <xdr:row>27</xdr:row>
      <xdr:rowOff>278204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803" y="4828760"/>
          <a:ext cx="4936435" cy="2754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16" sqref="P1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ABPL-DE-19.20-2165</v>
      </c>
      <c r="O2" s="540"/>
      <c r="P2" s="219" t="s">
        <v>256</v>
      </c>
    </row>
    <row r="3" spans="2:16">
      <c r="B3" s="218"/>
      <c r="C3" s="538" t="s">
        <v>126</v>
      </c>
      <c r="D3" s="538"/>
      <c r="E3" s="538"/>
      <c r="F3" s="540" t="str">
        <f>QUOTATION!F7</f>
        <v>Mr. Ravi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43698</v>
      </c>
      <c r="O3" s="547"/>
      <c r="P3" s="219" t="s">
        <v>255</v>
      </c>
    </row>
    <row r="4" spans="2:16">
      <c r="B4" s="218"/>
      <c r="C4" s="538" t="s">
        <v>127</v>
      </c>
      <c r="D4" s="538"/>
      <c r="E4" s="538"/>
      <c r="F4" s="285" t="str">
        <f>QUOTATION!F8</f>
        <v>Rajahmundry</v>
      </c>
      <c r="G4" s="538"/>
      <c r="H4" s="538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43698</v>
      </c>
    </row>
    <row r="5" spans="2:16">
      <c r="B5" s="218"/>
      <c r="C5" s="538" t="s">
        <v>168</v>
      </c>
      <c r="D5" s="538"/>
      <c r="E5" s="538"/>
      <c r="F5" s="540" t="str">
        <f>QUOTATION!F9</f>
        <v>Mr. Srinivas : 9949077279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Ranjan</v>
      </c>
      <c r="O5" s="540"/>
    </row>
    <row r="6" spans="2:16">
      <c r="B6" s="218"/>
      <c r="C6" s="538" t="s">
        <v>176</v>
      </c>
      <c r="D6" s="538"/>
      <c r="E6" s="538"/>
      <c r="F6" s="285" t="str">
        <f>QUOTATION!F10</f>
        <v>Anodized 101520</v>
      </c>
      <c r="G6" s="538"/>
      <c r="H6" s="538"/>
      <c r="I6" s="550" t="s">
        <v>177</v>
      </c>
      <c r="J6" s="550"/>
      <c r="K6" s="545">
        <f>QUOTATION!I10</f>
        <v>0</v>
      </c>
      <c r="L6" s="545"/>
      <c r="M6" s="320" t="s">
        <v>373</v>
      </c>
      <c r="N6" s="548">
        <f>'BD Team'!J5</f>
        <v>0</v>
      </c>
      <c r="O6" s="549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253</v>
      </c>
      <c r="D8" s="538"/>
      <c r="E8" s="286" t="str">
        <f>'BD Team'!B9</f>
        <v>SKY-1</v>
      </c>
      <c r="F8" s="288" t="s">
        <v>254</v>
      </c>
      <c r="G8" s="540" t="str">
        <f>'BD Team'!D9</f>
        <v>SKYLIGHT WITH 3 FIXED GLASS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NA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246</v>
      </c>
      <c r="M10" s="538"/>
      <c r="N10" s="540" t="str">
        <f>$F$6</f>
        <v>Anodized 101520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51" t="s">
        <v>177</v>
      </c>
      <c r="M11" s="551"/>
      <c r="N11" s="545">
        <f>$K$6</f>
        <v>0</v>
      </c>
      <c r="O11" s="545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247</v>
      </c>
      <c r="M12" s="538"/>
      <c r="N12" s="552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248</v>
      </c>
      <c r="M13" s="538"/>
      <c r="N13" s="540" t="str">
        <f>CONCATENATE('BD Team'!H9," X ",'BD Team'!I9)</f>
        <v>4947 X 2385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249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250</v>
      </c>
      <c r="M15" s="538"/>
      <c r="N15" s="540" t="str">
        <f>'BD Team'!C9</f>
        <v>M10800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251</v>
      </c>
      <c r="M16" s="538"/>
      <c r="N16" s="540" t="str">
        <f>'BD Team'!E9</f>
        <v>19.52MM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252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253</v>
      </c>
      <c r="D19" s="538"/>
      <c r="E19" s="286" t="str">
        <f>'BD Team'!B10</f>
        <v>SKY-2</v>
      </c>
      <c r="F19" s="288" t="s">
        <v>254</v>
      </c>
      <c r="G19" s="540" t="str">
        <f>'BD Team'!D10</f>
        <v>SKYLIGHT WITH 3 FIXED GLASS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NA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246</v>
      </c>
      <c r="M21" s="538"/>
      <c r="N21" s="540" t="str">
        <f>$F$6</f>
        <v>Anodized 101520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51" t="s">
        <v>177</v>
      </c>
      <c r="M22" s="551"/>
      <c r="N22" s="545">
        <f>$K$6</f>
        <v>0</v>
      </c>
      <c r="O22" s="545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247</v>
      </c>
      <c r="M23" s="538"/>
      <c r="N23" s="543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248</v>
      </c>
      <c r="M24" s="538"/>
      <c r="N24" s="540" t="str">
        <f>CONCATENATE('BD Team'!H10," X ",'BD Team'!I10)</f>
        <v>3677 X 2036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249</v>
      </c>
      <c r="M25" s="538"/>
      <c r="N25" s="539">
        <f>'BD Team'!J10</f>
        <v>1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250</v>
      </c>
      <c r="M26" s="538"/>
      <c r="N26" s="540" t="str">
        <f>'BD Team'!C10</f>
        <v>M10800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251</v>
      </c>
      <c r="M27" s="538"/>
      <c r="N27" s="540" t="str">
        <f>'BD Team'!E10</f>
        <v>19.52MM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252</v>
      </c>
      <c r="M28" s="538"/>
      <c r="N28" s="540" t="str">
        <f>'BD Team'!F10</f>
        <v>NO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253</v>
      </c>
      <c r="D30" s="538"/>
      <c r="E30" s="286">
        <f>'BD Team'!B11</f>
        <v>0</v>
      </c>
      <c r="F30" s="288" t="s">
        <v>254</v>
      </c>
      <c r="G30" s="540">
        <f>'BD Team'!D11</f>
        <v>0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>
        <f>'BD Team'!G11</f>
        <v>0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246</v>
      </c>
      <c r="M32" s="538"/>
      <c r="N32" s="540" t="str">
        <f>$F$6</f>
        <v>Anodized 101520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177</v>
      </c>
      <c r="M33" s="538"/>
      <c r="N33" s="540">
        <f>$K$6</f>
        <v>0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247</v>
      </c>
      <c r="M34" s="538"/>
      <c r="N34" s="543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248</v>
      </c>
      <c r="M35" s="538"/>
      <c r="N35" s="540" t="str">
        <f>CONCATENATE('BD Team'!H11," X ",'BD Team'!I11)</f>
        <v xml:space="preserve"> X 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249</v>
      </c>
      <c r="M36" s="538"/>
      <c r="N36" s="539">
        <f>'BD Team'!J11</f>
        <v>0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250</v>
      </c>
      <c r="M37" s="538"/>
      <c r="N37" s="540">
        <f>'BD Team'!C11</f>
        <v>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251</v>
      </c>
      <c r="M38" s="538"/>
      <c r="N38" s="540">
        <f>'BD Team'!E11</f>
        <v>0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252</v>
      </c>
      <c r="M39" s="538"/>
      <c r="N39" s="540">
        <f>'BD Team'!F11</f>
        <v>0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253</v>
      </c>
      <c r="D41" s="538"/>
      <c r="E41" s="286">
        <f>'BD Team'!B12</f>
        <v>0</v>
      </c>
      <c r="F41" s="288" t="s">
        <v>254</v>
      </c>
      <c r="G41" s="540">
        <f>'BD Team'!D12</f>
        <v>0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>
        <f>'BD Team'!G12</f>
        <v>0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246</v>
      </c>
      <c r="M43" s="538"/>
      <c r="N43" s="540" t="str">
        <f>$F$6</f>
        <v>Anodized 101520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177</v>
      </c>
      <c r="M44" s="538"/>
      <c r="N44" s="540">
        <f>$K$6</f>
        <v>0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247</v>
      </c>
      <c r="M45" s="538"/>
      <c r="N45" s="543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248</v>
      </c>
      <c r="M46" s="538"/>
      <c r="N46" s="540" t="str">
        <f>CONCATENATE('BD Team'!H12," X ",'BD Team'!I12)</f>
        <v xml:space="preserve"> X 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249</v>
      </c>
      <c r="M47" s="538"/>
      <c r="N47" s="539">
        <f>'BD Team'!J12</f>
        <v>0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250</v>
      </c>
      <c r="M48" s="538"/>
      <c r="N48" s="540">
        <f>'BD Team'!C12</f>
        <v>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251</v>
      </c>
      <c r="M49" s="538"/>
      <c r="N49" s="540">
        <f>'BD Team'!E12</f>
        <v>0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252</v>
      </c>
      <c r="M50" s="538"/>
      <c r="N50" s="540">
        <f>'BD Team'!F12</f>
        <v>0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253</v>
      </c>
      <c r="D52" s="538"/>
      <c r="E52" s="286">
        <f>'BD Team'!B13</f>
        <v>0</v>
      </c>
      <c r="F52" s="288" t="s">
        <v>254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>
        <f>'BD Team'!G13</f>
        <v>0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246</v>
      </c>
      <c r="M54" s="538"/>
      <c r="N54" s="540" t="str">
        <f>$F$6</f>
        <v>Anodized 101520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177</v>
      </c>
      <c r="M55" s="538"/>
      <c r="N55" s="540">
        <f>$K$6</f>
        <v>0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247</v>
      </c>
      <c r="M56" s="538"/>
      <c r="N56" s="543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248</v>
      </c>
      <c r="M57" s="538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249</v>
      </c>
      <c r="M58" s="538"/>
      <c r="N58" s="539">
        <f>'BD Team'!J13</f>
        <v>0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250</v>
      </c>
      <c r="M59" s="538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251</v>
      </c>
      <c r="M60" s="538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252</v>
      </c>
      <c r="M61" s="538"/>
      <c r="N61" s="540">
        <f>'BD Team'!F13</f>
        <v>0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253</v>
      </c>
      <c r="D63" s="538"/>
      <c r="E63" s="286">
        <f>'BD Team'!B14</f>
        <v>0</v>
      </c>
      <c r="F63" s="288" t="s">
        <v>254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>
        <f>'BD Team'!G14</f>
        <v>0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246</v>
      </c>
      <c r="M65" s="538"/>
      <c r="N65" s="540" t="str">
        <f>$F$6</f>
        <v>Anodized 101520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177</v>
      </c>
      <c r="M66" s="538"/>
      <c r="N66" s="540">
        <f>$K$6</f>
        <v>0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247</v>
      </c>
      <c r="M67" s="538"/>
      <c r="N67" s="543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248</v>
      </c>
      <c r="M68" s="538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249</v>
      </c>
      <c r="M69" s="538"/>
      <c r="N69" s="539">
        <f>'BD Team'!J14</f>
        <v>0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250</v>
      </c>
      <c r="M70" s="538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251</v>
      </c>
      <c r="M71" s="538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252</v>
      </c>
      <c r="M72" s="538"/>
      <c r="N72" s="540">
        <f>'BD Team'!F14</f>
        <v>0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253</v>
      </c>
      <c r="D74" s="538"/>
      <c r="E74" s="286">
        <f>'BD Team'!B15</f>
        <v>0</v>
      </c>
      <c r="F74" s="288" t="s">
        <v>254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>
        <f>'BD Team'!G15</f>
        <v>0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246</v>
      </c>
      <c r="M76" s="538"/>
      <c r="N76" s="540" t="str">
        <f>$F$6</f>
        <v>Anodized 101520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177</v>
      </c>
      <c r="M77" s="538"/>
      <c r="N77" s="540">
        <f>$K$6</f>
        <v>0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247</v>
      </c>
      <c r="M78" s="538"/>
      <c r="N78" s="543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248</v>
      </c>
      <c r="M79" s="538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249</v>
      </c>
      <c r="M80" s="538"/>
      <c r="N80" s="539">
        <f>'BD Team'!J15</f>
        <v>0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250</v>
      </c>
      <c r="M81" s="538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251</v>
      </c>
      <c r="M82" s="538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252</v>
      </c>
      <c r="M83" s="538"/>
      <c r="N83" s="540">
        <f>'BD Team'!F15</f>
        <v>0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253</v>
      </c>
      <c r="D85" s="538"/>
      <c r="E85" s="286">
        <f>'BD Team'!B16</f>
        <v>0</v>
      </c>
      <c r="F85" s="288" t="s">
        <v>254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>
        <f>'BD Team'!G16</f>
        <v>0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246</v>
      </c>
      <c r="M87" s="538"/>
      <c r="N87" s="540" t="str">
        <f>$F$6</f>
        <v>Anodized 101520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177</v>
      </c>
      <c r="M88" s="538"/>
      <c r="N88" s="540">
        <f>$K$6</f>
        <v>0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247</v>
      </c>
      <c r="M89" s="538"/>
      <c r="N89" s="543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248</v>
      </c>
      <c r="M90" s="538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249</v>
      </c>
      <c r="M91" s="538"/>
      <c r="N91" s="539">
        <f>'BD Team'!J16</f>
        <v>0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250</v>
      </c>
      <c r="M92" s="538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251</v>
      </c>
      <c r="M93" s="538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252</v>
      </c>
      <c r="M94" s="538"/>
      <c r="N94" s="540">
        <f>'BD Team'!F16</f>
        <v>0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253</v>
      </c>
      <c r="D96" s="538"/>
      <c r="E96" s="286">
        <f>'BD Team'!B17</f>
        <v>0</v>
      </c>
      <c r="F96" s="288" t="s">
        <v>254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>
        <f>'BD Team'!G17</f>
        <v>0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246</v>
      </c>
      <c r="M98" s="538"/>
      <c r="N98" s="540" t="str">
        <f>$F$6</f>
        <v>Anodized 101520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177</v>
      </c>
      <c r="M99" s="538"/>
      <c r="N99" s="540">
        <f>$K$6</f>
        <v>0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247</v>
      </c>
      <c r="M100" s="538"/>
      <c r="N100" s="543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248</v>
      </c>
      <c r="M101" s="538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249</v>
      </c>
      <c r="M102" s="538"/>
      <c r="N102" s="539">
        <f>'BD Team'!J17</f>
        <v>0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250</v>
      </c>
      <c r="M103" s="538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251</v>
      </c>
      <c r="M104" s="538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252</v>
      </c>
      <c r="M105" s="538"/>
      <c r="N105" s="540">
        <f>'BD Team'!F17</f>
        <v>0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253</v>
      </c>
      <c r="D107" s="538"/>
      <c r="E107" s="286">
        <f>'BD Team'!B18</f>
        <v>0</v>
      </c>
      <c r="F107" s="288" t="s">
        <v>254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>
        <f>'BD Team'!G18</f>
        <v>0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246</v>
      </c>
      <c r="M109" s="538"/>
      <c r="N109" s="540" t="str">
        <f>$F$6</f>
        <v>Anodized 101520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177</v>
      </c>
      <c r="M110" s="538"/>
      <c r="N110" s="540">
        <f>$K$6</f>
        <v>0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247</v>
      </c>
      <c r="M111" s="538"/>
      <c r="N111" s="543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248</v>
      </c>
      <c r="M112" s="538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249</v>
      </c>
      <c r="M113" s="538"/>
      <c r="N113" s="539">
        <f>'BD Team'!J18</f>
        <v>0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250</v>
      </c>
      <c r="M114" s="538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251</v>
      </c>
      <c r="M115" s="538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252</v>
      </c>
      <c r="M116" s="538"/>
      <c r="N116" s="540">
        <f>'BD Team'!F18</f>
        <v>0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253</v>
      </c>
      <c r="D118" s="538"/>
      <c r="E118" s="286">
        <f>'BD Team'!B19</f>
        <v>0</v>
      </c>
      <c r="F118" s="288" t="s">
        <v>254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>
        <f>'BD Team'!G19</f>
        <v>0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246</v>
      </c>
      <c r="M120" s="538"/>
      <c r="N120" s="540" t="str">
        <f>$F$6</f>
        <v>Anodized 101520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177</v>
      </c>
      <c r="M121" s="538"/>
      <c r="N121" s="540">
        <f>$K$6</f>
        <v>0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247</v>
      </c>
      <c r="M122" s="538"/>
      <c r="N122" s="543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248</v>
      </c>
      <c r="M123" s="538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249</v>
      </c>
      <c r="M124" s="538"/>
      <c r="N124" s="539">
        <f>'BD Team'!J19</f>
        <v>0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250</v>
      </c>
      <c r="M125" s="538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251</v>
      </c>
      <c r="M126" s="538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252</v>
      </c>
      <c r="M127" s="538"/>
      <c r="N127" s="540">
        <f>'BD Team'!F19</f>
        <v>0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253</v>
      </c>
      <c r="D129" s="538"/>
      <c r="E129" s="286">
        <f>'BD Team'!B20</f>
        <v>0</v>
      </c>
      <c r="F129" s="288" t="s">
        <v>254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>
        <f>'BD Team'!G20</f>
        <v>0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246</v>
      </c>
      <c r="M131" s="538"/>
      <c r="N131" s="540" t="str">
        <f>$F$6</f>
        <v>Anodized 101520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177</v>
      </c>
      <c r="M132" s="538"/>
      <c r="N132" s="540">
        <f>$K$6</f>
        <v>0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247</v>
      </c>
      <c r="M133" s="538"/>
      <c r="N133" s="543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248</v>
      </c>
      <c r="M134" s="538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249</v>
      </c>
      <c r="M135" s="538"/>
      <c r="N135" s="539">
        <f>'BD Team'!J20</f>
        <v>0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250</v>
      </c>
      <c r="M136" s="538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251</v>
      </c>
      <c r="M137" s="538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252</v>
      </c>
      <c r="M138" s="538"/>
      <c r="N138" s="540">
        <f>'BD Team'!F20</f>
        <v>0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253</v>
      </c>
      <c r="D140" s="538"/>
      <c r="E140" s="286">
        <f>'BD Team'!B21</f>
        <v>0</v>
      </c>
      <c r="F140" s="288" t="s">
        <v>254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>
        <f>'BD Team'!G21</f>
        <v>0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246</v>
      </c>
      <c r="M142" s="538"/>
      <c r="N142" s="540" t="str">
        <f>$F$6</f>
        <v>Anodized 101520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177</v>
      </c>
      <c r="M143" s="538"/>
      <c r="N143" s="540">
        <f>$K$6</f>
        <v>0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247</v>
      </c>
      <c r="M144" s="538"/>
      <c r="N144" s="543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248</v>
      </c>
      <c r="M145" s="538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249</v>
      </c>
      <c r="M146" s="538"/>
      <c r="N146" s="539">
        <f>'BD Team'!J21</f>
        <v>0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250</v>
      </c>
      <c r="M147" s="538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251</v>
      </c>
      <c r="M148" s="538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252</v>
      </c>
      <c r="M149" s="538"/>
      <c r="N149" s="540">
        <f>'BD Team'!F21</f>
        <v>0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253</v>
      </c>
      <c r="D151" s="538"/>
      <c r="E151" s="286">
        <f>'BD Team'!B22</f>
        <v>0</v>
      </c>
      <c r="F151" s="288" t="s">
        <v>254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>
        <f>'BD Team'!G22</f>
        <v>0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246</v>
      </c>
      <c r="M153" s="538"/>
      <c r="N153" s="540" t="str">
        <f>$F$6</f>
        <v>Anodized 101520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177</v>
      </c>
      <c r="M154" s="538"/>
      <c r="N154" s="540">
        <f>$K$6</f>
        <v>0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247</v>
      </c>
      <c r="M155" s="538"/>
      <c r="N155" s="543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248</v>
      </c>
      <c r="M156" s="538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249</v>
      </c>
      <c r="M157" s="538"/>
      <c r="N157" s="539">
        <f>'BD Team'!J22</f>
        <v>0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250</v>
      </c>
      <c r="M158" s="538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251</v>
      </c>
      <c r="M159" s="538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252</v>
      </c>
      <c r="M160" s="538"/>
      <c r="N160" s="540">
        <f>'BD Team'!F22</f>
        <v>0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253</v>
      </c>
      <c r="D162" s="538"/>
      <c r="E162" s="286">
        <f>'BD Team'!B23</f>
        <v>0</v>
      </c>
      <c r="F162" s="288" t="s">
        <v>254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>
        <f>'BD Team'!G23</f>
        <v>0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246</v>
      </c>
      <c r="M164" s="538"/>
      <c r="N164" s="540" t="str">
        <f>$F$6</f>
        <v>Anodized 101520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177</v>
      </c>
      <c r="M165" s="538"/>
      <c r="N165" s="540">
        <f>$K$6</f>
        <v>0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247</v>
      </c>
      <c r="M166" s="538"/>
      <c r="N166" s="543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248</v>
      </c>
      <c r="M167" s="538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249</v>
      </c>
      <c r="M168" s="538"/>
      <c r="N168" s="539">
        <f>'BD Team'!J23</f>
        <v>0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250</v>
      </c>
      <c r="M169" s="538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251</v>
      </c>
      <c r="M170" s="538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252</v>
      </c>
      <c r="M171" s="538"/>
      <c r="N171" s="540">
        <f>'BD Team'!F23</f>
        <v>0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253</v>
      </c>
      <c r="D173" s="538"/>
      <c r="E173" s="286">
        <f>'BD Team'!B24</f>
        <v>0</v>
      </c>
      <c r="F173" s="288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>
        <f>'BD Team'!G24</f>
        <v>0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246</v>
      </c>
      <c r="M175" s="538"/>
      <c r="N175" s="540" t="str">
        <f>$F$6</f>
        <v>Anodized 101520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177</v>
      </c>
      <c r="M176" s="538"/>
      <c r="N176" s="540">
        <f>$K$6</f>
        <v>0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247</v>
      </c>
      <c r="M177" s="538"/>
      <c r="N177" s="543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248</v>
      </c>
      <c r="M178" s="538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249</v>
      </c>
      <c r="M179" s="538"/>
      <c r="N179" s="539">
        <f>'BD Team'!J24</f>
        <v>0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250</v>
      </c>
      <c r="M180" s="538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251</v>
      </c>
      <c r="M181" s="538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252</v>
      </c>
      <c r="M182" s="538"/>
      <c r="N182" s="540">
        <f>'BD Team'!F24</f>
        <v>0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253</v>
      </c>
      <c r="D184" s="538"/>
      <c r="E184" s="286">
        <f>'BD Team'!B25</f>
        <v>0</v>
      </c>
      <c r="F184" s="288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246</v>
      </c>
      <c r="M186" s="538"/>
      <c r="N186" s="540" t="str">
        <f>$F$6</f>
        <v>Anodized 101520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177</v>
      </c>
      <c r="M187" s="538"/>
      <c r="N187" s="540">
        <f>$K$6</f>
        <v>0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247</v>
      </c>
      <c r="M188" s="538"/>
      <c r="N188" s="543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248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249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250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251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252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253</v>
      </c>
      <c r="D195" s="538"/>
      <c r="E195" s="286">
        <f>'BD Team'!B26</f>
        <v>0</v>
      </c>
      <c r="F195" s="288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246</v>
      </c>
      <c r="M197" s="538"/>
      <c r="N197" s="540" t="str">
        <f>$F$6</f>
        <v>Anodized 101520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177</v>
      </c>
      <c r="M198" s="538"/>
      <c r="N198" s="540">
        <f>$K$6</f>
        <v>0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247</v>
      </c>
      <c r="M199" s="538"/>
      <c r="N199" s="543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248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249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250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251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252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253</v>
      </c>
      <c r="D206" s="538"/>
      <c r="E206" s="286">
        <f>'BD Team'!B27</f>
        <v>0</v>
      </c>
      <c r="F206" s="288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246</v>
      </c>
      <c r="M208" s="538"/>
      <c r="N208" s="540" t="str">
        <f>$F$6</f>
        <v>Anodized 101520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177</v>
      </c>
      <c r="M209" s="538"/>
      <c r="N209" s="540">
        <f>$K$6</f>
        <v>0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247</v>
      </c>
      <c r="M210" s="538"/>
      <c r="N210" s="543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248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249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250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251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252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253</v>
      </c>
      <c r="D217" s="538"/>
      <c r="E217" s="286">
        <f>'BD Team'!B28</f>
        <v>0</v>
      </c>
      <c r="F217" s="288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246</v>
      </c>
      <c r="M219" s="538"/>
      <c r="N219" s="540" t="str">
        <f>$F$6</f>
        <v>Anodized 101520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177</v>
      </c>
      <c r="M220" s="538"/>
      <c r="N220" s="540">
        <f>$K$6</f>
        <v>0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247</v>
      </c>
      <c r="M221" s="538"/>
      <c r="N221" s="543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248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249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250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251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252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253</v>
      </c>
      <c r="D228" s="538"/>
      <c r="E228" s="286">
        <f>'BD Team'!B29</f>
        <v>0</v>
      </c>
      <c r="F228" s="288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246</v>
      </c>
      <c r="M230" s="538"/>
      <c r="N230" s="540" t="str">
        <f>$F$6</f>
        <v>Anodized 101520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177</v>
      </c>
      <c r="M231" s="538"/>
      <c r="N231" s="540">
        <f>$K$6</f>
        <v>0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247</v>
      </c>
      <c r="M232" s="538"/>
      <c r="N232" s="543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248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249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250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251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252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253</v>
      </c>
      <c r="D239" s="538"/>
      <c r="E239" s="286">
        <f>'BD Team'!B30</f>
        <v>0</v>
      </c>
      <c r="F239" s="288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246</v>
      </c>
      <c r="M241" s="538"/>
      <c r="N241" s="540" t="str">
        <f>$F$6</f>
        <v>Anodized 101520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177</v>
      </c>
      <c r="M242" s="538"/>
      <c r="N242" s="540">
        <f>$K$6</f>
        <v>0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247</v>
      </c>
      <c r="M243" s="538"/>
      <c r="N243" s="543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248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249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250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251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252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253</v>
      </c>
      <c r="D250" s="538"/>
      <c r="E250" s="286">
        <f>'BD Team'!B31</f>
        <v>0</v>
      </c>
      <c r="F250" s="288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246</v>
      </c>
      <c r="M252" s="538"/>
      <c r="N252" s="540" t="str">
        <f>$F$6</f>
        <v>Anodized 101520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177</v>
      </c>
      <c r="M253" s="538"/>
      <c r="N253" s="540">
        <f>$K$6</f>
        <v>0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247</v>
      </c>
      <c r="M254" s="538"/>
      <c r="N254" s="543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248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249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250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251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252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253</v>
      </c>
      <c r="D261" s="538"/>
      <c r="E261" s="286">
        <f>'BD Team'!B32</f>
        <v>0</v>
      </c>
      <c r="F261" s="288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246</v>
      </c>
      <c r="M263" s="538"/>
      <c r="N263" s="540" t="str">
        <f>$F$6</f>
        <v>Anodized 101520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177</v>
      </c>
      <c r="M264" s="538"/>
      <c r="N264" s="540">
        <f>$K$6</f>
        <v>0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247</v>
      </c>
      <c r="M265" s="538"/>
      <c r="N265" s="543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248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249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250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251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252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253</v>
      </c>
      <c r="D272" s="538"/>
      <c r="E272" s="286">
        <f>'BD Team'!B33</f>
        <v>0</v>
      </c>
      <c r="F272" s="288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246</v>
      </c>
      <c r="M274" s="538"/>
      <c r="N274" s="540" t="str">
        <f>$F$6</f>
        <v>Anodized 101520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177</v>
      </c>
      <c r="M275" s="538"/>
      <c r="N275" s="540">
        <f>$K$6</f>
        <v>0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247</v>
      </c>
      <c r="M276" s="538"/>
      <c r="N276" s="543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248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249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250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251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252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253</v>
      </c>
      <c r="D283" s="538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246</v>
      </c>
      <c r="M285" s="538"/>
      <c r="N285" s="540" t="str">
        <f>$F$6</f>
        <v>Anodized 101520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177</v>
      </c>
      <c r="M286" s="538"/>
      <c r="N286" s="540">
        <f>$K$6</f>
        <v>0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247</v>
      </c>
      <c r="M287" s="538"/>
      <c r="N287" s="543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248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249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250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251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252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253</v>
      </c>
      <c r="D294" s="538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246</v>
      </c>
      <c r="M296" s="538"/>
      <c r="N296" s="540" t="str">
        <f>$F$6</f>
        <v>Anodized 101520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177</v>
      </c>
      <c r="M297" s="538"/>
      <c r="N297" s="540">
        <f>$K$6</f>
        <v>0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247</v>
      </c>
      <c r="M298" s="538"/>
      <c r="N298" s="543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248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249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250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251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252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253</v>
      </c>
      <c r="D305" s="538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246</v>
      </c>
      <c r="M307" s="538"/>
      <c r="N307" s="540" t="str">
        <f>$F$6</f>
        <v>Anodized 101520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177</v>
      </c>
      <c r="M308" s="538"/>
      <c r="N308" s="540">
        <f>$K$6</f>
        <v>0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247</v>
      </c>
      <c r="M309" s="538"/>
      <c r="N309" s="543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248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249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250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251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252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253</v>
      </c>
      <c r="D316" s="538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246</v>
      </c>
      <c r="M318" s="538"/>
      <c r="N318" s="540" t="str">
        <f>$F$6</f>
        <v>Anodized 101520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177</v>
      </c>
      <c r="M319" s="538"/>
      <c r="N319" s="540">
        <f>$K$6</f>
        <v>0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247</v>
      </c>
      <c r="M320" s="538"/>
      <c r="N320" s="543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248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249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250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251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252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253</v>
      </c>
      <c r="D327" s="538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246</v>
      </c>
      <c r="M329" s="538"/>
      <c r="N329" s="540" t="str">
        <f>$F$6</f>
        <v>Anodized 101520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177</v>
      </c>
      <c r="M330" s="538"/>
      <c r="N330" s="540">
        <f>$K$6</f>
        <v>0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247</v>
      </c>
      <c r="M331" s="538"/>
      <c r="N331" s="543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248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249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250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251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252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253</v>
      </c>
      <c r="D338" s="538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246</v>
      </c>
      <c r="M340" s="538"/>
      <c r="N340" s="540" t="str">
        <f>$F$6</f>
        <v>Anodized 101520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177</v>
      </c>
      <c r="M341" s="538"/>
      <c r="N341" s="540">
        <f>$K$6</f>
        <v>0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247</v>
      </c>
      <c r="M342" s="538"/>
      <c r="N342" s="543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248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249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250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251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252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253</v>
      </c>
      <c r="D349" s="538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246</v>
      </c>
      <c r="M351" s="538"/>
      <c r="N351" s="540" t="str">
        <f>$F$6</f>
        <v>Anodized 101520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177</v>
      </c>
      <c r="M352" s="538"/>
      <c r="N352" s="540">
        <f>$K$6</f>
        <v>0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247</v>
      </c>
      <c r="M353" s="538"/>
      <c r="N353" s="543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248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249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250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251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252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253</v>
      </c>
      <c r="D360" s="538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246</v>
      </c>
      <c r="M362" s="538"/>
      <c r="N362" s="540" t="str">
        <f>$F$6</f>
        <v>Anodized 101520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177</v>
      </c>
      <c r="M363" s="538"/>
      <c r="N363" s="540">
        <f>$K$6</f>
        <v>0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247</v>
      </c>
      <c r="M364" s="538"/>
      <c r="N364" s="543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248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249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250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251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252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253</v>
      </c>
      <c r="D371" s="538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246</v>
      </c>
      <c r="M373" s="538"/>
      <c r="N373" s="540" t="str">
        <f>$F$6</f>
        <v>Anodized 101520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177</v>
      </c>
      <c r="M374" s="538"/>
      <c r="N374" s="540">
        <f>$K$6</f>
        <v>0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247</v>
      </c>
      <c r="M375" s="538"/>
      <c r="N375" s="543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248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249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250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251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252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253</v>
      </c>
      <c r="D382" s="538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246</v>
      </c>
      <c r="M384" s="538"/>
      <c r="N384" s="540" t="str">
        <f>$F$6</f>
        <v>Anodized 101520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177</v>
      </c>
      <c r="M385" s="538"/>
      <c r="N385" s="540">
        <f>$K$6</f>
        <v>0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247</v>
      </c>
      <c r="M386" s="538"/>
      <c r="N386" s="543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248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249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250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251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252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253</v>
      </c>
      <c r="D393" s="538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246</v>
      </c>
      <c r="M395" s="538"/>
      <c r="N395" s="540" t="str">
        <f>$F$6</f>
        <v>Anodized 101520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177</v>
      </c>
      <c r="M396" s="538"/>
      <c r="N396" s="540">
        <f>$K$6</f>
        <v>0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247</v>
      </c>
      <c r="M397" s="538"/>
      <c r="N397" s="543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248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249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250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251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252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253</v>
      </c>
      <c r="D404" s="538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246</v>
      </c>
      <c r="M406" s="538"/>
      <c r="N406" s="540" t="str">
        <f>$F$6</f>
        <v>Anodized 101520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177</v>
      </c>
      <c r="M407" s="538"/>
      <c r="N407" s="540">
        <f>$K$6</f>
        <v>0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247</v>
      </c>
      <c r="M408" s="538"/>
      <c r="N408" s="543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248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249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250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251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252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253</v>
      </c>
      <c r="D415" s="538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246</v>
      </c>
      <c r="M417" s="538"/>
      <c r="N417" s="540" t="str">
        <f>$F$6</f>
        <v>Anodized 101520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177</v>
      </c>
      <c r="M418" s="538"/>
      <c r="N418" s="540">
        <f>$K$6</f>
        <v>0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247</v>
      </c>
      <c r="M419" s="538"/>
      <c r="N419" s="543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248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249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250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251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252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253</v>
      </c>
      <c r="D426" s="538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246</v>
      </c>
      <c r="M428" s="538"/>
      <c r="N428" s="540" t="str">
        <f>$F$6</f>
        <v>Anodized 101520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177</v>
      </c>
      <c r="M429" s="538"/>
      <c r="N429" s="540">
        <f>$K$6</f>
        <v>0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247</v>
      </c>
      <c r="M430" s="538"/>
      <c r="N430" s="543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248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249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250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251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252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253</v>
      </c>
      <c r="D437" s="538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246</v>
      </c>
      <c r="M439" s="538"/>
      <c r="N439" s="540" t="str">
        <f>$F$6</f>
        <v>Anodized 101520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177</v>
      </c>
      <c r="M440" s="538"/>
      <c r="N440" s="540">
        <f>$K$6</f>
        <v>0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247</v>
      </c>
      <c r="M441" s="538"/>
      <c r="N441" s="543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248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249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250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251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252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253</v>
      </c>
      <c r="D448" s="538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246</v>
      </c>
      <c r="M450" s="538"/>
      <c r="N450" s="540" t="str">
        <f>$F$6</f>
        <v>Anodized 101520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177</v>
      </c>
      <c r="M451" s="538"/>
      <c r="N451" s="540">
        <f>$K$6</f>
        <v>0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247</v>
      </c>
      <c r="M452" s="538"/>
      <c r="N452" s="543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248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249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250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251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252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253</v>
      </c>
      <c r="D459" s="538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246</v>
      </c>
      <c r="M461" s="538"/>
      <c r="N461" s="540" t="str">
        <f>$F$6</f>
        <v>Anodized 101520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177</v>
      </c>
      <c r="M462" s="538"/>
      <c r="N462" s="540">
        <f>$K$6</f>
        <v>0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247</v>
      </c>
      <c r="M463" s="538"/>
      <c r="N463" s="543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248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249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250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251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252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253</v>
      </c>
      <c r="D470" s="538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246</v>
      </c>
      <c r="M472" s="538"/>
      <c r="N472" s="540" t="str">
        <f>$F$6</f>
        <v>Anodized 101520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177</v>
      </c>
      <c r="M473" s="538"/>
      <c r="N473" s="540">
        <f>$K$6</f>
        <v>0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247</v>
      </c>
      <c r="M474" s="538"/>
      <c r="N474" s="543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248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249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250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251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252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253</v>
      </c>
      <c r="D481" s="538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246</v>
      </c>
      <c r="M483" s="538"/>
      <c r="N483" s="540" t="str">
        <f>$F$6</f>
        <v>Anodized 101520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177</v>
      </c>
      <c r="M484" s="538"/>
      <c r="N484" s="540">
        <f>$K$6</f>
        <v>0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247</v>
      </c>
      <c r="M485" s="538"/>
      <c r="N485" s="543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248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249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250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251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252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253</v>
      </c>
      <c r="D492" s="538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246</v>
      </c>
      <c r="M494" s="538"/>
      <c r="N494" s="540" t="str">
        <f>$F$6</f>
        <v>Anodized 101520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177</v>
      </c>
      <c r="M495" s="538"/>
      <c r="N495" s="540">
        <f>$K$6</f>
        <v>0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247</v>
      </c>
      <c r="M496" s="538"/>
      <c r="N496" s="543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248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249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250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251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252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253</v>
      </c>
      <c r="D503" s="538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246</v>
      </c>
      <c r="M505" s="538"/>
      <c r="N505" s="540" t="str">
        <f>$F$6</f>
        <v>Anodized 101520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177</v>
      </c>
      <c r="M506" s="538"/>
      <c r="N506" s="540">
        <f>$K$6</f>
        <v>0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247</v>
      </c>
      <c r="M507" s="538"/>
      <c r="N507" s="543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248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249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250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251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252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253</v>
      </c>
      <c r="D514" s="538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246</v>
      </c>
      <c r="M516" s="538"/>
      <c r="N516" s="540" t="str">
        <f>$F$6</f>
        <v>Anodized 101520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177</v>
      </c>
      <c r="M517" s="538"/>
      <c r="N517" s="540">
        <f>$K$6</f>
        <v>0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247</v>
      </c>
      <c r="M518" s="538"/>
      <c r="N518" s="543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248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249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250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251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252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253</v>
      </c>
      <c r="D525" s="538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246</v>
      </c>
      <c r="M527" s="538"/>
      <c r="N527" s="540" t="str">
        <f>$F$6</f>
        <v>Anodized 101520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177</v>
      </c>
      <c r="M528" s="538"/>
      <c r="N528" s="540">
        <f>$K$6</f>
        <v>0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247</v>
      </c>
      <c r="M529" s="538"/>
      <c r="N529" s="543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248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249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250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251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252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253</v>
      </c>
      <c r="D536" s="538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246</v>
      </c>
      <c r="M538" s="538"/>
      <c r="N538" s="540" t="str">
        <f>$F$6</f>
        <v>Anodized 101520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177</v>
      </c>
      <c r="M539" s="538"/>
      <c r="N539" s="540">
        <f>$K$6</f>
        <v>0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247</v>
      </c>
      <c r="M540" s="538"/>
      <c r="N540" s="543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248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249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250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251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252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253</v>
      </c>
      <c r="D547" s="538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246</v>
      </c>
      <c r="M549" s="538"/>
      <c r="N549" s="540" t="str">
        <f>$F$6</f>
        <v>Anodized 101520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177</v>
      </c>
      <c r="M550" s="538"/>
      <c r="N550" s="540">
        <f>$K$6</f>
        <v>0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247</v>
      </c>
      <c r="M551" s="538"/>
      <c r="N551" s="543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248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249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250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251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252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253</v>
      </c>
      <c r="D558" s="538"/>
      <c r="E558" s="289">
        <f>'BD Team'!B59</f>
        <v>0</v>
      </c>
      <c r="F558" s="288" t="s">
        <v>254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246</v>
      </c>
      <c r="M560" s="538"/>
      <c r="N560" s="540" t="str">
        <f>$F$6</f>
        <v>Anodized 101520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177</v>
      </c>
      <c r="M561" s="538"/>
      <c r="N561" s="540">
        <f>$K$6</f>
        <v>0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247</v>
      </c>
      <c r="M562" s="538"/>
      <c r="N562" s="543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248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249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250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251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252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253</v>
      </c>
      <c r="D569" s="538"/>
      <c r="E569" s="289">
        <f>'BD Team'!B60</f>
        <v>0</v>
      </c>
      <c r="F569" s="288" t="s">
        <v>254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246</v>
      </c>
      <c r="M571" s="538"/>
      <c r="N571" s="540" t="str">
        <f>$F$6</f>
        <v>Anodized 101520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177</v>
      </c>
      <c r="M572" s="538"/>
      <c r="N572" s="540">
        <f>$K$6</f>
        <v>0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247</v>
      </c>
      <c r="M573" s="538"/>
      <c r="N573" s="543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248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249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250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251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252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253</v>
      </c>
      <c r="D580" s="538"/>
      <c r="E580" s="289">
        <f>'BD Team'!B61</f>
        <v>0</v>
      </c>
      <c r="F580" s="288" t="s">
        <v>254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246</v>
      </c>
      <c r="M582" s="538"/>
      <c r="N582" s="540" t="str">
        <f>$F$6</f>
        <v>Anodized 101520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177</v>
      </c>
      <c r="M583" s="538"/>
      <c r="N583" s="540">
        <f>$K$6</f>
        <v>0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247</v>
      </c>
      <c r="M584" s="538"/>
      <c r="N584" s="543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248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249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250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251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252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253</v>
      </c>
      <c r="D591" s="538"/>
      <c r="E591" s="289">
        <f>'BD Team'!B62</f>
        <v>0</v>
      </c>
      <c r="F591" s="288" t="s">
        <v>254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246</v>
      </c>
      <c r="M593" s="538"/>
      <c r="N593" s="540" t="str">
        <f>$F$6</f>
        <v>Anodized 101520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177</v>
      </c>
      <c r="M594" s="538"/>
      <c r="N594" s="540">
        <f>$K$6</f>
        <v>0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247</v>
      </c>
      <c r="M595" s="538"/>
      <c r="N595" s="543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248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249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250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251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252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253</v>
      </c>
      <c r="D602" s="538"/>
      <c r="E602" s="289">
        <f>'BD Team'!B63</f>
        <v>0</v>
      </c>
      <c r="F602" s="288" t="s">
        <v>254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246</v>
      </c>
      <c r="M604" s="538"/>
      <c r="N604" s="540" t="str">
        <f>$F$6</f>
        <v>Anodized 101520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177</v>
      </c>
      <c r="M605" s="538"/>
      <c r="N605" s="540">
        <f>$K$6</f>
        <v>0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247</v>
      </c>
      <c r="M606" s="538"/>
      <c r="N606" s="543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248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249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250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251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252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253</v>
      </c>
      <c r="D613" s="538"/>
      <c r="E613" s="289">
        <f>'BD Team'!B64</f>
        <v>0</v>
      </c>
      <c r="F613" s="288" t="s">
        <v>254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246</v>
      </c>
      <c r="M615" s="538"/>
      <c r="N615" s="540" t="str">
        <f>$F$6</f>
        <v>Anodized 101520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177</v>
      </c>
      <c r="M616" s="538"/>
      <c r="N616" s="540">
        <f>$K$6</f>
        <v>0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247</v>
      </c>
      <c r="M617" s="538"/>
      <c r="N617" s="543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248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249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250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251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252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253</v>
      </c>
      <c r="D624" s="538"/>
      <c r="E624" s="289">
        <f>'BD Team'!B65</f>
        <v>0</v>
      </c>
      <c r="F624" s="288" t="s">
        <v>254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246</v>
      </c>
      <c r="M626" s="538"/>
      <c r="N626" s="540" t="str">
        <f>$F$6</f>
        <v>Anodized 101520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177</v>
      </c>
      <c r="M627" s="538"/>
      <c r="N627" s="540">
        <f>$K$6</f>
        <v>0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247</v>
      </c>
      <c r="M628" s="538"/>
      <c r="N628" s="543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248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249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250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251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252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253</v>
      </c>
      <c r="D635" s="538"/>
      <c r="E635" s="289">
        <f>'BD Team'!B66</f>
        <v>0</v>
      </c>
      <c r="F635" s="288" t="s">
        <v>254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246</v>
      </c>
      <c r="M637" s="538"/>
      <c r="N637" s="540" t="str">
        <f>$F$6</f>
        <v>Anodized 101520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177</v>
      </c>
      <c r="M638" s="538"/>
      <c r="N638" s="540">
        <f>$K$6</f>
        <v>0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247</v>
      </c>
      <c r="M639" s="538"/>
      <c r="N639" s="543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248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249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250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251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252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253</v>
      </c>
      <c r="D646" s="538"/>
      <c r="E646" s="289">
        <f>'BD Team'!B67</f>
        <v>0</v>
      </c>
      <c r="F646" s="288" t="s">
        <v>254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246</v>
      </c>
      <c r="M648" s="538"/>
      <c r="N648" s="540" t="str">
        <f>$F$6</f>
        <v>Anodized 101520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177</v>
      </c>
      <c r="M649" s="538"/>
      <c r="N649" s="540">
        <f>$K$6</f>
        <v>0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247</v>
      </c>
      <c r="M650" s="538"/>
      <c r="N650" s="543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248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249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250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251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252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253</v>
      </c>
      <c r="D657" s="538"/>
      <c r="E657" s="289">
        <f>'BD Team'!B68</f>
        <v>0</v>
      </c>
      <c r="F657" s="288" t="s">
        <v>254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246</v>
      </c>
      <c r="M659" s="538"/>
      <c r="N659" s="540" t="str">
        <f>$F$6</f>
        <v>Anodized 101520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177</v>
      </c>
      <c r="M660" s="538"/>
      <c r="N660" s="540">
        <f>$K$6</f>
        <v>0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247</v>
      </c>
      <c r="M661" s="538"/>
      <c r="N661" s="543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248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249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250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251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252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253</v>
      </c>
      <c r="D668" s="538"/>
      <c r="E668" s="289">
        <f>'BD Team'!B69</f>
        <v>0</v>
      </c>
      <c r="F668" s="288" t="s">
        <v>254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246</v>
      </c>
      <c r="M670" s="538"/>
      <c r="N670" s="540" t="str">
        <f>$F$6</f>
        <v>Anodized 101520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177</v>
      </c>
      <c r="M671" s="538"/>
      <c r="N671" s="540">
        <f>$K$6</f>
        <v>0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247</v>
      </c>
      <c r="M672" s="538"/>
      <c r="N672" s="543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248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249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250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251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252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253</v>
      </c>
      <c r="D679" s="538"/>
      <c r="E679" s="289">
        <f>'BD Team'!B70</f>
        <v>0</v>
      </c>
      <c r="F679" s="288" t="s">
        <v>254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246</v>
      </c>
      <c r="M681" s="538"/>
      <c r="N681" s="540" t="str">
        <f>$F$6</f>
        <v>Anodized 101520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177</v>
      </c>
      <c r="M682" s="538"/>
      <c r="N682" s="540">
        <f>$K$6</f>
        <v>0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247</v>
      </c>
      <c r="M683" s="538"/>
      <c r="N683" s="543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248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249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250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251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252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253</v>
      </c>
      <c r="D690" s="538"/>
      <c r="E690" s="289">
        <f>'BD Team'!B71</f>
        <v>0</v>
      </c>
      <c r="F690" s="288" t="s">
        <v>254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246</v>
      </c>
      <c r="M692" s="538"/>
      <c r="N692" s="540" t="str">
        <f>$F$6</f>
        <v>Anodized 101520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177</v>
      </c>
      <c r="M693" s="538"/>
      <c r="N693" s="540">
        <f>$K$6</f>
        <v>0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247</v>
      </c>
      <c r="M694" s="538"/>
      <c r="N694" s="543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248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249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250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251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252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253</v>
      </c>
      <c r="D701" s="538"/>
      <c r="E701" s="289">
        <f>'BD Team'!B72</f>
        <v>0</v>
      </c>
      <c r="F701" s="288" t="s">
        <v>254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246</v>
      </c>
      <c r="M703" s="538"/>
      <c r="N703" s="540" t="str">
        <f>$F$6</f>
        <v>Anodized 101520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177</v>
      </c>
      <c r="M704" s="538"/>
      <c r="N704" s="540">
        <f>$K$6</f>
        <v>0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247</v>
      </c>
      <c r="M705" s="538"/>
      <c r="N705" s="543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248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249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250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251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252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253</v>
      </c>
      <c r="D712" s="538"/>
      <c r="E712" s="289">
        <f>'BD Team'!B73</f>
        <v>0</v>
      </c>
      <c r="F712" s="288" t="s">
        <v>254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246</v>
      </c>
      <c r="M714" s="538"/>
      <c r="N714" s="540" t="str">
        <f>$F$6</f>
        <v>Anodized 101520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177</v>
      </c>
      <c r="M715" s="538"/>
      <c r="N715" s="540">
        <f>$K$6</f>
        <v>0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247</v>
      </c>
      <c r="M716" s="538"/>
      <c r="N716" s="543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248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249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250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251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252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253</v>
      </c>
      <c r="D723" s="538"/>
      <c r="E723" s="289">
        <f>'BD Team'!B74</f>
        <v>0</v>
      </c>
      <c r="F723" s="288" t="s">
        <v>254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246</v>
      </c>
      <c r="M725" s="538"/>
      <c r="N725" s="540" t="str">
        <f>$F$6</f>
        <v>Anodized 101520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177</v>
      </c>
      <c r="M726" s="538"/>
      <c r="N726" s="540">
        <f>$K$6</f>
        <v>0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247</v>
      </c>
      <c r="M727" s="538"/>
      <c r="N727" s="543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248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249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250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251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252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253</v>
      </c>
      <c r="D734" s="538"/>
      <c r="E734" s="289">
        <f>'BD Team'!B75</f>
        <v>0</v>
      </c>
      <c r="F734" s="288" t="s">
        <v>254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246</v>
      </c>
      <c r="M736" s="538"/>
      <c r="N736" s="540" t="str">
        <f>$F$6</f>
        <v>Anodized 101520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177</v>
      </c>
      <c r="M737" s="538"/>
      <c r="N737" s="540">
        <f>$K$6</f>
        <v>0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247</v>
      </c>
      <c r="M738" s="538"/>
      <c r="N738" s="543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248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249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250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251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252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253</v>
      </c>
      <c r="D745" s="538"/>
      <c r="E745" s="289">
        <f>'BD Team'!B76</f>
        <v>0</v>
      </c>
      <c r="F745" s="288" t="s">
        <v>254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246</v>
      </c>
      <c r="M747" s="538"/>
      <c r="N747" s="540" t="str">
        <f>$F$6</f>
        <v>Anodized 101520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177</v>
      </c>
      <c r="M748" s="538"/>
      <c r="N748" s="540">
        <f>$K$6</f>
        <v>0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247</v>
      </c>
      <c r="M749" s="538"/>
      <c r="N749" s="543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248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249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250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251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252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253</v>
      </c>
      <c r="D756" s="538"/>
      <c r="E756" s="289">
        <f>'BD Team'!B77</f>
        <v>0</v>
      </c>
      <c r="F756" s="288" t="s">
        <v>254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246</v>
      </c>
      <c r="M758" s="538"/>
      <c r="N758" s="540" t="str">
        <f>$F$6</f>
        <v>Anodized 101520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177</v>
      </c>
      <c r="M759" s="538"/>
      <c r="N759" s="540">
        <f>$K$6</f>
        <v>0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247</v>
      </c>
      <c r="M760" s="538"/>
      <c r="N760" s="543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248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249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250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251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252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253</v>
      </c>
      <c r="D767" s="538"/>
      <c r="E767" s="289">
        <f>'BD Team'!B78</f>
        <v>0</v>
      </c>
      <c r="F767" s="288" t="s">
        <v>254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246</v>
      </c>
      <c r="M769" s="538"/>
      <c r="N769" s="540" t="str">
        <f>$F$6</f>
        <v>Anodized 101520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177</v>
      </c>
      <c r="M770" s="538"/>
      <c r="N770" s="540">
        <f>$K$6</f>
        <v>0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247</v>
      </c>
      <c r="M771" s="538"/>
      <c r="N771" s="543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248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249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250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251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252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253</v>
      </c>
      <c r="D778" s="538"/>
      <c r="E778" s="289">
        <f>'BD Team'!B79</f>
        <v>0</v>
      </c>
      <c r="F778" s="288" t="s">
        <v>254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246</v>
      </c>
      <c r="M780" s="538"/>
      <c r="N780" s="540" t="str">
        <f>$F$6</f>
        <v>Anodized 101520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177</v>
      </c>
      <c r="M781" s="538"/>
      <c r="N781" s="540">
        <f>$K$6</f>
        <v>0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247</v>
      </c>
      <c r="M782" s="538"/>
      <c r="N782" s="543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248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249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250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251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252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253</v>
      </c>
      <c r="D789" s="538"/>
      <c r="E789" s="289">
        <f>'BD Team'!B80</f>
        <v>0</v>
      </c>
      <c r="F789" s="288" t="s">
        <v>254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246</v>
      </c>
      <c r="M791" s="538"/>
      <c r="N791" s="540" t="str">
        <f>$F$6</f>
        <v>Anodized 101520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177</v>
      </c>
      <c r="M792" s="538"/>
      <c r="N792" s="540">
        <f>$K$6</f>
        <v>0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247</v>
      </c>
      <c r="M793" s="538"/>
      <c r="N793" s="543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248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249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250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251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252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253</v>
      </c>
      <c r="D800" s="538"/>
      <c r="E800" s="289">
        <f>'BD Team'!B81</f>
        <v>0</v>
      </c>
      <c r="F800" s="288" t="s">
        <v>254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246</v>
      </c>
      <c r="M802" s="538"/>
      <c r="N802" s="540" t="str">
        <f>$F$6</f>
        <v>Anodized 101520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177</v>
      </c>
      <c r="M803" s="538"/>
      <c r="N803" s="540">
        <f>$K$6</f>
        <v>0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247</v>
      </c>
      <c r="M804" s="538"/>
      <c r="N804" s="543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248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249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250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251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252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253</v>
      </c>
      <c r="D811" s="538"/>
      <c r="E811" s="289">
        <f>'BD Team'!B82</f>
        <v>0</v>
      </c>
      <c r="F811" s="288" t="s">
        <v>254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246</v>
      </c>
      <c r="M813" s="538"/>
      <c r="N813" s="540" t="str">
        <f>$F$6</f>
        <v>Anodized 101520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177</v>
      </c>
      <c r="M814" s="538"/>
      <c r="N814" s="540">
        <f>$K$6</f>
        <v>0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247</v>
      </c>
      <c r="M815" s="538"/>
      <c r="N815" s="543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248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249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250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251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252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253</v>
      </c>
      <c r="D822" s="538"/>
      <c r="E822" s="289">
        <f>'BD Team'!B83</f>
        <v>0</v>
      </c>
      <c r="F822" s="288" t="s">
        <v>254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246</v>
      </c>
      <c r="M824" s="538"/>
      <c r="N824" s="540" t="str">
        <f>$F$6</f>
        <v>Anodized 101520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177</v>
      </c>
      <c r="M825" s="538"/>
      <c r="N825" s="540">
        <f>$K$6</f>
        <v>0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247</v>
      </c>
      <c r="M826" s="538"/>
      <c r="N826" s="543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248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249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250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251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252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253</v>
      </c>
      <c r="D833" s="538"/>
      <c r="E833" s="289">
        <f>'BD Team'!B84</f>
        <v>0</v>
      </c>
      <c r="F833" s="288" t="s">
        <v>254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246</v>
      </c>
      <c r="M835" s="538"/>
      <c r="N835" s="540" t="str">
        <f>$F$6</f>
        <v>Anodized 101520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177</v>
      </c>
      <c r="M836" s="538"/>
      <c r="N836" s="540">
        <f>$K$6</f>
        <v>0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247</v>
      </c>
      <c r="M837" s="538"/>
      <c r="N837" s="543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248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249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250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251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252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253</v>
      </c>
      <c r="D844" s="538"/>
      <c r="E844" s="289">
        <f>'BD Team'!B85</f>
        <v>0</v>
      </c>
      <c r="F844" s="288" t="s">
        <v>254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246</v>
      </c>
      <c r="M846" s="538"/>
      <c r="N846" s="540" t="str">
        <f>$F$6</f>
        <v>Anodized 101520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177</v>
      </c>
      <c r="M847" s="538"/>
      <c r="N847" s="540">
        <f>$K$6</f>
        <v>0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247</v>
      </c>
      <c r="M848" s="538"/>
      <c r="N848" s="543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248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249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250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251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252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253</v>
      </c>
      <c r="D855" s="538"/>
      <c r="E855" s="289">
        <f>'BD Team'!B86</f>
        <v>0</v>
      </c>
      <c r="F855" s="288" t="s">
        <v>254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246</v>
      </c>
      <c r="M857" s="538"/>
      <c r="N857" s="540" t="str">
        <f>$F$6</f>
        <v>Anodized 101520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177</v>
      </c>
      <c r="M858" s="538"/>
      <c r="N858" s="540">
        <f>$K$6</f>
        <v>0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247</v>
      </c>
      <c r="M859" s="538"/>
      <c r="N859" s="543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248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249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250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251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252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253</v>
      </c>
      <c r="D866" s="538"/>
      <c r="E866" s="289">
        <f>'BD Team'!B87</f>
        <v>0</v>
      </c>
      <c r="F866" s="288" t="s">
        <v>254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246</v>
      </c>
      <c r="M868" s="538"/>
      <c r="N868" s="540" t="str">
        <f>$F$6</f>
        <v>Anodized 101520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177</v>
      </c>
      <c r="M869" s="538"/>
      <c r="N869" s="540">
        <f>$K$6</f>
        <v>0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247</v>
      </c>
      <c r="M870" s="538"/>
      <c r="N870" s="543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248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249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250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251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252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253</v>
      </c>
      <c r="D877" s="538"/>
      <c r="E877" s="289">
        <f>'BD Team'!B88</f>
        <v>0</v>
      </c>
      <c r="F877" s="288" t="s">
        <v>254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246</v>
      </c>
      <c r="M879" s="538"/>
      <c r="N879" s="540" t="str">
        <f>$F$6</f>
        <v>Anodized 101520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177</v>
      </c>
      <c r="M880" s="538"/>
      <c r="N880" s="540">
        <f>$K$6</f>
        <v>0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247</v>
      </c>
      <c r="M881" s="538"/>
      <c r="N881" s="543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248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249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250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251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252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253</v>
      </c>
      <c r="D888" s="538"/>
      <c r="E888" s="289">
        <f>'BD Team'!B89</f>
        <v>0</v>
      </c>
      <c r="F888" s="288" t="s">
        <v>254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246</v>
      </c>
      <c r="M890" s="538"/>
      <c r="N890" s="540" t="str">
        <f>$F$6</f>
        <v>Anodized 101520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177</v>
      </c>
      <c r="M891" s="538"/>
      <c r="N891" s="540">
        <f>$K$6</f>
        <v>0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247</v>
      </c>
      <c r="M892" s="538"/>
      <c r="N892" s="543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248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249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250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251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252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253</v>
      </c>
      <c r="D899" s="538"/>
      <c r="E899" s="289">
        <f>'BD Team'!B90</f>
        <v>0</v>
      </c>
      <c r="F899" s="288" t="s">
        <v>254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246</v>
      </c>
      <c r="M901" s="538"/>
      <c r="N901" s="540" t="str">
        <f>$F$6</f>
        <v>Anodized 101520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177</v>
      </c>
      <c r="M902" s="538"/>
      <c r="N902" s="540">
        <f>$K$6</f>
        <v>0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247</v>
      </c>
      <c r="M903" s="538"/>
      <c r="N903" s="543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248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249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250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251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252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253</v>
      </c>
      <c r="D910" s="538"/>
      <c r="E910" s="289">
        <f>'BD Team'!B91</f>
        <v>0</v>
      </c>
      <c r="F910" s="288" t="s">
        <v>254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246</v>
      </c>
      <c r="M912" s="538"/>
      <c r="N912" s="540" t="str">
        <f>$F$6</f>
        <v>Anodized 101520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177</v>
      </c>
      <c r="M913" s="538"/>
      <c r="N913" s="540">
        <f>$K$6</f>
        <v>0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247</v>
      </c>
      <c r="M914" s="538"/>
      <c r="N914" s="543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248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249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250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251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252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253</v>
      </c>
      <c r="D921" s="538"/>
      <c r="E921" s="289">
        <f>'BD Team'!B92</f>
        <v>0</v>
      </c>
      <c r="F921" s="288" t="s">
        <v>254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246</v>
      </c>
      <c r="M923" s="538"/>
      <c r="N923" s="540" t="str">
        <f>$F$6</f>
        <v>Anodized 101520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177</v>
      </c>
      <c r="M924" s="538"/>
      <c r="N924" s="540">
        <f>$K$6</f>
        <v>0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247</v>
      </c>
      <c r="M925" s="538"/>
      <c r="N925" s="543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248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249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250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251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252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253</v>
      </c>
      <c r="D932" s="538"/>
      <c r="E932" s="289">
        <f>'BD Team'!B93</f>
        <v>0</v>
      </c>
      <c r="F932" s="288" t="s">
        <v>254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246</v>
      </c>
      <c r="M934" s="538"/>
      <c r="N934" s="540" t="str">
        <f>$F$6</f>
        <v>Anodized 101520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177</v>
      </c>
      <c r="M935" s="538"/>
      <c r="N935" s="540">
        <f>$K$6</f>
        <v>0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247</v>
      </c>
      <c r="M936" s="538"/>
      <c r="N936" s="543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248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249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250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251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252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253</v>
      </c>
      <c r="D943" s="538"/>
      <c r="E943" s="289">
        <f>'BD Team'!B94</f>
        <v>0</v>
      </c>
      <c r="F943" s="288" t="s">
        <v>254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246</v>
      </c>
      <c r="M945" s="538"/>
      <c r="N945" s="540" t="str">
        <f>$F$6</f>
        <v>Anodized 101520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177</v>
      </c>
      <c r="M946" s="538"/>
      <c r="N946" s="540">
        <f>$K$6</f>
        <v>0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247</v>
      </c>
      <c r="M947" s="538"/>
      <c r="N947" s="543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248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249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250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251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252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253</v>
      </c>
      <c r="D954" s="538"/>
      <c r="E954" s="289">
        <f>'BD Team'!B95</f>
        <v>0</v>
      </c>
      <c r="F954" s="288" t="s">
        <v>254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246</v>
      </c>
      <c r="M956" s="538"/>
      <c r="N956" s="540" t="str">
        <f>$F$6</f>
        <v>Anodized 101520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177</v>
      </c>
      <c r="M957" s="538"/>
      <c r="N957" s="540">
        <f>$K$6</f>
        <v>0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247</v>
      </c>
      <c r="M958" s="538"/>
      <c r="N958" s="543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248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249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250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251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252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253</v>
      </c>
      <c r="D965" s="538"/>
      <c r="E965" s="289">
        <f>'BD Team'!B96</f>
        <v>0</v>
      </c>
      <c r="F965" s="288" t="s">
        <v>254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246</v>
      </c>
      <c r="M967" s="538"/>
      <c r="N967" s="540" t="str">
        <f>$F$6</f>
        <v>Anodized 101520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177</v>
      </c>
      <c r="M968" s="538"/>
      <c r="N968" s="540">
        <f>$K$6</f>
        <v>0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247</v>
      </c>
      <c r="M969" s="538"/>
      <c r="N969" s="543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248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249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250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251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252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253</v>
      </c>
      <c r="D976" s="538"/>
      <c r="E976" s="289">
        <f>'BD Team'!B97</f>
        <v>0</v>
      </c>
      <c r="F976" s="288" t="s">
        <v>254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246</v>
      </c>
      <c r="M978" s="538"/>
      <c r="N978" s="540" t="str">
        <f>$F$6</f>
        <v>Anodized 101520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177</v>
      </c>
      <c r="M979" s="538"/>
      <c r="N979" s="540">
        <f>$K$6</f>
        <v>0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247</v>
      </c>
      <c r="M980" s="538"/>
      <c r="N980" s="543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248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249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250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251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252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253</v>
      </c>
      <c r="D987" s="538"/>
      <c r="E987" s="289">
        <f>'BD Team'!B98</f>
        <v>0</v>
      </c>
      <c r="F987" s="288" t="s">
        <v>254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246</v>
      </c>
      <c r="M989" s="538"/>
      <c r="N989" s="540" t="str">
        <f>$F$6</f>
        <v>Anodized 101520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177</v>
      </c>
      <c r="M990" s="538"/>
      <c r="N990" s="540">
        <f>$K$6</f>
        <v>0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247</v>
      </c>
      <c r="M991" s="538"/>
      <c r="N991" s="543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248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249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250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251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252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253</v>
      </c>
      <c r="D998" s="538"/>
      <c r="E998" s="289">
        <f>'BD Team'!B99</f>
        <v>0</v>
      </c>
      <c r="F998" s="288" t="s">
        <v>254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246</v>
      </c>
      <c r="M1000" s="538"/>
      <c r="N1000" s="540" t="str">
        <f>$F$6</f>
        <v>Anodized 101520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177</v>
      </c>
      <c r="M1001" s="538"/>
      <c r="N1001" s="540">
        <f>$K$6</f>
        <v>0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247</v>
      </c>
      <c r="M1002" s="538"/>
      <c r="N1002" s="543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248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249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250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251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252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253</v>
      </c>
      <c r="D1009" s="538"/>
      <c r="E1009" s="289">
        <f>'BD Team'!B100</f>
        <v>0</v>
      </c>
      <c r="F1009" s="288" t="s">
        <v>254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246</v>
      </c>
      <c r="M1011" s="538"/>
      <c r="N1011" s="540" t="str">
        <f>$F$6</f>
        <v>Anodized 101520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177</v>
      </c>
      <c r="M1012" s="538"/>
      <c r="N1012" s="540">
        <f>$K$6</f>
        <v>0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247</v>
      </c>
      <c r="M1013" s="538"/>
      <c r="N1013" s="543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248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249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250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251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252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253</v>
      </c>
      <c r="D1020" s="538"/>
      <c r="E1020" s="289">
        <f>'BD Team'!B101</f>
        <v>0</v>
      </c>
      <c r="F1020" s="288" t="s">
        <v>254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246</v>
      </c>
      <c r="M1022" s="538"/>
      <c r="N1022" s="540" t="str">
        <f>$F$6</f>
        <v>Anodized 101520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177</v>
      </c>
      <c r="M1023" s="538"/>
      <c r="N1023" s="540">
        <f>$K$6</f>
        <v>0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247</v>
      </c>
      <c r="M1024" s="538"/>
      <c r="N1024" s="543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248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249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250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251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252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253</v>
      </c>
      <c r="D1031" s="538"/>
      <c r="E1031" s="289">
        <f>'BD Team'!B102</f>
        <v>0</v>
      </c>
      <c r="F1031" s="288" t="s">
        <v>254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246</v>
      </c>
      <c r="M1033" s="538"/>
      <c r="N1033" s="540" t="str">
        <f>$F$6</f>
        <v>Anodized 101520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177</v>
      </c>
      <c r="M1034" s="538"/>
      <c r="N1034" s="540">
        <f>$K$6</f>
        <v>0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247</v>
      </c>
      <c r="M1035" s="538"/>
      <c r="N1035" s="543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248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249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250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251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252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253</v>
      </c>
      <c r="D1042" s="538"/>
      <c r="E1042" s="289">
        <f>'BD Team'!B103</f>
        <v>0</v>
      </c>
      <c r="F1042" s="288" t="s">
        <v>254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246</v>
      </c>
      <c r="M1044" s="538"/>
      <c r="N1044" s="540" t="str">
        <f>$F$6</f>
        <v>Anodized 101520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177</v>
      </c>
      <c r="M1045" s="538"/>
      <c r="N1045" s="540">
        <f>$K$6</f>
        <v>0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247</v>
      </c>
      <c r="M1046" s="538"/>
      <c r="N1046" s="543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248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249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250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251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252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253</v>
      </c>
      <c r="D1053" s="538"/>
      <c r="E1053" s="289">
        <f>'BD Team'!B104</f>
        <v>0</v>
      </c>
      <c r="F1053" s="288" t="s">
        <v>254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246</v>
      </c>
      <c r="M1055" s="538"/>
      <c r="N1055" s="540" t="str">
        <f>$F$6</f>
        <v>Anodized 101520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177</v>
      </c>
      <c r="M1056" s="538"/>
      <c r="N1056" s="540">
        <f>$K$6</f>
        <v>0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247</v>
      </c>
      <c r="M1057" s="538"/>
      <c r="N1057" s="543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248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249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250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251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252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253</v>
      </c>
      <c r="D1064" s="538"/>
      <c r="E1064" s="289">
        <f>'BD Team'!B105</f>
        <v>0</v>
      </c>
      <c r="F1064" s="288" t="s">
        <v>254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246</v>
      </c>
      <c r="M1066" s="538"/>
      <c r="N1066" s="540" t="str">
        <f>$F$6</f>
        <v>Anodized 101520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177</v>
      </c>
      <c r="M1067" s="538"/>
      <c r="N1067" s="540">
        <f>$K$6</f>
        <v>0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247</v>
      </c>
      <c r="M1068" s="538"/>
      <c r="N1068" s="543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248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249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250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251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252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253</v>
      </c>
      <c r="D1075" s="538"/>
      <c r="E1075" s="289">
        <f>'BD Team'!B106</f>
        <v>0</v>
      </c>
      <c r="F1075" s="288" t="s">
        <v>254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246</v>
      </c>
      <c r="M1077" s="538"/>
      <c r="N1077" s="540" t="str">
        <f>$F$6</f>
        <v>Anodized 101520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177</v>
      </c>
      <c r="M1078" s="538"/>
      <c r="N1078" s="540">
        <f>$K$6</f>
        <v>0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247</v>
      </c>
      <c r="M1079" s="538"/>
      <c r="N1079" s="543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248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249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250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251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252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253</v>
      </c>
      <c r="D1086" s="538"/>
      <c r="E1086" s="289">
        <f>'BD Team'!B107</f>
        <v>0</v>
      </c>
      <c r="F1086" s="288" t="s">
        <v>254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246</v>
      </c>
      <c r="M1088" s="538"/>
      <c r="N1088" s="540" t="str">
        <f>$F$6</f>
        <v>Anodized 101520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177</v>
      </c>
      <c r="M1089" s="538"/>
      <c r="N1089" s="540">
        <f>$K$6</f>
        <v>0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247</v>
      </c>
      <c r="M1090" s="538"/>
      <c r="N1090" s="543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248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249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250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251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252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253</v>
      </c>
      <c r="D1097" s="538"/>
      <c r="E1097" s="289">
        <f>'BD Team'!B108</f>
        <v>0</v>
      </c>
      <c r="F1097" s="288" t="s">
        <v>254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246</v>
      </c>
      <c r="M1099" s="538"/>
      <c r="N1099" s="540" t="str">
        <f>$F$6</f>
        <v>Anodized 101520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177</v>
      </c>
      <c r="M1100" s="538"/>
      <c r="N1100" s="540">
        <f>$K$6</f>
        <v>0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247</v>
      </c>
      <c r="M1101" s="538"/>
      <c r="N1101" s="543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248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249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250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251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252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6" t="str">
        <f>CONCATENATE(C10,"+",C11,"+",C12,"+",C13,"+",C14)</f>
        <v>8mm CTG+28MM+10MM CTG++</v>
      </c>
      <c r="C9" s="557"/>
      <c r="D9" s="557"/>
      <c r="E9" s="557"/>
      <c r="F9" s="557"/>
      <c r="G9" t="s">
        <v>262</v>
      </c>
      <c r="H9">
        <f>E24</f>
        <v>4250.4134400000003</v>
      </c>
      <c r="J9" s="556" t="str">
        <f>CONCATENATE(K10,"+",K11,"+",K12,"+",K13,"+",K14)</f>
        <v>8mm CTG+28MM+10MM CTG++</v>
      </c>
      <c r="K9" s="557"/>
      <c r="L9" s="557"/>
      <c r="M9" s="557"/>
      <c r="N9" s="557"/>
      <c r="P9" s="556" t="str">
        <f>CONCATENATE(Q10,"+",Q11,"+",Q12,"+",Q13,"+",Q14)</f>
        <v>8mm CTG+12MM+8MM CTG++</v>
      </c>
      <c r="Q9" s="557"/>
      <c r="R9" s="557"/>
      <c r="S9" s="557"/>
      <c r="T9" s="557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8" t="s">
        <v>102</v>
      </c>
      <c r="C19" s="558"/>
      <c r="D19" s="558"/>
      <c r="E19" s="107">
        <f>SUM(E10:E18)</f>
        <v>3339</v>
      </c>
      <c r="F19" s="107"/>
      <c r="J19" s="558" t="s">
        <v>102</v>
      </c>
      <c r="K19" s="558"/>
      <c r="L19" s="558"/>
      <c r="M19" s="233">
        <f>SUM(M10:M18)</f>
        <v>3339</v>
      </c>
      <c r="N19" s="233"/>
      <c r="P19" s="558" t="s">
        <v>102</v>
      </c>
      <c r="Q19" s="558"/>
      <c r="R19" s="558"/>
      <c r="S19" s="233">
        <f>SUM(S10:S18)</f>
        <v>3129</v>
      </c>
      <c r="T19" s="233"/>
    </row>
    <row r="20" spans="2:20" ht="15">
      <c r="B20" s="554" t="s">
        <v>87</v>
      </c>
      <c r="C20" s="553"/>
      <c r="D20" s="106">
        <v>0.02</v>
      </c>
      <c r="E20" s="105">
        <f>E19*D20</f>
        <v>66.78</v>
      </c>
      <c r="F20" s="105"/>
      <c r="J20" s="554" t="s">
        <v>87</v>
      </c>
      <c r="K20" s="553"/>
      <c r="L20" s="106">
        <v>0.02</v>
      </c>
      <c r="M20" s="230">
        <f>M19*L20</f>
        <v>66.78</v>
      </c>
      <c r="N20" s="230"/>
      <c r="P20" s="554" t="s">
        <v>87</v>
      </c>
      <c r="Q20" s="553"/>
      <c r="R20" s="106">
        <v>0.02</v>
      </c>
      <c r="S20" s="230">
        <f>S19*R20</f>
        <v>62.58</v>
      </c>
      <c r="T20" s="230"/>
    </row>
    <row r="21" spans="2:20" ht="15">
      <c r="B21" s="553" t="s">
        <v>122</v>
      </c>
      <c r="C21" s="553"/>
      <c r="D21" s="106">
        <v>0.04</v>
      </c>
      <c r="E21" s="105">
        <f>SUM(E19:E20)*D21</f>
        <v>136.2312</v>
      </c>
      <c r="F21" s="105"/>
      <c r="J21" s="553" t="s">
        <v>122</v>
      </c>
      <c r="K21" s="553"/>
      <c r="L21" s="106">
        <v>0.04</v>
      </c>
      <c r="M21" s="230">
        <f>SUM(M19:M20)*L21</f>
        <v>136.2312</v>
      </c>
      <c r="N21" s="230"/>
      <c r="P21" s="553" t="s">
        <v>122</v>
      </c>
      <c r="Q21" s="553"/>
      <c r="R21" s="106">
        <v>0.04</v>
      </c>
      <c r="S21" s="230">
        <f>SUM(S19:S20)*R21</f>
        <v>127.6632</v>
      </c>
      <c r="T21" s="230"/>
    </row>
    <row r="22" spans="2:20" ht="15">
      <c r="B22" s="553" t="s">
        <v>4</v>
      </c>
      <c r="C22" s="553"/>
      <c r="D22" s="106">
        <v>0.2</v>
      </c>
      <c r="E22" s="124">
        <f>SUM(E19:E21)*D22</f>
        <v>708.40224000000012</v>
      </c>
      <c r="F22" s="124"/>
      <c r="J22" s="553" t="s">
        <v>4</v>
      </c>
      <c r="K22" s="553"/>
      <c r="L22" s="106">
        <v>0.2</v>
      </c>
      <c r="M22" s="230">
        <f>SUM(M19:M21)*L22</f>
        <v>708.40224000000012</v>
      </c>
      <c r="N22" s="230"/>
      <c r="P22" s="553" t="s">
        <v>4</v>
      </c>
      <c r="Q22" s="553"/>
      <c r="R22" s="106">
        <v>0.2</v>
      </c>
      <c r="S22" s="230">
        <f>SUM(S19:S21)*R22</f>
        <v>663.84864000000005</v>
      </c>
      <c r="T22" s="230"/>
    </row>
    <row r="23" spans="2:20" ht="15">
      <c r="B23" s="554" t="s">
        <v>128</v>
      </c>
      <c r="C23" s="553"/>
      <c r="D23" s="106">
        <v>0</v>
      </c>
      <c r="E23" s="105">
        <f>SUM(E19:E22)*D23</f>
        <v>0</v>
      </c>
      <c r="F23" s="105"/>
      <c r="J23" s="554" t="s">
        <v>128</v>
      </c>
      <c r="K23" s="553"/>
      <c r="L23" s="106">
        <v>0</v>
      </c>
      <c r="M23" s="230">
        <f>SUM(M19:M22)*L23</f>
        <v>0</v>
      </c>
      <c r="N23" s="230"/>
      <c r="P23" s="554" t="s">
        <v>128</v>
      </c>
      <c r="Q23" s="553"/>
      <c r="R23" s="106">
        <v>0</v>
      </c>
      <c r="S23" s="230">
        <f>SUM(S19:S22)*R23</f>
        <v>0</v>
      </c>
      <c r="T23" s="230"/>
    </row>
    <row r="24" spans="2:20" ht="15">
      <c r="B24" s="555" t="s">
        <v>123</v>
      </c>
      <c r="C24" s="555"/>
      <c r="D24" s="555"/>
      <c r="E24" s="108">
        <f>SUM(E19:E23)</f>
        <v>4250.4134400000003</v>
      </c>
      <c r="F24" s="109" t="s">
        <v>124</v>
      </c>
      <c r="J24" s="555" t="s">
        <v>123</v>
      </c>
      <c r="K24" s="555"/>
      <c r="L24" s="555"/>
      <c r="M24" s="108">
        <f>SUM(M19:M23)</f>
        <v>4250.4134400000003</v>
      </c>
      <c r="N24" s="232" t="s">
        <v>124</v>
      </c>
      <c r="P24" s="555" t="s">
        <v>123</v>
      </c>
      <c r="Q24" s="555"/>
      <c r="R24" s="555"/>
      <c r="S24" s="108">
        <f>SUM(S19:S23)</f>
        <v>3983.09184</v>
      </c>
      <c r="T24" s="232" t="s">
        <v>124</v>
      </c>
    </row>
    <row r="25" spans="2:20" ht="15">
      <c r="B25" s="553"/>
      <c r="C25" s="553"/>
      <c r="D25" s="105"/>
      <c r="E25" s="110">
        <f>E24/10.764</f>
        <v>394.87304347826091</v>
      </c>
      <c r="F25" s="111" t="s">
        <v>125</v>
      </c>
      <c r="J25" s="553"/>
      <c r="K25" s="553"/>
      <c r="L25" s="230"/>
      <c r="M25" s="110">
        <f>M24/10.764</f>
        <v>394.87304347826091</v>
      </c>
      <c r="N25" s="111" t="s">
        <v>125</v>
      </c>
      <c r="P25" s="553"/>
      <c r="Q25" s="553"/>
      <c r="R25" s="230"/>
      <c r="S25" s="110">
        <f>S24/10.764</f>
        <v>370.03826086956525</v>
      </c>
      <c r="T25" s="111" t="s">
        <v>125</v>
      </c>
    </row>
    <row r="28" spans="2:20" ht="15">
      <c r="B28" s="556" t="str">
        <f>CONCATENATE(C29,"+",C30,"+",C31,"+",C32,"+",C33)</f>
        <v>6mm CTG+12MM+6mm CTG++</v>
      </c>
      <c r="C28" s="557"/>
      <c r="D28" s="557"/>
      <c r="E28" s="557"/>
      <c r="F28" s="557"/>
      <c r="J28" s="556" t="str">
        <f>CONCATENATE(K29,"+",K30,"+",K31,"+",K32,"+",K33)</f>
        <v>6mm CTG+12MM+6mm CTG++</v>
      </c>
      <c r="K28" s="557"/>
      <c r="L28" s="557"/>
      <c r="M28" s="557"/>
      <c r="N28" s="557"/>
      <c r="P28" s="556" t="str">
        <f>CONCATENATE(Q29,"+",Q30,"+",Q31,"+",Q32,"+",Q33)</f>
        <v>8mm CTG+1.52mm pvb+8MM CTG++</v>
      </c>
      <c r="Q28" s="557"/>
      <c r="R28" s="557"/>
      <c r="S28" s="557"/>
      <c r="T28" s="557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8" t="s">
        <v>102</v>
      </c>
      <c r="C38" s="558"/>
      <c r="D38" s="558"/>
      <c r="E38" s="224">
        <f>SUM(E29:E37)</f>
        <v>2625</v>
      </c>
      <c r="F38" s="224"/>
      <c r="J38" s="558" t="s">
        <v>102</v>
      </c>
      <c r="K38" s="558"/>
      <c r="L38" s="558"/>
      <c r="M38" s="233">
        <f>SUM(M29:M37)</f>
        <v>3412.5</v>
      </c>
      <c r="N38" s="233"/>
      <c r="P38" s="558" t="s">
        <v>102</v>
      </c>
      <c r="Q38" s="558"/>
      <c r="R38" s="558"/>
      <c r="S38" s="233">
        <f>SUM(S29:S37)</f>
        <v>4179</v>
      </c>
      <c r="T38" s="233"/>
    </row>
    <row r="39" spans="2:20" ht="15">
      <c r="B39" s="554" t="s">
        <v>87</v>
      </c>
      <c r="C39" s="553"/>
      <c r="D39" s="106">
        <v>0.02</v>
      </c>
      <c r="E39" s="221">
        <f>E38*D39</f>
        <v>52.5</v>
      </c>
      <c r="F39" s="221"/>
      <c r="J39" s="554" t="s">
        <v>87</v>
      </c>
      <c r="K39" s="553"/>
      <c r="L39" s="106">
        <v>0.02</v>
      </c>
      <c r="M39" s="230">
        <f>M38*L39</f>
        <v>68.25</v>
      </c>
      <c r="N39" s="230"/>
      <c r="P39" s="554" t="s">
        <v>87</v>
      </c>
      <c r="Q39" s="553"/>
      <c r="R39" s="106">
        <v>0.02</v>
      </c>
      <c r="S39" s="230">
        <f>S38*R39</f>
        <v>83.58</v>
      </c>
      <c r="T39" s="230"/>
    </row>
    <row r="40" spans="2:20" ht="15">
      <c r="B40" s="553" t="s">
        <v>122</v>
      </c>
      <c r="C40" s="553"/>
      <c r="D40" s="106">
        <v>0.04</v>
      </c>
      <c r="E40" s="221">
        <f>SUM(E38:E39)*D40</f>
        <v>107.10000000000001</v>
      </c>
      <c r="F40" s="221"/>
      <c r="J40" s="553" t="s">
        <v>122</v>
      </c>
      <c r="K40" s="553"/>
      <c r="L40" s="106">
        <v>0.04</v>
      </c>
      <c r="M40" s="230">
        <f>SUM(M38:M39)*L40</f>
        <v>139.22999999999999</v>
      </c>
      <c r="N40" s="230"/>
      <c r="P40" s="553" t="s">
        <v>122</v>
      </c>
      <c r="Q40" s="553"/>
      <c r="R40" s="106">
        <v>0.04</v>
      </c>
      <c r="S40" s="230">
        <f>SUM(S38:S39)*R40</f>
        <v>170.50319999999999</v>
      </c>
      <c r="T40" s="230"/>
    </row>
    <row r="41" spans="2:20" ht="15">
      <c r="B41" s="553" t="s">
        <v>4</v>
      </c>
      <c r="C41" s="553"/>
      <c r="D41" s="106">
        <v>0.2</v>
      </c>
      <c r="E41" s="221">
        <f>SUM(E38:E40)*D41</f>
        <v>556.91999999999996</v>
      </c>
      <c r="F41" s="221"/>
      <c r="J41" s="553" t="s">
        <v>4</v>
      </c>
      <c r="K41" s="553"/>
      <c r="L41" s="106">
        <v>0.2</v>
      </c>
      <c r="M41" s="230">
        <f>SUM(M38:M40)*L41</f>
        <v>723.99600000000009</v>
      </c>
      <c r="N41" s="230"/>
      <c r="P41" s="553" t="s">
        <v>4</v>
      </c>
      <c r="Q41" s="553"/>
      <c r="R41" s="106">
        <v>0.2</v>
      </c>
      <c r="S41" s="230">
        <f>SUM(S38:S40)*R41</f>
        <v>886.61664000000007</v>
      </c>
      <c r="T41" s="230"/>
    </row>
    <row r="42" spans="2:20" ht="15">
      <c r="B42" s="554" t="s">
        <v>128</v>
      </c>
      <c r="C42" s="553"/>
      <c r="D42" s="106">
        <v>0</v>
      </c>
      <c r="E42" s="221">
        <f>SUM(E38:E41)*D42</f>
        <v>0</v>
      </c>
      <c r="F42" s="221"/>
      <c r="J42" s="554" t="s">
        <v>128</v>
      </c>
      <c r="K42" s="553"/>
      <c r="L42" s="106">
        <v>0</v>
      </c>
      <c r="M42" s="230">
        <f>SUM(M38:M41)*L42</f>
        <v>0</v>
      </c>
      <c r="N42" s="230"/>
      <c r="P42" s="554" t="s">
        <v>128</v>
      </c>
      <c r="Q42" s="553"/>
      <c r="R42" s="106">
        <v>0</v>
      </c>
      <c r="S42" s="230">
        <f>SUM(S38:S41)*R42</f>
        <v>0</v>
      </c>
      <c r="T42" s="230"/>
    </row>
    <row r="43" spans="2:20" ht="15">
      <c r="B43" s="555" t="s">
        <v>123</v>
      </c>
      <c r="C43" s="555"/>
      <c r="D43" s="555"/>
      <c r="E43" s="108">
        <f>SUM(E38:E42)</f>
        <v>3341.52</v>
      </c>
      <c r="F43" s="223" t="s">
        <v>124</v>
      </c>
      <c r="J43" s="555" t="s">
        <v>123</v>
      </c>
      <c r="K43" s="555"/>
      <c r="L43" s="555"/>
      <c r="M43" s="108">
        <f>SUM(M38:M42)</f>
        <v>4343.9760000000006</v>
      </c>
      <c r="N43" s="232" t="s">
        <v>124</v>
      </c>
      <c r="P43" s="555" t="s">
        <v>123</v>
      </c>
      <c r="Q43" s="555"/>
      <c r="R43" s="555"/>
      <c r="S43" s="108">
        <f>SUM(S38:S42)</f>
        <v>5319.6998400000002</v>
      </c>
      <c r="T43" s="232" t="s">
        <v>124</v>
      </c>
    </row>
    <row r="44" spans="2:20" ht="15">
      <c r="B44" s="553"/>
      <c r="C44" s="553"/>
      <c r="D44" s="221"/>
      <c r="E44" s="110">
        <f>E43/10.764</f>
        <v>310.43478260869568</v>
      </c>
      <c r="F44" s="111" t="s">
        <v>125</v>
      </c>
      <c r="J44" s="553"/>
      <c r="K44" s="553"/>
      <c r="L44" s="230"/>
      <c r="M44" s="110">
        <f>M43/10.764</f>
        <v>403.56521739130443</v>
      </c>
      <c r="N44" s="111" t="s">
        <v>125</v>
      </c>
      <c r="P44" s="553"/>
      <c r="Q44" s="553"/>
      <c r="R44" s="230"/>
      <c r="S44" s="110">
        <f>S43/10.764</f>
        <v>494.21217391304356</v>
      </c>
      <c r="T44" s="111" t="s">
        <v>125</v>
      </c>
    </row>
    <row r="46" spans="2:20" ht="15">
      <c r="B46" s="556" t="str">
        <f>CONCATENATE(C47,"+",C48,"+",C49,"+",C50,"+",C51)</f>
        <v>6mm CTG+10MM+5mm CTG++</v>
      </c>
      <c r="C46" s="557"/>
      <c r="D46" s="557"/>
      <c r="E46" s="557"/>
      <c r="F46" s="557"/>
      <c r="J46" s="556" t="str">
        <f>CONCATENATE(K47,"+",K48,"+",K49,"+",K50,"+",K51)</f>
        <v>6mm CTG+10MM+5mm CTG++</v>
      </c>
      <c r="K46" s="557"/>
      <c r="L46" s="557"/>
      <c r="M46" s="557"/>
      <c r="N46" s="557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8" t="s">
        <v>102</v>
      </c>
      <c r="C56" s="558"/>
      <c r="D56" s="558"/>
      <c r="E56" s="224">
        <f>SUM(E47:E55)</f>
        <v>2572.5</v>
      </c>
      <c r="F56" s="224"/>
      <c r="J56" s="558" t="s">
        <v>102</v>
      </c>
      <c r="K56" s="558"/>
      <c r="L56" s="558"/>
      <c r="M56" s="233">
        <f>SUM(M47:M55)</f>
        <v>3360</v>
      </c>
      <c r="N56" s="233"/>
    </row>
    <row r="57" spans="2:14" ht="15">
      <c r="B57" s="554" t="s">
        <v>87</v>
      </c>
      <c r="C57" s="553"/>
      <c r="D57" s="106">
        <v>0.02</v>
      </c>
      <c r="E57" s="221">
        <f>E56*D57</f>
        <v>51.45</v>
      </c>
      <c r="F57" s="221"/>
      <c r="J57" s="554" t="s">
        <v>87</v>
      </c>
      <c r="K57" s="553"/>
      <c r="L57" s="106">
        <v>0.02</v>
      </c>
      <c r="M57" s="230">
        <f>M56*L57</f>
        <v>67.2</v>
      </c>
      <c r="N57" s="230"/>
    </row>
    <row r="58" spans="2:14" ht="15">
      <c r="B58" s="553" t="s">
        <v>122</v>
      </c>
      <c r="C58" s="553"/>
      <c r="D58" s="106">
        <v>0.04</v>
      </c>
      <c r="E58" s="221">
        <f>SUM(E56:E57)*D58</f>
        <v>104.958</v>
      </c>
      <c r="F58" s="221"/>
      <c r="J58" s="553" t="s">
        <v>122</v>
      </c>
      <c r="K58" s="553"/>
      <c r="L58" s="106">
        <v>0.04</v>
      </c>
      <c r="M58" s="230">
        <f>SUM(M56:M57)*L58</f>
        <v>137.08799999999999</v>
      </c>
      <c r="N58" s="230"/>
    </row>
    <row r="59" spans="2:14" ht="15">
      <c r="B59" s="553" t="s">
        <v>4</v>
      </c>
      <c r="C59" s="553"/>
      <c r="D59" s="106">
        <v>0.2</v>
      </c>
      <c r="E59" s="221">
        <f>SUM(E56:E58)*D59</f>
        <v>545.78160000000003</v>
      </c>
      <c r="F59" s="221"/>
      <c r="J59" s="553" t="s">
        <v>4</v>
      </c>
      <c r="K59" s="553"/>
      <c r="L59" s="106">
        <v>0.2</v>
      </c>
      <c r="M59" s="230">
        <f>SUM(M56:M58)*L59</f>
        <v>712.85760000000005</v>
      </c>
      <c r="N59" s="230"/>
    </row>
    <row r="60" spans="2:14" ht="15">
      <c r="B60" s="554" t="s">
        <v>128</v>
      </c>
      <c r="C60" s="553"/>
      <c r="D60" s="106">
        <v>0</v>
      </c>
      <c r="E60" s="221">
        <f>SUM(E56:E59)*D60</f>
        <v>0</v>
      </c>
      <c r="F60" s="221"/>
      <c r="J60" s="554" t="s">
        <v>128</v>
      </c>
      <c r="K60" s="553"/>
      <c r="L60" s="106">
        <v>0</v>
      </c>
      <c r="M60" s="230">
        <f>SUM(M56:M59)*L60</f>
        <v>0</v>
      </c>
      <c r="N60" s="230"/>
    </row>
    <row r="61" spans="2:14" ht="15">
      <c r="B61" s="555" t="s">
        <v>123</v>
      </c>
      <c r="C61" s="555"/>
      <c r="D61" s="555"/>
      <c r="E61" s="108">
        <f>SUM(E56:E60)</f>
        <v>3274.6895999999997</v>
      </c>
      <c r="F61" s="223" t="s">
        <v>124</v>
      </c>
      <c r="J61" s="555" t="s">
        <v>123</v>
      </c>
      <c r="K61" s="555"/>
      <c r="L61" s="555"/>
      <c r="M61" s="108">
        <f>SUM(M56:M60)</f>
        <v>4277.1455999999998</v>
      </c>
      <c r="N61" s="232" t="s">
        <v>124</v>
      </c>
    </row>
    <row r="62" spans="2:14" ht="15">
      <c r="B62" s="553"/>
      <c r="C62" s="553"/>
      <c r="D62" s="221"/>
      <c r="E62" s="110">
        <f>E61/10.764</f>
        <v>304.22608695652173</v>
      </c>
      <c r="F62" s="111" t="s">
        <v>125</v>
      </c>
      <c r="J62" s="553"/>
      <c r="K62" s="553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87</v>
      </c>
    </row>
    <row r="5" spans="3:5">
      <c r="C5" s="236" t="s">
        <v>395</v>
      </c>
      <c r="D5" s="236" t="s">
        <v>393</v>
      </c>
      <c r="E5" s="309">
        <f>ROUND(Pricing!U104,0.1)/40</f>
        <v>2.6</v>
      </c>
    </row>
    <row r="6" spans="3:5">
      <c r="C6" s="236" t="s">
        <v>83</v>
      </c>
      <c r="D6" s="236" t="s">
        <v>392</v>
      </c>
      <c r="E6" s="309">
        <f>ROUND(Pricing!V104,0.1)</f>
        <v>5</v>
      </c>
    </row>
    <row r="7" spans="3:5">
      <c r="C7" s="236" t="s">
        <v>399</v>
      </c>
      <c r="D7" s="236" t="s">
        <v>391</v>
      </c>
      <c r="E7" s="309">
        <f>ROUND(Pricing!W104,0.1)</f>
        <v>87</v>
      </c>
    </row>
    <row r="8" spans="3:5">
      <c r="C8" s="236" t="s">
        <v>396</v>
      </c>
      <c r="D8" s="236" t="s">
        <v>391</v>
      </c>
      <c r="E8" s="309">
        <f>ROUND(Pricing!X104,0.1)</f>
        <v>174</v>
      </c>
    </row>
    <row r="9" spans="3:5">
      <c r="C9" t="s">
        <v>222</v>
      </c>
      <c r="D9" s="236" t="s">
        <v>394</v>
      </c>
      <c r="E9" s="309">
        <f>ROUND(Pricing!Y104,0.1)</f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"/>
  <sheetViews>
    <sheetView workbookViewId="0">
      <selection activeCell="A4" sqref="A4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SKY-1</v>
      </c>
      <c r="B2" s="318" t="str">
        <f>'BD Team'!C9</f>
        <v>M10800</v>
      </c>
      <c r="C2" s="318" t="str">
        <f>'BD Team'!D9</f>
        <v>SKYLIGHT WITH 3 FIXED GLASS</v>
      </c>
      <c r="D2" s="318" t="str">
        <f>'BD Team'!E9</f>
        <v>19.52MM</v>
      </c>
      <c r="E2" s="318" t="str">
        <f>'BD Team'!G9</f>
        <v>NA</v>
      </c>
      <c r="F2" s="318" t="str">
        <f>'BD Team'!F9</f>
        <v>NO</v>
      </c>
      <c r="I2" s="318">
        <f>'BD Team'!H9</f>
        <v>4947</v>
      </c>
      <c r="J2" s="318">
        <f>'BD Team'!I9</f>
        <v>2385</v>
      </c>
      <c r="K2" s="318">
        <f>'BD Team'!J9</f>
        <v>1</v>
      </c>
      <c r="L2" s="319">
        <f>'BD Team'!K9</f>
        <v>1529.27</v>
      </c>
      <c r="M2" s="318">
        <f>Pricing!O4</f>
        <v>5316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6000</v>
      </c>
    </row>
    <row r="3" spans="1:21">
      <c r="A3" s="318" t="str">
        <f>'BD Team'!B10</f>
        <v>SKY-2</v>
      </c>
      <c r="B3" s="318" t="str">
        <f>'BD Team'!C10</f>
        <v>M10800</v>
      </c>
      <c r="C3" s="318" t="str">
        <f>'BD Team'!D10</f>
        <v>SKYLIGHT WITH 3 FIXED GLASS</v>
      </c>
      <c r="D3" s="318" t="str">
        <f>'BD Team'!E10</f>
        <v>19.52MM</v>
      </c>
      <c r="E3" s="318" t="str">
        <f>'BD Team'!G10</f>
        <v>NA</v>
      </c>
      <c r="F3" s="318" t="str">
        <f>'BD Team'!F10</f>
        <v>NO</v>
      </c>
      <c r="I3" s="318">
        <f>'BD Team'!H10</f>
        <v>3677</v>
      </c>
      <c r="J3" s="318">
        <f>'BD Team'!I10</f>
        <v>2036</v>
      </c>
      <c r="K3" s="318">
        <f>'BD Team'!J10</f>
        <v>1</v>
      </c>
      <c r="L3" s="319">
        <f>'BD Team'!K10</f>
        <v>1259.49</v>
      </c>
      <c r="M3" s="318">
        <f>Pricing!O5</f>
        <v>5316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6000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H11" sqref="H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421</v>
      </c>
      <c r="F2" s="137"/>
      <c r="G2" s="163"/>
      <c r="H2" s="331" t="s">
        <v>184</v>
      </c>
      <c r="I2" s="332"/>
      <c r="J2" s="165" t="s">
        <v>424</v>
      </c>
      <c r="K2" s="167"/>
      <c r="L2" s="104" t="s">
        <v>207</v>
      </c>
      <c r="M2" s="104" t="s">
        <v>380</v>
      </c>
    </row>
    <row r="3" spans="1:13" s="104" customFormat="1">
      <c r="A3" s="330" t="s">
        <v>127</v>
      </c>
      <c r="B3" s="330"/>
      <c r="C3" s="330"/>
      <c r="D3" s="330"/>
      <c r="E3" s="162" t="s">
        <v>422</v>
      </c>
      <c r="F3" s="136" t="s">
        <v>182</v>
      </c>
      <c r="G3" s="162" t="s">
        <v>415</v>
      </c>
      <c r="H3" s="331" t="s">
        <v>185</v>
      </c>
      <c r="I3" s="332"/>
      <c r="J3" s="166">
        <v>43698</v>
      </c>
      <c r="K3" s="167"/>
      <c r="L3" s="104" t="s">
        <v>257</v>
      </c>
      <c r="M3" s="104" t="s">
        <v>381</v>
      </c>
    </row>
    <row r="4" spans="1:13" s="104" customFormat="1" ht="18">
      <c r="A4" s="330" t="s">
        <v>168</v>
      </c>
      <c r="B4" s="330"/>
      <c r="C4" s="330"/>
      <c r="D4" s="330"/>
      <c r="E4" s="162" t="s">
        <v>281</v>
      </c>
      <c r="F4" s="135"/>
      <c r="G4" s="164"/>
      <c r="H4" s="331" t="s">
        <v>186</v>
      </c>
      <c r="I4" s="332"/>
      <c r="J4" s="165" t="s">
        <v>381</v>
      </c>
      <c r="K4" s="167"/>
      <c r="L4" s="104" t="s">
        <v>258</v>
      </c>
      <c r="M4" s="104" t="s">
        <v>382</v>
      </c>
    </row>
    <row r="5" spans="1:13" s="104" customFormat="1">
      <c r="A5" s="330" t="s">
        <v>176</v>
      </c>
      <c r="B5" s="330"/>
      <c r="C5" s="330"/>
      <c r="D5" s="330"/>
      <c r="E5" s="162" t="s">
        <v>423</v>
      </c>
      <c r="F5" s="136" t="s">
        <v>183</v>
      </c>
      <c r="G5" s="162"/>
      <c r="H5" s="331" t="s">
        <v>374</v>
      </c>
      <c r="I5" s="332"/>
      <c r="J5" s="165"/>
      <c r="K5" s="167"/>
      <c r="L5" s="104" t="s">
        <v>259</v>
      </c>
      <c r="M5" s="104" t="s">
        <v>383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402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428</v>
      </c>
      <c r="F9" s="113" t="s">
        <v>429</v>
      </c>
      <c r="G9" s="113" t="s">
        <v>430</v>
      </c>
      <c r="H9" s="113">
        <v>4947</v>
      </c>
      <c r="I9" s="113">
        <v>2385</v>
      </c>
      <c r="J9" s="113">
        <v>1</v>
      </c>
      <c r="K9" s="123">
        <v>1529.27</v>
      </c>
    </row>
    <row r="10" spans="1:13" ht="20.100000000000001" customHeight="1">
      <c r="A10" s="113">
        <v>2</v>
      </c>
      <c r="B10" s="113" t="s">
        <v>431</v>
      </c>
      <c r="C10" s="113" t="s">
        <v>426</v>
      </c>
      <c r="D10" s="113" t="s">
        <v>427</v>
      </c>
      <c r="E10" s="113" t="s">
        <v>428</v>
      </c>
      <c r="F10" s="113" t="s">
        <v>429</v>
      </c>
      <c r="G10" s="113" t="s">
        <v>430</v>
      </c>
      <c r="H10" s="113">
        <v>3677</v>
      </c>
      <c r="I10" s="113">
        <v>2036</v>
      </c>
      <c r="J10" s="113">
        <v>1</v>
      </c>
      <c r="K10" s="123">
        <v>1259.49</v>
      </c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S4" sqref="S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SKY-1</v>
      </c>
      <c r="C4" s="118" t="str">
        <f>'BD Team'!C9</f>
        <v>M10800</v>
      </c>
      <c r="D4" s="118" t="str">
        <f>'BD Team'!D9</f>
        <v>SKYLIGHT WITH 3 FIXED GLASS</v>
      </c>
      <c r="E4" s="118" t="str">
        <f>'BD Team'!F9</f>
        <v>NO</v>
      </c>
      <c r="F4" s="121" t="str">
        <f>'BD Team'!G9</f>
        <v>NA</v>
      </c>
      <c r="G4" s="118">
        <f>'BD Team'!H9</f>
        <v>4947</v>
      </c>
      <c r="H4" s="118">
        <f>'BD Team'!I9</f>
        <v>2385</v>
      </c>
      <c r="I4" s="118">
        <f>'BD Team'!J9</f>
        <v>1</v>
      </c>
      <c r="J4" s="103">
        <f t="shared" ref="J4:J53" si="0">G4*H4*I4*10.764/1000000</f>
        <v>127.00007658</v>
      </c>
      <c r="K4" s="172">
        <f>'BD Team'!K9</f>
        <v>1529.27</v>
      </c>
      <c r="L4" s="171">
        <f>K4*I4</f>
        <v>1529.27</v>
      </c>
      <c r="M4" s="170">
        <f>L4*'Changable Values'!$D$4</f>
        <v>126929.41</v>
      </c>
      <c r="N4" s="170" t="str">
        <f>'BD Team'!E9</f>
        <v>19.52MM</v>
      </c>
      <c r="O4" s="172">
        <v>5316</v>
      </c>
      <c r="P4" s="241"/>
      <c r="Q4" s="173"/>
      <c r="R4" s="185"/>
      <c r="S4" s="312"/>
      <c r="T4" s="313">
        <f>(G4+H4)*I4*2/300</f>
        <v>48.88</v>
      </c>
      <c r="U4" s="313">
        <f>SUM(G4:H4)*I4*2*4/1000</f>
        <v>58.655999999999999</v>
      </c>
      <c r="V4" s="313">
        <f>SUM(G4:H4)*I4*5*5*4/(1000*240)</f>
        <v>3.0550000000000002</v>
      </c>
      <c r="W4" s="313">
        <f>T4</f>
        <v>48.88</v>
      </c>
      <c r="X4" s="313">
        <f>W4*2</f>
        <v>97.76</v>
      </c>
      <c r="Y4" s="313">
        <f>SUM(G4:H4)*I4*4/1000</f>
        <v>29.327999999999999</v>
      </c>
    </row>
    <row r="5" spans="1:25">
      <c r="A5" s="118">
        <f>'BD Team'!A10</f>
        <v>2</v>
      </c>
      <c r="B5" s="118" t="str">
        <f>'BD Team'!B10</f>
        <v>SKY-2</v>
      </c>
      <c r="C5" s="118" t="str">
        <f>'BD Team'!C10</f>
        <v>M10800</v>
      </c>
      <c r="D5" s="118" t="str">
        <f>'BD Team'!D10</f>
        <v>SKYLIGHT WITH 3 FIXED GLASS</v>
      </c>
      <c r="E5" s="118" t="str">
        <f>'BD Team'!F10</f>
        <v>NO</v>
      </c>
      <c r="F5" s="121" t="str">
        <f>'BD Team'!G10</f>
        <v>NA</v>
      </c>
      <c r="G5" s="118">
        <f>'BD Team'!H10</f>
        <v>3677</v>
      </c>
      <c r="H5" s="118">
        <f>'BD Team'!I10</f>
        <v>2036</v>
      </c>
      <c r="I5" s="118">
        <f>'BD Team'!J10</f>
        <v>1</v>
      </c>
      <c r="J5" s="103">
        <f t="shared" si="0"/>
        <v>80.583308207999991</v>
      </c>
      <c r="K5" s="172">
        <f>'BD Team'!K10</f>
        <v>1259.49</v>
      </c>
      <c r="L5" s="171">
        <f t="shared" ref="L5:L53" si="1">K5*I5</f>
        <v>1259.49</v>
      </c>
      <c r="M5" s="170">
        <f>L5*'Changable Values'!$D$4</f>
        <v>104537.67</v>
      </c>
      <c r="N5" s="170" t="str">
        <f>'BD Team'!E10</f>
        <v>19.52MM</v>
      </c>
      <c r="O5" s="172">
        <v>5316</v>
      </c>
      <c r="P5" s="241"/>
      <c r="Q5" s="173"/>
      <c r="R5" s="185"/>
      <c r="S5" s="312"/>
      <c r="T5" s="313">
        <f t="shared" ref="T5:T68" si="2">(G5+H5)*I5*2/300</f>
        <v>38.086666666666666</v>
      </c>
      <c r="U5" s="313">
        <f t="shared" ref="U5:U68" si="3">SUM(G5:H5)*I5*2*4/1000</f>
        <v>45.704000000000001</v>
      </c>
      <c r="V5" s="313">
        <f t="shared" ref="V5:V68" si="4">SUM(G5:H5)*I5*5*5*4/(1000*240)</f>
        <v>2.3804166666666666</v>
      </c>
      <c r="W5" s="313">
        <f t="shared" ref="W5:W68" si="5">T5</f>
        <v>38.086666666666666</v>
      </c>
      <c r="X5" s="313">
        <f t="shared" ref="X5:X68" si="6">W5*2</f>
        <v>76.173333333333332</v>
      </c>
      <c r="Y5" s="313">
        <f t="shared" ref="Y5:Y68" si="7">SUM(G5:H5)*I5*4/1000</f>
        <v>22.852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2788.76</v>
      </c>
      <c r="L104" s="168">
        <f>SUM(L4:L103)</f>
        <v>2788.76</v>
      </c>
      <c r="M104" s="168">
        <f>SUM(M4:M103)</f>
        <v>231467.08000000002</v>
      </c>
      <c r="T104" s="314">
        <f t="shared" ref="T104:Y104" si="16">SUM(T4:T103)</f>
        <v>86.966666666666669</v>
      </c>
      <c r="U104" s="314">
        <f t="shared" si="16"/>
        <v>104.36</v>
      </c>
      <c r="V104" s="314">
        <f t="shared" si="16"/>
        <v>5.4354166666666668</v>
      </c>
      <c r="W104" s="314">
        <f t="shared" si="16"/>
        <v>86.966666666666669</v>
      </c>
      <c r="X104" s="314">
        <f t="shared" si="16"/>
        <v>173.93333333333334</v>
      </c>
      <c r="Y104" s="314">
        <f t="shared" si="16"/>
        <v>52.18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8" sqref="D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5315.6880000000001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3980</v>
      </c>
      <c r="D4" s="255">
        <f>C4*D3</f>
        <v>91.539999999999992</v>
      </c>
      <c r="E4" s="255">
        <f>C4*E3</f>
        <v>159.20000000000002</v>
      </c>
      <c r="F4" s="255">
        <f>C4*F3</f>
        <v>199</v>
      </c>
      <c r="G4" s="255">
        <f>C4+D4+E4+F4</f>
        <v>4429.74</v>
      </c>
      <c r="H4" s="255">
        <f>G4*H3</f>
        <v>885.94799999999998</v>
      </c>
      <c r="I4" s="255">
        <f>G4+H4</f>
        <v>5315.6880000000001</v>
      </c>
      <c r="J4" s="255">
        <f>I4*J3</f>
        <v>0</v>
      </c>
      <c r="K4" s="255">
        <f>I4+J4</f>
        <v>5315.6880000000001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19.52</v>
      </c>
      <c r="B7" s="270">
        <v>8</v>
      </c>
      <c r="C7" s="271">
        <v>1.52</v>
      </c>
      <c r="D7" s="270">
        <v>10</v>
      </c>
      <c r="E7" s="271">
        <v>0</v>
      </c>
      <c r="F7" s="270">
        <v>0</v>
      </c>
      <c r="G7" s="269">
        <f>SUM(B8:F8)</f>
        <v>3980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1190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D12" sqref="AD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5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SKYLIGHT WITH 3 FIXED GLASS</v>
      </c>
      <c r="D8" s="131" t="str">
        <f>Pricing!B4</f>
        <v>SKY-1</v>
      </c>
      <c r="E8" s="132" t="str">
        <f>Pricing!N4</f>
        <v>19.52MM</v>
      </c>
      <c r="F8" s="68">
        <f>Pricing!G4</f>
        <v>4947</v>
      </c>
      <c r="G8" s="68">
        <f>Pricing!H4</f>
        <v>2385</v>
      </c>
      <c r="H8" s="100">
        <f t="shared" ref="H8:H57" si="0">(F8*G8)/1000000</f>
        <v>11.798595000000001</v>
      </c>
      <c r="I8" s="70">
        <f>Pricing!I4</f>
        <v>1</v>
      </c>
      <c r="J8" s="69">
        <f t="shared" ref="J8" si="1">H8*I8</f>
        <v>11.798595000000001</v>
      </c>
      <c r="K8" s="71">
        <f t="shared" ref="K8" si="2">J8*10.764</f>
        <v>127.00007658</v>
      </c>
      <c r="L8" s="69"/>
      <c r="M8" s="72"/>
      <c r="N8" s="72"/>
      <c r="O8" s="72">
        <f t="shared" ref="O8:O35" si="3">N8*M8*L8/1000000</f>
        <v>0</v>
      </c>
      <c r="P8" s="73">
        <f>Pricing!M4</f>
        <v>126929.41</v>
      </c>
      <c r="Q8" s="74">
        <f t="shared" ref="Q8:Q56" si="4">P8*$Q$6</f>
        <v>12692.941000000001</v>
      </c>
      <c r="R8" s="74">
        <f t="shared" ref="R8:R56" si="5">(P8+Q8)*$R$6</f>
        <v>15358.45861</v>
      </c>
      <c r="S8" s="74">
        <f t="shared" ref="S8:S56" si="6">(P8+Q8+R8)*$S$6</f>
        <v>774.90404805000003</v>
      </c>
      <c r="T8" s="74">
        <f t="shared" ref="T8:T56" si="7">(P8+Q8+R8+S8)*$T$6</f>
        <v>1557.5571365804999</v>
      </c>
      <c r="U8" s="72">
        <f t="shared" ref="U8:U56" si="8">SUM(P8:T8)</f>
        <v>157313.27079463049</v>
      </c>
      <c r="V8" s="74">
        <f t="shared" ref="V8:V56" si="9">U8*$V$6</f>
        <v>2359.6990619194571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6000</v>
      </c>
      <c r="AD8" s="101">
        <f>(J8*Pricing!O4)+(O8*Pricing!P4)</f>
        <v>62721.331020000005</v>
      </c>
      <c r="AE8" s="76">
        <f>((((F8+G8)*2)/305)*I8*$AE$7)</f>
        <v>1201.967213114754</v>
      </c>
      <c r="AF8" s="342">
        <f>(((((F8*4)+(G8*4))/1000)*$AF$6*$AG$6)/300)*I8*$AF$7</f>
        <v>1231.7759999999998</v>
      </c>
      <c r="AG8" s="343"/>
      <c r="AH8" s="76">
        <f>(((F8+G8))*I8/1000)*8*$AH$7</f>
        <v>43.991999999999997</v>
      </c>
      <c r="AI8" s="76">
        <f t="shared" ref="AI8:AI57" si="15">(((F8+G8)*2*I8)/1000)*2*$AI$7</f>
        <v>146.63999999999999</v>
      </c>
      <c r="AJ8" s="76">
        <f>J8*Pricing!Q4</f>
        <v>0</v>
      </c>
      <c r="AK8" s="76">
        <f>J8*Pricing!R4</f>
        <v>0</v>
      </c>
      <c r="AL8" s="76">
        <f t="shared" ref="AL8:AL39" si="16">J8*$AL$6</f>
        <v>12700.007657999999</v>
      </c>
      <c r="AM8" s="77">
        <f t="shared" ref="AM8:AM39" si="17">$AM$6*J8</f>
        <v>0</v>
      </c>
      <c r="AN8" s="76">
        <f t="shared" ref="AN8:AN39" si="18">$AN$6*J8</f>
        <v>10160.0061264</v>
      </c>
      <c r="AO8" s="72">
        <f t="shared" ref="AO8:AO39" si="19">SUM(U8:V8)+SUM(AC8:AI8)-AD8</f>
        <v>168297.34506966471</v>
      </c>
      <c r="AP8" s="74">
        <f t="shared" ref="AP8:AP39" si="20">AO8*$AP$6</f>
        <v>210371.6813370809</v>
      </c>
      <c r="AQ8" s="74">
        <f t="shared" ref="AQ8:AQ56" si="21">(AO8+AP8)*$AQ$6</f>
        <v>0</v>
      </c>
      <c r="AR8" s="74">
        <f t="shared" ref="AR8:AR39" si="22">SUM(AO8:AQ8)/J8</f>
        <v>32094.41686969894</v>
      </c>
      <c r="AS8" s="72">
        <f t="shared" ref="AS8:AS39" si="23">SUM(AJ8:AQ8)+AD8+AB8</f>
        <v>464250.3712111456</v>
      </c>
      <c r="AT8" s="72">
        <f t="shared" ref="AT8:AT39" si="24">AS8/J8</f>
        <v>39347.93686969894</v>
      </c>
      <c r="AU8" s="78">
        <f t="shared" ref="AU8:AU56" si="25">AT8/10.764</f>
        <v>3655.5125297007567</v>
      </c>
      <c r="AV8" s="79">
        <f t="shared" ref="AV8:AV39" si="26">K8/$K$109</f>
        <v>0.61180270622189814</v>
      </c>
      <c r="AW8" s="80">
        <f t="shared" ref="AW8:AW39" si="27">(U8+V8)/(J8*10.764)</f>
        <v>1257.2667210634997</v>
      </c>
      <c r="AX8" s="81">
        <f t="shared" ref="AX8:AX39" si="28">SUM(W8:AN8,AP8)/(J8*10.764)</f>
        <v>2398.2458086372571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SKYLIGHT WITH 3 FIXED GLASS</v>
      </c>
      <c r="D9" s="131" t="str">
        <f>Pricing!B5</f>
        <v>SKY-2</v>
      </c>
      <c r="E9" s="132" t="str">
        <f>Pricing!N5</f>
        <v>19.52MM</v>
      </c>
      <c r="F9" s="68">
        <f>Pricing!G5</f>
        <v>3677</v>
      </c>
      <c r="G9" s="68">
        <f>Pricing!H5</f>
        <v>2036</v>
      </c>
      <c r="H9" s="100">
        <f t="shared" si="0"/>
        <v>7.4863720000000002</v>
      </c>
      <c r="I9" s="70">
        <f>Pricing!I5</f>
        <v>1</v>
      </c>
      <c r="J9" s="69">
        <f t="shared" ref="J9:J58" si="30">H9*I9</f>
        <v>7.4863720000000002</v>
      </c>
      <c r="K9" s="71">
        <f t="shared" ref="K9:K58" si="31">J9*10.764</f>
        <v>80.583308207999991</v>
      </c>
      <c r="L9" s="69"/>
      <c r="M9" s="72"/>
      <c r="N9" s="72"/>
      <c r="O9" s="72">
        <f t="shared" si="3"/>
        <v>0</v>
      </c>
      <c r="P9" s="73">
        <f>Pricing!M5</f>
        <v>104537.67</v>
      </c>
      <c r="Q9" s="74">
        <f t="shared" ref="Q9:Q14" si="32">P9*$Q$6</f>
        <v>10453.767</v>
      </c>
      <c r="R9" s="74">
        <f t="shared" ref="R9:R14" si="33">(P9+Q9)*$R$6</f>
        <v>12649.058070000001</v>
      </c>
      <c r="S9" s="74">
        <f t="shared" ref="S9:S14" si="34">(P9+Q9+R9)*$S$6</f>
        <v>638.20247534999999</v>
      </c>
      <c r="T9" s="74">
        <f t="shared" ref="T9:T14" si="35">(P9+Q9+R9+S9)*$T$6</f>
        <v>1282.7869754535002</v>
      </c>
      <c r="U9" s="72">
        <f t="shared" ref="U9:U14" si="36">SUM(P9:T9)</f>
        <v>129561.48452080351</v>
      </c>
      <c r="V9" s="74">
        <f t="shared" ref="V9:V14" si="37">U9*$V$6</f>
        <v>1943.4222678120525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6000</v>
      </c>
      <c r="AD9" s="101">
        <f>(J9*Pricing!O5)+(O9*Pricing!P5)</f>
        <v>39797.553552000005</v>
      </c>
      <c r="AE9" s="76">
        <f t="shared" ref="AE9:AE57" si="43">((((F9+G9)*2)/305)*I9*$AE$7)</f>
        <v>936.55737704918033</v>
      </c>
      <c r="AF9" s="342">
        <f t="shared" ref="AF9:AF57" si="44">(((((F9*4)+(G9*4))/1000)*$AF$6*$AG$6)/300)*I9*$AF$7</f>
        <v>959.78400000000011</v>
      </c>
      <c r="AG9" s="343"/>
      <c r="AH9" s="76">
        <f t="shared" ref="AH9:AH72" si="45">(((F9+G9))*I9/1000)*8*$AH$7</f>
        <v>34.277999999999999</v>
      </c>
      <c r="AI9" s="76">
        <f t="shared" si="15"/>
        <v>114.26</v>
      </c>
      <c r="AJ9" s="76">
        <f>J9*Pricing!Q5</f>
        <v>0</v>
      </c>
      <c r="AK9" s="76">
        <f>J9*Pricing!R5</f>
        <v>0</v>
      </c>
      <c r="AL9" s="76">
        <f t="shared" si="16"/>
        <v>8058.3308207999989</v>
      </c>
      <c r="AM9" s="77">
        <f t="shared" si="17"/>
        <v>0</v>
      </c>
      <c r="AN9" s="76">
        <f t="shared" si="18"/>
        <v>6446.6646566399995</v>
      </c>
      <c r="AO9" s="72">
        <f t="shared" si="19"/>
        <v>139549.78616566476</v>
      </c>
      <c r="AP9" s="74">
        <f t="shared" si="20"/>
        <v>174437.23270708096</v>
      </c>
      <c r="AQ9" s="74">
        <f t="shared" ref="AQ9:AQ14" si="46">(AO9+AP9)*$AQ$6</f>
        <v>0</v>
      </c>
      <c r="AR9" s="74">
        <f t="shared" si="22"/>
        <v>41941.145707526382</v>
      </c>
      <c r="AS9" s="72">
        <f t="shared" si="23"/>
        <v>368289.56790218578</v>
      </c>
      <c r="AT9" s="72">
        <f t="shared" si="24"/>
        <v>49194.665707526394</v>
      </c>
      <c r="AU9" s="78">
        <f t="shared" ref="AU9:AU14" si="47">AT9/10.764</f>
        <v>4570.2959594506128</v>
      </c>
      <c r="AV9" s="79">
        <f t="shared" si="26"/>
        <v>0.38819729377810186</v>
      </c>
      <c r="AW9" s="80">
        <f t="shared" si="27"/>
        <v>1631.9124855134737</v>
      </c>
      <c r="AX9" s="81">
        <f t="shared" si="28"/>
        <v>2938.3834739371387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2">
        <f t="shared" si="44"/>
        <v>0</v>
      </c>
      <c r="AG10" s="34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19.284967000000002</v>
      </c>
      <c r="I109" s="87">
        <f>SUM(I8:I108)</f>
        <v>2</v>
      </c>
      <c r="J109" s="88">
        <f>SUM(J8:J108)</f>
        <v>19.284967000000002</v>
      </c>
      <c r="K109" s="89">
        <f>SUM(K8:K108)</f>
        <v>207.58338478799999</v>
      </c>
      <c r="L109" s="88">
        <f>SUM(L8:L8)</f>
        <v>0</v>
      </c>
      <c r="M109" s="88"/>
      <c r="N109" s="88"/>
      <c r="O109" s="88"/>
      <c r="P109" s="87">
        <f>SUM(P8:P108)</f>
        <v>231467.08000000002</v>
      </c>
      <c r="Q109" s="88">
        <f t="shared" ref="Q109:AE109" si="156">SUM(Q8:Q108)</f>
        <v>23146.707999999999</v>
      </c>
      <c r="R109" s="88">
        <f t="shared" si="156"/>
        <v>28007.516680000001</v>
      </c>
      <c r="S109" s="88">
        <f t="shared" si="156"/>
        <v>1413.1065234</v>
      </c>
      <c r="T109" s="88">
        <f t="shared" si="156"/>
        <v>2840.3441120340003</v>
      </c>
      <c r="U109" s="88">
        <f t="shared" si="156"/>
        <v>286874.75531543401</v>
      </c>
      <c r="V109" s="88">
        <f t="shared" si="156"/>
        <v>4303.1213297315098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12000</v>
      </c>
      <c r="AD109" s="88">
        <f t="shared" si="156"/>
        <v>102518.88457200001</v>
      </c>
      <c r="AE109" s="88">
        <f t="shared" si="156"/>
        <v>2138.5245901639346</v>
      </c>
      <c r="AF109" s="353">
        <f>SUM(AF8:AG108)</f>
        <v>2191.56</v>
      </c>
      <c r="AG109" s="354"/>
      <c r="AH109" s="88">
        <f t="shared" ref="AH109:AQ109" si="157">SUM(AH8:AH108)</f>
        <v>78.27</v>
      </c>
      <c r="AI109" s="88">
        <f t="shared" si="157"/>
        <v>260.89999999999998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20758.338478799997</v>
      </c>
      <c r="AM109" s="88">
        <f t="shared" si="157"/>
        <v>0</v>
      </c>
      <c r="AN109" s="88">
        <f t="shared" si="157"/>
        <v>16606.670783039997</v>
      </c>
      <c r="AO109" s="88">
        <f t="shared" si="157"/>
        <v>307847.13123532943</v>
      </c>
      <c r="AP109" s="88">
        <f t="shared" si="157"/>
        <v>384808.91404416185</v>
      </c>
      <c r="AQ109" s="88">
        <f t="shared" si="157"/>
        <v>0</v>
      </c>
      <c r="AR109" s="88"/>
      <c r="AS109" s="87">
        <f>SUM(AS8:AS108)</f>
        <v>832539.93911333138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2191.56</v>
      </c>
      <c r="AW110" s="84"/>
    </row>
    <row r="111" spans="2:54">
      <c r="AF111" s="174"/>
      <c r="AG111" s="174"/>
      <c r="AH111" s="174">
        <f>SUM(AE109:AI109,AC109)</f>
        <v>16669.254590163935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6" width="12.5703125" style="93" bestFit="1" customWidth="1"/>
    <col min="17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ABPL-DE-19.20-2165</v>
      </c>
      <c r="N6" s="472"/>
    </row>
    <row r="7" spans="2:15" ht="24.95" customHeight="1">
      <c r="B7" s="491" t="s">
        <v>126</v>
      </c>
      <c r="C7" s="492"/>
      <c r="D7" s="492"/>
      <c r="E7" s="492"/>
      <c r="F7" s="434" t="str">
        <f>'BD Team'!E2</f>
        <v>Mr. Ravi</v>
      </c>
      <c r="G7" s="434"/>
      <c r="H7" s="434"/>
      <c r="I7" s="434"/>
      <c r="J7" s="435"/>
      <c r="K7" s="499" t="s">
        <v>104</v>
      </c>
      <c r="L7" s="492"/>
      <c r="M7" s="497">
        <f>'BD Team'!J3</f>
        <v>43698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Rajahmundry</v>
      </c>
      <c r="G8" s="483" t="s">
        <v>179</v>
      </c>
      <c r="H8" s="484"/>
      <c r="I8" s="434" t="str">
        <f>'BD Team'!G3</f>
        <v>1.5Kpa</v>
      </c>
      <c r="J8" s="435"/>
      <c r="K8" s="499" t="s">
        <v>105</v>
      </c>
      <c r="L8" s="492"/>
      <c r="M8" s="178" t="s">
        <v>364</v>
      </c>
      <c r="N8" s="179">
        <v>43698</v>
      </c>
    </row>
    <row r="9" spans="2:15" ht="24.95" customHeight="1">
      <c r="B9" s="491" t="s">
        <v>168</v>
      </c>
      <c r="C9" s="492"/>
      <c r="D9" s="492"/>
      <c r="E9" s="492"/>
      <c r="F9" s="434" t="str">
        <f>'BD Team'!E4</f>
        <v>Mr. Srinivas : 9949077279</v>
      </c>
      <c r="G9" s="434"/>
      <c r="H9" s="434"/>
      <c r="I9" s="434"/>
      <c r="J9" s="435"/>
      <c r="K9" s="499" t="s">
        <v>178</v>
      </c>
      <c r="L9" s="492"/>
      <c r="M9" s="473" t="str">
        <f>'BD Team'!J4</f>
        <v>Ranjan</v>
      </c>
      <c r="N9" s="474"/>
    </row>
    <row r="10" spans="2:15" ht="27.75" customHeight="1" thickBot="1">
      <c r="B10" s="493" t="s">
        <v>176</v>
      </c>
      <c r="C10" s="494"/>
      <c r="D10" s="494"/>
      <c r="E10" s="494"/>
      <c r="F10" s="217" t="str">
        <f>'BD Team'!E5</f>
        <v>Anodized 101520</v>
      </c>
      <c r="G10" s="504" t="s">
        <v>177</v>
      </c>
      <c r="H10" s="505"/>
      <c r="I10" s="502">
        <f>'BD Team'!G5</f>
        <v>0</v>
      </c>
      <c r="J10" s="503"/>
      <c r="K10" s="500" t="s">
        <v>373</v>
      </c>
      <c r="L10" s="501"/>
      <c r="M10" s="495">
        <f>'BD Team'!J5</f>
        <v>0</v>
      </c>
      <c r="N10" s="496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5" t="s">
        <v>169</v>
      </c>
      <c r="C13" s="486"/>
      <c r="D13" s="489" t="s">
        <v>170</v>
      </c>
      <c r="E13" s="489" t="s">
        <v>171</v>
      </c>
      <c r="F13" s="489" t="s">
        <v>37</v>
      </c>
      <c r="G13" s="487" t="s">
        <v>63</v>
      </c>
      <c r="H13" s="487" t="s">
        <v>209</v>
      </c>
      <c r="I13" s="487" t="s">
        <v>208</v>
      </c>
      <c r="J13" s="488" t="s">
        <v>172</v>
      </c>
      <c r="K13" s="488" t="s">
        <v>173</v>
      </c>
      <c r="L13" s="486" t="s">
        <v>210</v>
      </c>
      <c r="M13" s="488" t="s">
        <v>174</v>
      </c>
      <c r="N13" s="490" t="s">
        <v>175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SKY-1</v>
      </c>
      <c r="E16" s="187" t="str">
        <f>Pricing!C4</f>
        <v>M10800</v>
      </c>
      <c r="F16" s="187" t="str">
        <f>Pricing!D4</f>
        <v>SKYLIGHT WITH 3 FIXED GLASS</v>
      </c>
      <c r="G16" s="187" t="str">
        <f>Pricing!N4</f>
        <v>19.52MM</v>
      </c>
      <c r="H16" s="187" t="str">
        <f>Pricing!F4</f>
        <v>NA</v>
      </c>
      <c r="I16" s="216" t="str">
        <f>Pricing!E4</f>
        <v>NO</v>
      </c>
      <c r="J16" s="216">
        <f>Pricing!G4</f>
        <v>4947</v>
      </c>
      <c r="K16" s="216">
        <f>Pricing!H4</f>
        <v>2385</v>
      </c>
      <c r="L16" s="216">
        <f>Pricing!I4</f>
        <v>1</v>
      </c>
      <c r="M16" s="188">
        <f t="shared" ref="M16:M24" si="0">J16*K16*L16/1000000</f>
        <v>11.798595000000001</v>
      </c>
      <c r="N16" s="189">
        <f>'Cost Calculation'!AS8</f>
        <v>464250.3712111456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SKY-2</v>
      </c>
      <c r="E17" s="187" t="str">
        <f>Pricing!C5</f>
        <v>M10800</v>
      </c>
      <c r="F17" s="187" t="str">
        <f>Pricing!D5</f>
        <v>SKYLIGHT WITH 3 FIXED GLASS</v>
      </c>
      <c r="G17" s="187" t="str">
        <f>Pricing!N5</f>
        <v>19.52MM</v>
      </c>
      <c r="H17" s="187" t="str">
        <f>Pricing!F5</f>
        <v>NA</v>
      </c>
      <c r="I17" s="216" t="str">
        <f>Pricing!E5</f>
        <v>NO</v>
      </c>
      <c r="J17" s="216">
        <f>Pricing!G5</f>
        <v>3677</v>
      </c>
      <c r="K17" s="216">
        <f>Pricing!H5</f>
        <v>2036</v>
      </c>
      <c r="L17" s="216">
        <f>Pricing!I5</f>
        <v>1</v>
      </c>
      <c r="M17" s="188">
        <f t="shared" si="0"/>
        <v>7.4863720000000002</v>
      </c>
      <c r="N17" s="189">
        <f>'Cost Calculation'!AS9</f>
        <v>368289.56790218578</v>
      </c>
      <c r="O17" s="95"/>
    </row>
    <row r="18" spans="2:15" s="94" customFormat="1" ht="49.9" hidden="1" customHeight="1" thickTop="1" thickBot="1">
      <c r="B18" s="410">
        <f>Pricing!A6</f>
        <v>3</v>
      </c>
      <c r="C18" s="411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0">
        <f>Pricing!A7</f>
        <v>4</v>
      </c>
      <c r="C19" s="41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0">
        <f>Pricing!A8</f>
        <v>5</v>
      </c>
      <c r="C20" s="41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0">
        <f>Pricing!A9</f>
        <v>6</v>
      </c>
      <c r="C21" s="41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6"/>
      <c r="C116" s="507"/>
      <c r="D116" s="507"/>
      <c r="E116" s="507"/>
      <c r="F116" s="507"/>
      <c r="G116" s="507"/>
      <c r="H116" s="507"/>
      <c r="I116" s="507"/>
      <c r="J116" s="507"/>
      <c r="K116" s="508"/>
      <c r="L116" s="190">
        <f>SUM(L16:L115)</f>
        <v>2</v>
      </c>
      <c r="M116" s="191">
        <f>SUM(M16:M115)</f>
        <v>19.284967000000002</v>
      </c>
      <c r="N116" s="186"/>
      <c r="O116" s="95"/>
    </row>
    <row r="117" spans="2:15" s="94" customFormat="1" ht="30" customHeight="1" thickTop="1" thickBot="1">
      <c r="B117" s="509" t="s">
        <v>180</v>
      </c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1"/>
      <c r="N117" s="192">
        <f>ROUND(SUM(N16:N115),0.1)</f>
        <v>832540</v>
      </c>
      <c r="O117" s="95">
        <f>N117/SUM(M116)</f>
        <v>43170.413514319203</v>
      </c>
    </row>
    <row r="118" spans="2:15" s="94" customFormat="1" ht="30" customHeight="1" thickTop="1" thickBot="1">
      <c r="B118" s="509" t="s">
        <v>111</v>
      </c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1"/>
      <c r="N118" s="192">
        <f>ROUND(N117*18%,0.1)</f>
        <v>149857</v>
      </c>
      <c r="O118" s="95">
        <f>N118/SUM(M116)</f>
        <v>7770.6640618052388</v>
      </c>
    </row>
    <row r="119" spans="2:15" s="94" customFormat="1" ht="30" customHeight="1" thickTop="1" thickBot="1">
      <c r="B119" s="509" t="s">
        <v>181</v>
      </c>
      <c r="C119" s="510"/>
      <c r="D119" s="510"/>
      <c r="E119" s="510"/>
      <c r="F119" s="510"/>
      <c r="G119" s="510"/>
      <c r="H119" s="510"/>
      <c r="I119" s="510"/>
      <c r="J119" s="510"/>
      <c r="K119" s="510"/>
      <c r="L119" s="510"/>
      <c r="M119" s="511"/>
      <c r="N119" s="192">
        <f>ROUND(SUM(N117:N118),0.1)</f>
        <v>982397</v>
      </c>
      <c r="O119" s="95">
        <f>N119/SUM(M116)</f>
        <v>50941.077576124444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4010.6292748345604</v>
      </c>
    </row>
    <row r="121" spans="2:15" s="139" customFormat="1" ht="30" customHeight="1" thickTop="1">
      <c r="B121" s="477" t="s">
        <v>236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1">
        <v>2</v>
      </c>
      <c r="C123" s="480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2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4" t="s">
        <v>432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19" t="s">
        <v>140</v>
      </c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1"/>
      <c r="O126" s="138"/>
    </row>
    <row r="127" spans="2:15" s="93" customFormat="1" ht="24.95" customHeight="1">
      <c r="B127" s="412">
        <v>1</v>
      </c>
      <c r="C127" s="413"/>
      <c r="D127" s="414" t="s">
        <v>363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388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139" customFormat="1" ht="30" customHeight="1">
      <c r="B129" s="416" t="s">
        <v>141</v>
      </c>
      <c r="C129" s="417"/>
      <c r="D129" s="417"/>
      <c r="E129" s="417"/>
      <c r="F129" s="417"/>
      <c r="G129" s="417"/>
      <c r="H129" s="417"/>
      <c r="I129" s="417"/>
      <c r="J129" s="417"/>
      <c r="K129" s="417"/>
      <c r="L129" s="417"/>
      <c r="M129" s="417"/>
      <c r="N129" s="418"/>
    </row>
    <row r="130" spans="2:14" s="93" customFormat="1" ht="24.95" customHeight="1">
      <c r="B130" s="412">
        <v>1</v>
      </c>
      <c r="C130" s="413"/>
      <c r="D130" s="414" t="s">
        <v>142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2">
        <v>2</v>
      </c>
      <c r="C131" s="413"/>
      <c r="D131" s="414" t="s">
        <v>143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3</v>
      </c>
      <c r="C132" s="413"/>
      <c r="D132" s="414" t="s">
        <v>144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16" t="s">
        <v>145</v>
      </c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8"/>
    </row>
    <row r="134" spans="2:14" s="139" customFormat="1" ht="30" customHeight="1">
      <c r="B134" s="436" t="s">
        <v>146</v>
      </c>
      <c r="C134" s="437"/>
      <c r="D134" s="437"/>
      <c r="E134" s="437"/>
      <c r="F134" s="437"/>
      <c r="G134" s="437"/>
      <c r="H134" s="437"/>
      <c r="I134" s="437"/>
      <c r="J134" s="437"/>
      <c r="K134" s="437"/>
      <c r="L134" s="437"/>
      <c r="M134" s="437"/>
      <c r="N134" s="438"/>
    </row>
    <row r="135" spans="2:14" s="93" customFormat="1" ht="24.95" customHeight="1">
      <c r="B135" s="412">
        <v>1</v>
      </c>
      <c r="C135" s="413"/>
      <c r="D135" s="414" t="s">
        <v>147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93" customFormat="1" ht="24.95" customHeight="1">
      <c r="B136" s="412">
        <v>2</v>
      </c>
      <c r="C136" s="413"/>
      <c r="D136" s="414" t="s">
        <v>401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3</v>
      </c>
      <c r="C137" s="413"/>
      <c r="D137" s="414" t="s">
        <v>148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4</v>
      </c>
      <c r="C138" s="413"/>
      <c r="D138" s="414" t="s">
        <v>149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5</v>
      </c>
      <c r="C139" s="413"/>
      <c r="D139" s="414" t="s">
        <v>150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6</v>
      </c>
      <c r="C140" s="413"/>
      <c r="D140" s="414" t="s">
        <v>151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140" customFormat="1" ht="30" customHeight="1">
      <c r="B141" s="416" t="s">
        <v>152</v>
      </c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8"/>
    </row>
    <row r="142" spans="2:14" s="93" customFormat="1" ht="24.95" customHeight="1">
      <c r="B142" s="412">
        <v>1</v>
      </c>
      <c r="C142" s="413"/>
      <c r="D142" s="414" t="s">
        <v>153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135" customHeight="1">
      <c r="B143" s="412">
        <v>2</v>
      </c>
      <c r="C143" s="413"/>
      <c r="D143" s="422" t="s">
        <v>420</v>
      </c>
      <c r="E143" s="423"/>
      <c r="F143" s="423"/>
      <c r="G143" s="423"/>
      <c r="H143" s="423"/>
      <c r="I143" s="423"/>
      <c r="J143" s="423"/>
      <c r="K143" s="423"/>
      <c r="L143" s="423"/>
      <c r="M143" s="423"/>
      <c r="N143" s="424"/>
    </row>
    <row r="144" spans="2:14" s="93" customFormat="1" ht="24.95" customHeight="1">
      <c r="B144" s="412">
        <v>3</v>
      </c>
      <c r="C144" s="413"/>
      <c r="D144" s="414" t="s">
        <v>154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24.95" customHeight="1">
      <c r="B145" s="412">
        <v>4</v>
      </c>
      <c r="C145" s="413"/>
      <c r="D145" s="414" t="s">
        <v>155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140" customFormat="1" ht="30" customHeight="1">
      <c r="B146" s="416" t="s">
        <v>156</v>
      </c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8"/>
    </row>
    <row r="147" spans="2:14" s="93" customFormat="1" ht="24.95" customHeight="1">
      <c r="B147" s="412">
        <v>1</v>
      </c>
      <c r="C147" s="413"/>
      <c r="D147" s="414" t="s">
        <v>157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93" customFormat="1" ht="55.9" customHeight="1">
      <c r="B148" s="412">
        <v>2</v>
      </c>
      <c r="C148" s="413"/>
      <c r="D148" s="422" t="s">
        <v>158</v>
      </c>
      <c r="E148" s="423"/>
      <c r="F148" s="423"/>
      <c r="G148" s="423"/>
      <c r="H148" s="423"/>
      <c r="I148" s="423"/>
      <c r="J148" s="423"/>
      <c r="K148" s="423"/>
      <c r="L148" s="423"/>
      <c r="M148" s="423"/>
      <c r="N148" s="424"/>
    </row>
    <row r="149" spans="2:14" s="140" customFormat="1" ht="30" customHeight="1">
      <c r="B149" s="416" t="s">
        <v>159</v>
      </c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8"/>
    </row>
    <row r="150" spans="2:14" s="93" customFormat="1" ht="24.95" customHeight="1">
      <c r="B150" s="412">
        <v>1</v>
      </c>
      <c r="C150" s="413"/>
      <c r="D150" s="439" t="s">
        <v>160</v>
      </c>
      <c r="E150" s="439"/>
      <c r="F150" s="439"/>
      <c r="G150" s="439"/>
      <c r="H150" s="439"/>
      <c r="I150" s="439"/>
      <c r="J150" s="439"/>
      <c r="K150" s="439"/>
      <c r="L150" s="439"/>
      <c r="M150" s="439"/>
      <c r="N150" s="440"/>
    </row>
    <row r="151" spans="2:14" s="93" customFormat="1" ht="24.95" customHeight="1">
      <c r="B151" s="412">
        <v>2</v>
      </c>
      <c r="C151" s="413"/>
      <c r="D151" s="439" t="s">
        <v>161</v>
      </c>
      <c r="E151" s="439"/>
      <c r="F151" s="439"/>
      <c r="G151" s="439"/>
      <c r="H151" s="439"/>
      <c r="I151" s="439"/>
      <c r="J151" s="439"/>
      <c r="K151" s="439"/>
      <c r="L151" s="439"/>
      <c r="M151" s="439"/>
      <c r="N151" s="440"/>
    </row>
    <row r="152" spans="2:14" s="93" customFormat="1" ht="49.9" customHeight="1">
      <c r="B152" s="412">
        <v>3</v>
      </c>
      <c r="C152" s="413"/>
      <c r="D152" s="444" t="s">
        <v>162</v>
      </c>
      <c r="E152" s="445"/>
      <c r="F152" s="445"/>
      <c r="G152" s="445"/>
      <c r="H152" s="445"/>
      <c r="I152" s="445"/>
      <c r="J152" s="445"/>
      <c r="K152" s="445"/>
      <c r="L152" s="445"/>
      <c r="M152" s="445"/>
      <c r="N152" s="446"/>
    </row>
    <row r="153" spans="2:14" s="93" customFormat="1" ht="24.95" customHeight="1">
      <c r="B153" s="412">
        <v>4</v>
      </c>
      <c r="C153" s="413"/>
      <c r="D153" s="439" t="s">
        <v>163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140" customFormat="1" ht="30" customHeight="1">
      <c r="B154" s="416" t="s">
        <v>164</v>
      </c>
      <c r="C154" s="417"/>
      <c r="D154" s="417"/>
      <c r="E154" s="417"/>
      <c r="F154" s="417"/>
      <c r="G154" s="417"/>
      <c r="H154" s="417"/>
      <c r="I154" s="417"/>
      <c r="J154" s="417"/>
      <c r="K154" s="417"/>
      <c r="L154" s="417"/>
      <c r="M154" s="417"/>
      <c r="N154" s="418"/>
    </row>
    <row r="155" spans="2:14" s="93" customFormat="1" ht="24.95" customHeight="1">
      <c r="B155" s="412">
        <v>1</v>
      </c>
      <c r="C155" s="413"/>
      <c r="D155" s="439" t="s">
        <v>165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93" customFormat="1" ht="24.95" customHeight="1">
      <c r="B156" s="412">
        <v>2</v>
      </c>
      <c r="C156" s="413"/>
      <c r="D156" s="439" t="s">
        <v>166</v>
      </c>
      <c r="E156" s="439"/>
      <c r="F156" s="439"/>
      <c r="G156" s="439"/>
      <c r="H156" s="439"/>
      <c r="I156" s="439"/>
      <c r="J156" s="439"/>
      <c r="K156" s="439"/>
      <c r="L156" s="439"/>
      <c r="M156" s="439"/>
      <c r="N156" s="440"/>
    </row>
    <row r="157" spans="2:14" s="93" customFormat="1" ht="24.95" customHeight="1">
      <c r="B157" s="412">
        <v>3</v>
      </c>
      <c r="C157" s="413"/>
      <c r="D157" s="439" t="s">
        <v>167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2">
        <v>4</v>
      </c>
      <c r="C158" s="413"/>
      <c r="D158" s="439" t="s">
        <v>400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41" t="s">
        <v>239</v>
      </c>
      <c r="C159" s="442"/>
      <c r="D159" s="442"/>
      <c r="E159" s="442"/>
      <c r="F159" s="442"/>
      <c r="G159" s="442"/>
      <c r="H159" s="442"/>
      <c r="I159" s="442"/>
      <c r="J159" s="442"/>
      <c r="K159" s="442"/>
      <c r="L159" s="442"/>
      <c r="M159" s="442"/>
      <c r="N159" s="443"/>
    </row>
    <row r="160" spans="2:14" s="93" customFormat="1" ht="24.95" customHeight="1">
      <c r="B160" s="441" t="s">
        <v>240</v>
      </c>
      <c r="C160" s="442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3"/>
    </row>
    <row r="161" spans="2:14" s="93" customFormat="1" ht="41.25" customHeight="1">
      <c r="B161" s="459"/>
      <c r="C161" s="460"/>
      <c r="D161" s="460"/>
      <c r="E161" s="460"/>
      <c r="F161" s="460"/>
      <c r="G161" s="460"/>
      <c r="H161" s="460"/>
      <c r="I161" s="460"/>
      <c r="J161" s="460"/>
      <c r="K161" s="460"/>
      <c r="L161" s="460"/>
      <c r="M161" s="460"/>
      <c r="N161" s="461"/>
    </row>
    <row r="162" spans="2:14" s="93" customFormat="1" ht="39.950000000000003" customHeight="1">
      <c r="B162" s="462"/>
      <c r="C162" s="463"/>
      <c r="D162" s="463"/>
      <c r="E162" s="463"/>
      <c r="F162" s="463"/>
      <c r="G162" s="463"/>
      <c r="H162" s="463"/>
      <c r="I162" s="463"/>
      <c r="J162" s="463"/>
      <c r="K162" s="463"/>
      <c r="L162" s="463"/>
      <c r="M162" s="463"/>
      <c r="N162" s="464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 thickBo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30" customHeight="1" thickTop="1">
      <c r="B165" s="449" t="s">
        <v>110</v>
      </c>
      <c r="C165" s="450"/>
      <c r="D165" s="450"/>
      <c r="E165" s="453"/>
      <c r="F165" s="454"/>
      <c r="G165" s="454"/>
      <c r="H165" s="454"/>
      <c r="I165" s="454"/>
      <c r="J165" s="454"/>
      <c r="K165" s="454"/>
      <c r="L165" s="455"/>
      <c r="M165" s="450" t="s">
        <v>204</v>
      </c>
      <c r="N165" s="451"/>
    </row>
    <row r="166" spans="2:14" s="93" customFormat="1" ht="33" customHeight="1" thickBot="1">
      <c r="B166" s="452" t="s">
        <v>107</v>
      </c>
      <c r="C166" s="447"/>
      <c r="D166" s="447"/>
      <c r="E166" s="456"/>
      <c r="F166" s="457"/>
      <c r="G166" s="457"/>
      <c r="H166" s="457"/>
      <c r="I166" s="457"/>
      <c r="J166" s="457"/>
      <c r="K166" s="457"/>
      <c r="L166" s="458"/>
      <c r="M166" s="447" t="s">
        <v>108</v>
      </c>
      <c r="N166" s="448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2:C42"/>
    <mergeCell ref="B131:C131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43698</v>
      </c>
      <c r="F2" s="516" t="s">
        <v>244</v>
      </c>
      <c r="G2" s="516"/>
    </row>
    <row r="3" spans="3:13">
      <c r="C3" s="297" t="s">
        <v>126</v>
      </c>
      <c r="D3" s="517" t="str">
        <f>QUOTATION!F7</f>
        <v>Mr. Ravi</v>
      </c>
      <c r="E3" s="517"/>
      <c r="F3" s="520" t="s">
        <v>245</v>
      </c>
      <c r="G3" s="521">
        <f>QUOTATION!N8</f>
        <v>43698</v>
      </c>
    </row>
    <row r="4" spans="3:13">
      <c r="C4" s="297" t="s">
        <v>242</v>
      </c>
      <c r="D4" s="518" t="str">
        <f>QUOTATION!M6</f>
        <v>ABPL-DE-19.20-2165</v>
      </c>
      <c r="E4" s="518"/>
      <c r="F4" s="520"/>
      <c r="G4" s="522"/>
    </row>
    <row r="5" spans="3:13">
      <c r="C5" s="297" t="s">
        <v>127</v>
      </c>
      <c r="D5" s="517" t="str">
        <f>QUOTATION!F8</f>
        <v>Rajahmundry</v>
      </c>
      <c r="E5" s="517"/>
      <c r="F5" s="520"/>
      <c r="G5" s="522"/>
    </row>
    <row r="6" spans="3:13">
      <c r="C6" s="297" t="s">
        <v>168</v>
      </c>
      <c r="D6" s="517" t="str">
        <f>QUOTATION!F9</f>
        <v>Mr. Srinivas : 9949077279</v>
      </c>
      <c r="E6" s="517"/>
      <c r="F6" s="520"/>
      <c r="G6" s="522"/>
    </row>
    <row r="7" spans="3:13">
      <c r="C7" s="297" t="s">
        <v>375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Anodized 101520</v>
      </c>
      <c r="E8" s="517"/>
      <c r="F8" s="520"/>
      <c r="G8" s="522"/>
    </row>
    <row r="9" spans="3:13">
      <c r="C9" s="297" t="s">
        <v>177</v>
      </c>
      <c r="D9" s="517">
        <f>QUOTATION!I10</f>
        <v>0</v>
      </c>
      <c r="E9" s="517"/>
      <c r="F9" s="520"/>
      <c r="G9" s="522"/>
    </row>
    <row r="10" spans="3:13">
      <c r="C10" s="297" t="s">
        <v>179</v>
      </c>
      <c r="D10" s="517" t="str">
        <f>QUOTATION!I8</f>
        <v>1.5Kpa</v>
      </c>
      <c r="E10" s="517"/>
      <c r="F10" s="520"/>
      <c r="G10" s="522"/>
    </row>
    <row r="11" spans="3:13">
      <c r="C11" s="297" t="s">
        <v>241</v>
      </c>
      <c r="D11" s="517" t="str">
        <f>QUOTATION!M9</f>
        <v>Ranjan</v>
      </c>
      <c r="E11" s="517"/>
      <c r="F11" s="520"/>
      <c r="G11" s="522"/>
    </row>
    <row r="12" spans="3:13">
      <c r="C12" s="297" t="s">
        <v>243</v>
      </c>
      <c r="D12" s="519">
        <f>QUOTATION!M7</f>
        <v>43698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2788.76</v>
      </c>
      <c r="F14" s="205"/>
      <c r="G14" s="206">
        <f>E14</f>
        <v>2788.76</v>
      </c>
    </row>
    <row r="15" spans="3:13">
      <c r="C15" s="194" t="s">
        <v>234</v>
      </c>
      <c r="D15" s="296">
        <f>'Changable Values'!D4</f>
        <v>83</v>
      </c>
      <c r="E15" s="199">
        <f>E14*D15</f>
        <v>231467.08000000002</v>
      </c>
      <c r="F15" s="205"/>
      <c r="G15" s="207">
        <f>E15</f>
        <v>231467.08000000002</v>
      </c>
    </row>
    <row r="16" spans="3:13">
      <c r="C16" s="195" t="s">
        <v>97</v>
      </c>
      <c r="D16" s="200">
        <f>'Changable Values'!D5</f>
        <v>0.1</v>
      </c>
      <c r="E16" s="199">
        <f>E15*D16</f>
        <v>23146.708000000002</v>
      </c>
      <c r="F16" s="208">
        <f>'Changable Values'!D5</f>
        <v>0.1</v>
      </c>
      <c r="G16" s="207">
        <f>G15*F16</f>
        <v>23146.708000000002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28007.516680000004</v>
      </c>
      <c r="F17" s="208">
        <f>'Changable Values'!D6</f>
        <v>0.11</v>
      </c>
      <c r="G17" s="207">
        <f>SUM(G15:G16)*F17</f>
        <v>28007.516680000004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1413.1065234000002</v>
      </c>
      <c r="F18" s="208">
        <f>'Changable Values'!D7</f>
        <v>5.0000000000000001E-3</v>
      </c>
      <c r="G18" s="207">
        <f>SUM(G15:G17)*F18</f>
        <v>1413.1065234000002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2840.3441120340008</v>
      </c>
      <c r="F19" s="208">
        <f>'Changable Values'!D8</f>
        <v>0.01</v>
      </c>
      <c r="G19" s="207">
        <f>SUM(G15:G18)*F19</f>
        <v>2840.3441120340008</v>
      </c>
    </row>
    <row r="20" spans="3:7">
      <c r="C20" s="195" t="s">
        <v>99</v>
      </c>
      <c r="D20" s="201"/>
      <c r="E20" s="199">
        <f>SUM(E15:E19)</f>
        <v>286874.75531543407</v>
      </c>
      <c r="F20" s="208"/>
      <c r="G20" s="207">
        <f>SUM(G15:G19)</f>
        <v>286874.75531543407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4303.1213297315107</v>
      </c>
      <c r="F21" s="208">
        <f>'Changable Values'!D9</f>
        <v>1.4999999999999999E-2</v>
      </c>
      <c r="G21" s="207">
        <f>G20*F21</f>
        <v>4303.1213297315107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102518.88457200001</v>
      </c>
      <c r="F23" s="209"/>
      <c r="G23" s="207">
        <f t="shared" si="0"/>
        <v>102518.88457200001</v>
      </c>
    </row>
    <row r="24" spans="3:7">
      <c r="C24" s="195" t="s">
        <v>229</v>
      </c>
      <c r="D24" s="198"/>
      <c r="E24" s="199">
        <f>'Cost Calculation'!AH111</f>
        <v>16669.254590163935</v>
      </c>
      <c r="F24" s="209"/>
      <c r="G24" s="207">
        <f t="shared" si="0"/>
        <v>16669.254590163935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20758.338478799997</v>
      </c>
      <c r="F27" s="209"/>
      <c r="G27" s="207">
        <f t="shared" si="0"/>
        <v>20758.338478799997</v>
      </c>
    </row>
    <row r="28" spans="3:7">
      <c r="C28" s="195" t="s">
        <v>88</v>
      </c>
      <c r="D28" s="198"/>
      <c r="E28" s="199">
        <f>'Cost Calculation'!AN109</f>
        <v>16606.670783039997</v>
      </c>
      <c r="F28" s="209"/>
      <c r="G28" s="207">
        <f t="shared" si="0"/>
        <v>16606.670783039997</v>
      </c>
    </row>
    <row r="29" spans="3:7">
      <c r="C29" s="293" t="s">
        <v>378</v>
      </c>
      <c r="D29" s="294"/>
      <c r="E29" s="295">
        <f>SUM(E20:E28)</f>
        <v>447731.02506916947</v>
      </c>
      <c r="F29" s="209"/>
      <c r="G29" s="207">
        <f>SUM(G20:G21,G24)</f>
        <v>307847.13123532949</v>
      </c>
    </row>
    <row r="30" spans="3:7">
      <c r="C30" s="293" t="s">
        <v>379</v>
      </c>
      <c r="D30" s="294"/>
      <c r="E30" s="295">
        <f>E29/E33</f>
        <v>2156.873130893528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384808.91404416179</v>
      </c>
      <c r="F31" s="214">
        <f>'Changable Values'!D23</f>
        <v>1.25</v>
      </c>
      <c r="G31" s="207">
        <f>G29*F31</f>
        <v>384808.91404416185</v>
      </c>
    </row>
    <row r="32" spans="3:7">
      <c r="C32" s="290" t="s">
        <v>5</v>
      </c>
      <c r="D32" s="291"/>
      <c r="E32" s="292">
        <f>E31+E29</f>
        <v>832539.93911333126</v>
      </c>
      <c r="F32" s="205"/>
      <c r="G32" s="207">
        <f>SUM(G25:G31,G22:G23)</f>
        <v>832539.93911333126</v>
      </c>
    </row>
    <row r="33" spans="3:7">
      <c r="C33" s="300" t="s">
        <v>230</v>
      </c>
      <c r="D33" s="301"/>
      <c r="E33" s="308">
        <f>'Cost Calculation'!K109</f>
        <v>207.58338478799999</v>
      </c>
      <c r="F33" s="210"/>
      <c r="G33" s="211">
        <f>E33</f>
        <v>207.58338478799999</v>
      </c>
    </row>
    <row r="34" spans="3:7">
      <c r="C34" s="302" t="s">
        <v>9</v>
      </c>
      <c r="D34" s="303"/>
      <c r="E34" s="304">
        <f>QUOTATION!L116</f>
        <v>2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4010.6289815227005</v>
      </c>
      <c r="F35" s="212"/>
      <c r="G35" s="213">
        <f>G32/(G33)</f>
        <v>4010.6289815227005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2019-08-21T09:06:37Z</cp:lastPrinted>
  <dcterms:created xsi:type="dcterms:W3CDTF">2010-12-18T06:34:46Z</dcterms:created>
  <dcterms:modified xsi:type="dcterms:W3CDTF">2019-08-28T10:24:20Z</dcterms:modified>
</cp:coreProperties>
</file>