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Drawings!$C$2:$O$106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1" i="158" l="1"/>
  <c r="Q9" i="158"/>
  <c r="Q8" i="158"/>
  <c r="Q7" i="158"/>
  <c r="R5" i="158"/>
  <c r="R4" i="158"/>
  <c r="N6" i="166" l="1"/>
  <c r="A8" i="169" l="1"/>
  <c r="U3" i="169" l="1"/>
  <c r="U4" i="169"/>
  <c r="U5" i="169"/>
  <c r="U6" i="169"/>
  <c r="U7" i="169"/>
  <c r="U8" i="169"/>
  <c r="U9" i="169"/>
  <c r="U10" i="169"/>
  <c r="U2" i="169"/>
  <c r="T3" i="169"/>
  <c r="T4" i="169"/>
  <c r="T5" i="169"/>
  <c r="T6" i="169"/>
  <c r="T7" i="169"/>
  <c r="T8" i="169"/>
  <c r="T9" i="169"/>
  <c r="T10" i="169"/>
  <c r="T2" i="169"/>
  <c r="S2" i="169"/>
  <c r="S3" i="169"/>
  <c r="S4" i="169"/>
  <c r="S5" i="169"/>
  <c r="S6" i="169"/>
  <c r="S7" i="169"/>
  <c r="S8" i="169"/>
  <c r="S9" i="169"/>
  <c r="S10" i="169"/>
  <c r="R2" i="169"/>
  <c r="R3" i="169"/>
  <c r="R4" i="169"/>
  <c r="R5" i="169"/>
  <c r="R6" i="169"/>
  <c r="R7" i="169"/>
  <c r="R8" i="169"/>
  <c r="R9" i="169"/>
  <c r="R10" i="169"/>
  <c r="Q3" i="169"/>
  <c r="Q4" i="169"/>
  <c r="Q5" i="169"/>
  <c r="Q6" i="169"/>
  <c r="Q7" i="169"/>
  <c r="Q8" i="169"/>
  <c r="Q9" i="169"/>
  <c r="Q10" i="169"/>
  <c r="Q2" i="169"/>
  <c r="P3" i="169"/>
  <c r="P4" i="169"/>
  <c r="P5" i="169"/>
  <c r="P6" i="169"/>
  <c r="P7" i="169"/>
  <c r="P8" i="169"/>
  <c r="P9" i="169"/>
  <c r="P10" i="169"/>
  <c r="P2" i="169"/>
  <c r="O2" i="169"/>
  <c r="O3" i="169"/>
  <c r="O4" i="169"/>
  <c r="O5" i="169"/>
  <c r="O6" i="169"/>
  <c r="O7" i="169"/>
  <c r="O8" i="169"/>
  <c r="O9" i="169"/>
  <c r="O10" i="169"/>
  <c r="N3" i="169"/>
  <c r="N4" i="169"/>
  <c r="N5" i="169"/>
  <c r="N6" i="169"/>
  <c r="N7" i="169"/>
  <c r="N8" i="169"/>
  <c r="N9" i="169"/>
  <c r="N10" i="169"/>
  <c r="N2" i="169"/>
  <c r="M3" i="169"/>
  <c r="M4" i="169"/>
  <c r="M5" i="169"/>
  <c r="M6" i="169"/>
  <c r="M7" i="169"/>
  <c r="M8" i="169"/>
  <c r="M9" i="169"/>
  <c r="M10" i="169"/>
  <c r="M2" i="169"/>
  <c r="L3" i="169"/>
  <c r="L4" i="169"/>
  <c r="L5" i="169"/>
  <c r="L6" i="169"/>
  <c r="L7" i="169"/>
  <c r="L8" i="169"/>
  <c r="L9" i="169"/>
  <c r="L10" i="169"/>
  <c r="L2" i="169"/>
  <c r="K2" i="169"/>
  <c r="K3" i="169"/>
  <c r="K4" i="169"/>
  <c r="K5" i="169"/>
  <c r="K6" i="169"/>
  <c r="K7" i="169"/>
  <c r="K8" i="169"/>
  <c r="K9" i="169"/>
  <c r="K10" i="169"/>
  <c r="J3" i="169"/>
  <c r="J4" i="169"/>
  <c r="J5" i="169"/>
  <c r="J6" i="169"/>
  <c r="J7" i="169"/>
  <c r="J8" i="169"/>
  <c r="J9" i="169"/>
  <c r="J10" i="169"/>
  <c r="J2" i="169"/>
  <c r="I3" i="169"/>
  <c r="I4" i="169"/>
  <c r="I5" i="169"/>
  <c r="I6" i="169"/>
  <c r="I7" i="169"/>
  <c r="I8" i="169"/>
  <c r="I9" i="169"/>
  <c r="I10" i="169"/>
  <c r="I2" i="169"/>
  <c r="F3" i="169"/>
  <c r="F4" i="169"/>
  <c r="F5" i="169"/>
  <c r="F6" i="169"/>
  <c r="F7" i="169"/>
  <c r="F8" i="169"/>
  <c r="F9" i="169"/>
  <c r="F10" i="169"/>
  <c r="F2" i="169"/>
  <c r="E3" i="169"/>
  <c r="E4" i="169"/>
  <c r="E5" i="169"/>
  <c r="E6" i="169"/>
  <c r="E7" i="169"/>
  <c r="E8" i="169"/>
  <c r="E9" i="169"/>
  <c r="E1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A3" i="169"/>
  <c r="A4" i="169"/>
  <c r="A5" i="169"/>
  <c r="A6" i="169"/>
  <c r="A7" i="169"/>
  <c r="A9" i="169"/>
  <c r="A1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AH15" i="159" l="1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25" i="159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F23" i="164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<sst xmlns="http://schemas.openxmlformats.org/spreadsheetml/2006/main" count="1974" uniqueCount="461">
  <si>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</si>
  <si>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</si>
  <si>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</si>
  <si>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</si>
  <si>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</si>
  <si>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</si>
  <si>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</si>
  <si>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</si>
  <si>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</si>
  <si>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</si>
  <si>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</si>
  <si>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</si>
  <si>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</si>
  <si>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</si>
  <si>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</si>
  <si>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</si>
  <si>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</si>
  <si>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</si>
  <si>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</si>
  <si>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</si>
  <si>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</si>
  <si>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</si>
  <si>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</si>
  <si>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</si>
  <si>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</si>
  <si>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</si>
  <si>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</si>
  <si>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</si>
  <si>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</si>
  <si>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</si>
  <si>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</si>
  <si>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</si>
  <si>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</si>
  <si>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</si>
  <si>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</si>
  <si>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</si>
  <si>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</si>
  <si>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</si>
  <si>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</si>
  <si>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</si>
  <si>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</si>
  <si>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</si>
  <si>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</si>
  <si>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</si>
  <si>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</si>
  <si>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</si>
  <si>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</si>
  <si>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</si>
  <si>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</si>
  <si>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</si>
  <si>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</si>
  <si>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</si>
  <si>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</si>
  <si>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</si>
  <si>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</si>
  <si>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</si>
  <si>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</si>
  <si>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</si>
  <si>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</si>
  <si>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</si>
  <si>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</si>
  <si>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</si>
  <si>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</si>
  <si>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</si>
  <si>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</si>
  <si>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</si>
  <si>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</si>
  <si>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</si>
  <si>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</si>
  <si>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</si>
  <si>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</si>
  <si>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</si>
  <si>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</si>
  <si>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</si>
  <si>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</si>
  <si>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</si>
  <si>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</si>
  <si>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</si>
  <si>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</si>
  <si>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</si>
  <si>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</si>
  <si>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</si>
  <si>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</si>
  <si>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</si>
  <si>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</si>
  <si>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</si>
  <si>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</si>
  <si>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</si>
  <si>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</si>
  <si>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</si>
  <si>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</si>
  <si>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</si>
  <si>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</si>
  <si>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</si>
  <si>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</si>
  <si>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</si>
  <si>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</si>
  <si>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</si>
  <si>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</si>
  <si>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</si>
  <si>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</si>
  <si>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</si>
  <si>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</si>
  <si>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</si>
  <si>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</si>
  <si>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</si>
  <si>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</si>
  <si>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</si>
  <si>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</si>
  <si>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</si>
  <si>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</si>
  <si>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</si>
  <si>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</si>
  <si>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</si>
  <si>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</si>
  <si>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</si>
  <si>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</si>
  <si>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</si>
  <si>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</si>
  <si>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</si>
  <si>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</si>
  <si>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</si>
  <si>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</si>
  <si>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</si>
  <si>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</si>
  <si>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</si>
  <si>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</si>
  <si>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</si>
  <si>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</si>
  <si>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</si>
  <si>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</si>
  <si>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</si>
  <si>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</si>
  <si>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</si>
  <si>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</si>
  <si>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</si>
  <si>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</si>
  <si>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</si>
  <si>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</si>
  <si>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</si>
  <si>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</si>
  <si>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</si>
  <si>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</si>
  <si>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</si>
  <si>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</si>
  <si>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</si>
  <si>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</si>
  <si>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</si>
  <si>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</si>
  <si>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</si>
  <si>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</si>
  <si>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</si>
  <si>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</si>
  <si>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</si>
  <si>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</si>
  <si>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</si>
  <si>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</si>
  <si>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</si>
  <si>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</si>
  <si>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</si>
  <si>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</si>
  <si>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</si>
  <si>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</si>
  <si>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</si>
  <si>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</si>
  <si>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</si>
  <si>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</si>
  <si>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</si>
  <si>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</si>
  <si>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</si>
  <si>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</si>
  <si>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</si>
  <si>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</si>
  <si>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</si>
  <si>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</si>
  <si>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</si>
  <si>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</si>
  <si>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</si>
  <si>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</si>
  <si>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</si>
  <si>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</si>
  <si>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</si>
  <si>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</si>
  <si>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</si>
  <si>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</si>
  <si>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</si>
  <si>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</si>
  <si>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</si>
  <si>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</si>
  <si>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</si>
  <si>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</si>
  <si>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</si>
  <si>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</si>
  <si>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</si>
  <si>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</si>
  <si>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</si>
  <si>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</si>
  <si>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</si>
  <si>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</si>
  <si>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</si>
  <si>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</si>
  <si>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</si>
  <si>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</si>
  <si>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</si>
  <si>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</si>
  <si>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</si>
  <si>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</si>
  <si>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</si>
  <si>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</si>
  <si>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</si>
  <si>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</si>
  <si>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</si>
  <si>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</si>
  <si>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</si>
  <si>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</si>
  <si>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</si>
  <si>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</si>
  <si>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</si>
  <si>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</si>
  <si>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</si>
  <si>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</si>
  <si>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</si>
  <si>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</si>
  <si>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</si>
  <si>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</si>
  <si>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</si>
  <si>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</si>
  <si>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</si>
  <si>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</si>
  <si>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</si>
  <si>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</si>
  <si>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</si>
  <si>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</si>
  <si>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</si>
  <si>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</si>
  <si>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</si>
  <si>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</si>
  <si>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</si>
  <si>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</si>
  <si>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</si>
  <si>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</si>
  <si>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</si>
  <si>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</si>
  <si>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</si>
  <si>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</si>
  <si>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</si>
  <si>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</si>
  <si>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</si>
  <si>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</si>
  <si>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</si>
  <si>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</si>
  <si>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</si>
  <si>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</si>
  <si>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</si>
  <si>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</si>
  <si>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</si>
  <si>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</si>
  <si>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</si>
  <si>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</si>
  <si>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</si>
  <si>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</si>
  <si>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</si>
  <si>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</si>
  <si>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</si>
  <si>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</si>
  <si>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</si>
  <si>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</si>
  <si>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</si>
  <si>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</si>
  <si>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</si>
  <si>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</si>
  <si>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</si>
  <si>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</si>
  <si>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</si>
  <si>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</si>
  <si>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</si>
  <si>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</si>
  <si>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</si>
  <si>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</si>
  <si>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</si>
  <si>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</si>
  <si>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</si>
  <si>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</si>
  <si>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</si>
  <si>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</si>
  <si>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</si>
  <si>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</si>
  <si>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</si>
  <si>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</si>
  <si>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</si>
  <si>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</si>
  <si>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</si>
  <si>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</si>
  <si>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</si>
  <si>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</si>
  <si>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</si>
  <si>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</si>
  <si>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</si>
  <si>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</si>
  <si>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</si>
  <si>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</si>
  <si>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</si>
  <si>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</si>
  <si>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</si>
  <si>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</si>
  <si>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</si>
  <si>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</si>
  <si>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</si>
  <si>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</si>
  <si>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</si>
  <si>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</si>
  <si>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</si>
  <si>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</si>
  <si>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</si>
  <si>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</si>
  <si>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</si>
  <si>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</si>
  <si>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</si>
  <si>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</si>
  <si>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</si>
  <si>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</si>
  <si>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</si>
  <si>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</si>
  <si>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</si>
  <si>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</si>
  <si>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</si>
  <si>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</si>
  <si>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</si>
  <si>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</si>
  <si>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</si>
  <si>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</si>
  <si>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</si>
  <si>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</si>
  <si>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</si>
  <si>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</si>
  <si>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</si>
  <si>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</si>
  <si>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</si>
  <si>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</si>
  <si>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</si>
  <si>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</si>
  <si>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</si>
  <si>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</si>
  <si>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</si>
  <si>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</si>
  <si>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</si>
  <si>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</si>
  <si>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</si>
  <si>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</si>
  <si>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</si>
  <si>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</si>
  <si>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</si>
  <si>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</si>
  <si>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</si>
  <si>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</si>
  <si>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</si>
  <si>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</si>
  <si>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</si>
  <si>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</si>
  <si>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</si>
  <si>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</si>
  <si>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</si>
  <si>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</si>
  <si>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</si>
  <si>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</si>
  <si>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</si>
  <si>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</si>
  <si>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</si>
  <si>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</si>
  <si>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</si>
  <si>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</si>
  <si>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</si>
  <si>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</si>
  <si>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</si>
  <si>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</si>
  <si>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</si>
  <si>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</si>
  <si>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</si>
  <si>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</si>
  <si>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</si>
  <si>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</si>
  <si>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</si>
  <si>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</si>
  <si>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</si>
  <si>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</si>
  <si>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</si>
  <si>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</si>
  <si>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</si>
  <si>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</si>
  <si>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</si>
  <si>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</si>
  <si>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</si>
  <si>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</si>
  <si>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</si>
  <si>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</si>
  <si>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</si>
  <si>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</si>
  <si>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</si>
  <si>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</si>
  <si>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</si>
  <si>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</si>
  <si>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</si>
  <si>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</si>
  <si>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</si>
  <si>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</si>
  <si>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</si>
  <si>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</si>
  <si>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</si>
  <si>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</si>
  <si>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</si>
  <si>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</si>
  <si>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</si>
  <si>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</si>
  <si>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</si>
  <si>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</si>
  <si>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</si>
  <si>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</si>
  <si>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</si>
  <si>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</si>
  <si>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</si>
  <si>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</si>
  <si>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</si>
  <si>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</si>
  <si>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Sumadhura Infracon Pvt. Ltd.</t>
  </si>
  <si>
    <t>Hyderabad</t>
  </si>
  <si>
    <t>Anodized</t>
  </si>
  <si>
    <t>ABPL-DE-19.20-2166</t>
  </si>
  <si>
    <t>W1</t>
  </si>
  <si>
    <t>M9800</t>
  </si>
  <si>
    <t>5 LEAF SLIDE &amp; FOLD DOOR</t>
  </si>
  <si>
    <t>8MM</t>
  </si>
  <si>
    <t>RETRACTABLE</t>
  </si>
  <si>
    <t>PARTY ROOM</t>
  </si>
  <si>
    <t>W2</t>
  </si>
  <si>
    <t>M15000</t>
  </si>
  <si>
    <t>SINGLE DOOR WITH 4 FIXED GLASS</t>
  </si>
  <si>
    <t>PARTY ROOM TO GYM</t>
  </si>
  <si>
    <t>W3</t>
  </si>
  <si>
    <t>FIXED GLASS 3 NO'S</t>
  </si>
  <si>
    <t>NO</t>
  </si>
  <si>
    <t>GYM</t>
  </si>
  <si>
    <t>W4</t>
  </si>
  <si>
    <t>M900</t>
  </si>
  <si>
    <t>3 TRACK 2 SHUTTER SLIDING WINDOW</t>
  </si>
  <si>
    <t>SS</t>
  </si>
  <si>
    <t>KITCHEN</t>
  </si>
  <si>
    <t>W5</t>
  </si>
  <si>
    <t>W6</t>
  </si>
  <si>
    <t>SERVANT BEDROOM</t>
  </si>
  <si>
    <t>W7</t>
  </si>
  <si>
    <t>FIXED GLASS WITH GLASS LOUVERS</t>
  </si>
  <si>
    <t>8MM (F)</t>
  </si>
  <si>
    <t>SERVANT TOILET</t>
  </si>
  <si>
    <t>W8</t>
  </si>
  <si>
    <t>W9</t>
  </si>
  <si>
    <t>-</t>
  </si>
  <si>
    <t>GLASS LOUVERS</t>
  </si>
  <si>
    <t>6MM</t>
  </si>
  <si>
    <t>8mm :- 8mm Clear Toughened Glass</t>
  </si>
  <si>
    <t>6mm :- 6mm Frosted Glass</t>
  </si>
  <si>
    <t>8mm (F) :- 8mm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</si>
</sst>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1444337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463825</xdr:colOff>
      <xdr:row>8</xdr:row>
      <xdr:rowOff>82825</xdr:rowOff>
    </xdr:from>
    <xdr:to>
      <xdr:col>9</xdr:col>
      <xdr:colOff>231913</xdr:colOff>
      <xdr:row>16</xdr:row>
      <xdr:rowOff>210109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21" y="1557129"/>
          <a:ext cx="4273827" cy="2645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82825</xdr:colOff>
      <xdr:row>19</xdr:row>
      <xdr:rowOff>132522</xdr:rowOff>
    </xdr:from>
    <xdr:to>
      <xdr:col>10</xdr:col>
      <xdr:colOff>140804</xdr:colOff>
      <xdr:row>27</xdr:row>
      <xdr:rowOff>242331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021" y="4919870"/>
          <a:ext cx="5151783" cy="26277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571499</xdr:colOff>
      <xdr:row>30</xdr:row>
      <xdr:rowOff>82826</xdr:rowOff>
    </xdr:from>
    <xdr:to>
      <xdr:col>9</xdr:col>
      <xdr:colOff>248478</xdr:colOff>
      <xdr:row>38</xdr:row>
      <xdr:rowOff>231410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5" y="8183217"/>
          <a:ext cx="4182718" cy="26664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496956</xdr:colOff>
      <xdr:row>41</xdr:row>
      <xdr:rowOff>157369</xdr:rowOff>
    </xdr:from>
    <xdr:to>
      <xdr:col>5</xdr:col>
      <xdr:colOff>1971261</xdr:colOff>
      <xdr:row>49</xdr:row>
      <xdr:rowOff>66717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6" y="11570804"/>
          <a:ext cx="1474305" cy="2427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463824</xdr:colOff>
      <xdr:row>52</xdr:row>
      <xdr:rowOff>248477</xdr:rowOff>
    </xdr:from>
    <xdr:to>
      <xdr:col>5</xdr:col>
      <xdr:colOff>1880151</xdr:colOff>
      <xdr:row>59</xdr:row>
      <xdr:rowOff>308023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4" y="14974955"/>
          <a:ext cx="1416327" cy="2262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306455</xdr:colOff>
      <xdr:row>63</xdr:row>
      <xdr:rowOff>281609</xdr:rowOff>
    </xdr:from>
    <xdr:to>
      <xdr:col>5</xdr:col>
      <xdr:colOff>1896716</xdr:colOff>
      <xdr:row>70</xdr:row>
      <xdr:rowOff>97127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5" y="18321131"/>
          <a:ext cx="1590261" cy="2018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75</xdr:row>
      <xdr:rowOff>289891</xdr:rowOff>
    </xdr:from>
    <xdr:to>
      <xdr:col>5</xdr:col>
      <xdr:colOff>1722782</xdr:colOff>
      <xdr:row>80</xdr:row>
      <xdr:rowOff>251328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1957195"/>
          <a:ext cx="1341783" cy="1535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76</xdr:row>
      <xdr:rowOff>190500</xdr:rowOff>
    </xdr:from>
    <xdr:to>
      <xdr:col>5</xdr:col>
      <xdr:colOff>1126435</xdr:colOff>
      <xdr:row>77</xdr:row>
      <xdr:rowOff>74543</xdr:rowOff>
    </xdr:to>
    <xdr:grpSp>
      <xdr:nvGrpSpPr>
        <xdr:cNvPr id="13" name="Group 12"/>
        <xdr:cNvGrpSpPr/>
      </xdr:nvGrpSpPr>
      <xdr:grpSpPr>
        <a:xfrm>
          <a:off x="3561522" y="22172543"/>
          <a:ext cx="612913" cy="198783"/>
          <a:chOff x="3561522" y="22172543"/>
          <a:chExt cx="612913" cy="198783"/>
        </a:xfrm>
      </xdr:grpSpPr>
      <xdr:cxnSp macro="">
        <xdr:nvCxnSpPr>
          <xdr:cNvPr id="10" name="Straight Connector 9"/>
          <xdr:cNvCxnSpPr/>
        </xdr:nvCxnSpPr>
        <xdr:spPr>
          <a:xfrm>
            <a:off x="3561522" y="22172543"/>
            <a:ext cx="612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3561522" y="22271934"/>
            <a:ext cx="612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61522" y="22371326"/>
            <a:ext cx="61291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273326</xdr:colOff>
      <xdr:row>85</xdr:row>
      <xdr:rowOff>190499</xdr:rowOff>
    </xdr:from>
    <xdr:to>
      <xdr:col>6</xdr:col>
      <xdr:colOff>1</xdr:colOff>
      <xdr:row>92</xdr:row>
      <xdr:rowOff>223616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6" y="24856108"/>
          <a:ext cx="1706218" cy="2236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98</xdr:row>
      <xdr:rowOff>41413</xdr:rowOff>
    </xdr:from>
    <xdr:to>
      <xdr:col>5</xdr:col>
      <xdr:colOff>1787663</xdr:colOff>
      <xdr:row>101</xdr:row>
      <xdr:rowOff>231913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5" y="28649543"/>
          <a:ext cx="1323838" cy="1134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621196</xdr:colOff>
      <xdr:row>98</xdr:row>
      <xdr:rowOff>265044</xdr:rowOff>
    </xdr:from>
    <xdr:to>
      <xdr:col>5</xdr:col>
      <xdr:colOff>1374913</xdr:colOff>
      <xdr:row>100</xdr:row>
      <xdr:rowOff>49695</xdr:rowOff>
    </xdr:to>
    <xdr:grpSp>
      <xdr:nvGrpSpPr>
        <xdr:cNvPr id="22" name="Group 21"/>
        <xdr:cNvGrpSpPr/>
      </xdr:nvGrpSpPr>
      <xdr:grpSpPr>
        <a:xfrm>
          <a:off x="3669196" y="28873174"/>
          <a:ext cx="753717" cy="414130"/>
          <a:chOff x="3669196" y="28873174"/>
          <a:chExt cx="753717" cy="414130"/>
        </a:xfrm>
      </xdr:grpSpPr>
      <xdr:cxnSp macro="">
        <xdr:nvCxnSpPr>
          <xdr:cNvPr id="17" name="Straight Connector 16"/>
          <xdr:cNvCxnSpPr/>
        </xdr:nvCxnSpPr>
        <xdr:spPr>
          <a:xfrm>
            <a:off x="3669196" y="2887317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3669196" y="28980848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669196" y="2908852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669196" y="29212761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3669196" y="2928730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1.8</v>
      </c>
      <c r="E23" s="175"/>
      <c r="F23" s="159">
        <f>QUOTATION!N117</f>
        <v>1352483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6" sqref="Q10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ABPL-DE-19.20-2166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Sumadhura Infracon Pvt. Ltd.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43700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43700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Mahesh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0" t="str">
        <f>'BD Team'!D9</f>
        <v>5 LEAF SLIDE &amp; FOLD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PARTY 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4867 X 2733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M9800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8MM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RETRACTABLE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W2</v>
      </c>
      <c r="F19" s="288" t="s">
        <v>254</v>
      </c>
      <c r="G19" s="540" t="str">
        <f>'BD Team'!D10</f>
        <v>SINGLE DOOR WITH 4 FIXED GLASS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PARTY ROOM TO GYM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5813 X 2576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8MM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RETRACTABLE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0" t="str">
        <f>'BD Team'!D11</f>
        <v>FIXED GLASS 3 NO'S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GYM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4176 X 2395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8MM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NO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KITCHEN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949 X 1280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8MM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W5</v>
      </c>
      <c r="F52" s="288" t="s">
        <v>254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KITCHEN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1012 X 1305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8MM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W6</v>
      </c>
      <c r="F63" s="288" t="s">
        <v>254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SERVANT BEDROOM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1250 X 1183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M900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8MM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W7</v>
      </c>
      <c r="F74" s="288" t="s">
        <v>254</v>
      </c>
      <c r="G74" s="540" t="str">
        <f>'BD Team'!D15</f>
        <v>FIXED GLASS WITH GLASS LOUVERS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SERVANT TOILET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496 X 821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8MM (F)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W8</v>
      </c>
      <c r="F85" s="288" t="s">
        <v>254</v>
      </c>
      <c r="G85" s="540" t="str">
        <f>'BD Team'!D16</f>
        <v>3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SERVANT BEDROOM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1227 X 1215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8MM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SS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W9</v>
      </c>
      <c r="F96" s="288" t="s">
        <v>254</v>
      </c>
      <c r="G96" s="540" t="str">
        <f>'BD Team'!D17</f>
        <v>GLASS LOUVERS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SERVANT TOILET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491 X 408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-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228</v>
      </c>
    </row>
    <row r="5" spans="3:5">
      <c r="C5" s="236" t="s">
        <v>395</v>
      </c>
      <c r="D5" s="236" t="s">
        <v>393</v>
      </c>
      <c r="E5" s="309">
        <f>ROUND(Pricing!U104,0.1)/40</f>
        <v>6.85</v>
      </c>
    </row>
    <row r="6" spans="3:5">
      <c r="C6" s="236" t="s">
        <v>83</v>
      </c>
      <c r="D6" s="236" t="s">
        <v>392</v>
      </c>
      <c r="E6" s="309">
        <f>ROUND(Pricing!V104,0.1)</f>
        <v>14</v>
      </c>
    </row>
    <row r="7" spans="3:5">
      <c r="C7" s="236" t="s">
        <v>399</v>
      </c>
      <c r="D7" s="236" t="s">
        <v>391</v>
      </c>
      <c r="E7" s="309">
        <f>ROUND(Pricing!W104,0.1)</f>
        <v>228</v>
      </c>
    </row>
    <row r="8" spans="3:5">
      <c r="C8" s="236" t="s">
        <v>396</v>
      </c>
      <c r="D8" s="236" t="s">
        <v>391</v>
      </c>
      <c r="E8" s="309">
        <f>ROUND(Pricing!X104,0.1)</f>
        <v>456</v>
      </c>
    </row>
    <row r="9" spans="3:5">
      <c r="C9" t="s">
        <v>222</v>
      </c>
      <c r="D9" s="236" t="s">
        <v>394</v>
      </c>
      <c r="E9" s="309">
        <f>ROUND(Pricing!Y104,0.1)</f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0"/>
  <sheetViews>
    <sheetView workbookViewId="0">
      <selection activeCell="A11" sqref="A11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M9800</v>
      </c>
      <c r="C2" s="318" t="str">
        <f>'BD Team'!D9</f>
        <v>5 LEAF SLIDE &amp; FOLD DOOR</v>
      </c>
      <c r="D2" s="318" t="str">
        <f>'BD Team'!E9</f>
        <v>8MM</v>
      </c>
      <c r="E2" s="318" t="str">
        <f>'BD Team'!G9</f>
        <v>PARTY ROOM</v>
      </c>
      <c r="F2" s="318" t="str">
        <f>'BD Team'!F9</f>
        <v>RETRACTABLE</v>
      </c>
      <c r="I2" s="318">
        <f>'BD Team'!H9</f>
        <v>4867</v>
      </c>
      <c r="J2" s="318">
        <f>'BD Team'!I9</f>
        <v>2733</v>
      </c>
      <c r="K2" s="318">
        <f>'BD Team'!J9</f>
        <v>1</v>
      </c>
      <c r="L2" s="319">
        <f>'BD Team'!K9</f>
        <v>1137.1600000000001</v>
      </c>
      <c r="M2" s="318">
        <f>Pricing!O4</f>
        <v>1322</v>
      </c>
      <c r="N2" s="318">
        <f>Pricing!Q4</f>
        <v>0</v>
      </c>
      <c r="O2" s="318">
        <f>Pricing!R4</f>
        <v>9687.5999999999985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SINGLE DOOR WITH 4 FIXED GLASS</v>
      </c>
      <c r="D3" s="318" t="str">
        <f>'BD Team'!E10</f>
        <v>8MM</v>
      </c>
      <c r="E3" s="318" t="str">
        <f>'BD Team'!G10</f>
        <v>PARTY ROOM TO GYM</v>
      </c>
      <c r="F3" s="318" t="str">
        <f>'BD Team'!F10</f>
        <v>RETRACTABLE</v>
      </c>
      <c r="I3" s="318">
        <f>'BD Team'!H10</f>
        <v>5813</v>
      </c>
      <c r="J3" s="318">
        <f>'BD Team'!I10</f>
        <v>2576</v>
      </c>
      <c r="K3" s="318">
        <f>'BD Team'!J10</f>
        <v>1</v>
      </c>
      <c r="L3" s="319">
        <f>'BD Team'!K10</f>
        <v>1113.3</v>
      </c>
      <c r="M3" s="318">
        <f>Pricing!O5</f>
        <v>1322</v>
      </c>
      <c r="N3" s="318">
        <f>Pricing!Q5</f>
        <v>0</v>
      </c>
      <c r="O3" s="318">
        <f>Pricing!R5</f>
        <v>1614.6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FIXED GLASS 3 NO'S</v>
      </c>
      <c r="D4" s="318" t="str">
        <f>'BD Team'!E11</f>
        <v>8MM</v>
      </c>
      <c r="E4" s="318" t="str">
        <f>'BD Team'!G11</f>
        <v>GYM</v>
      </c>
      <c r="F4" s="318" t="str">
        <f>'BD Team'!F11</f>
        <v>NO</v>
      </c>
      <c r="I4" s="318">
        <f>'BD Team'!H11</f>
        <v>4176</v>
      </c>
      <c r="J4" s="318">
        <f>'BD Team'!I11</f>
        <v>2395</v>
      </c>
      <c r="K4" s="318">
        <f>'BD Team'!J11</f>
        <v>1</v>
      </c>
      <c r="L4" s="319">
        <f>'BD Team'!K11</f>
        <v>351.78</v>
      </c>
      <c r="M4" s="318">
        <f>Pricing!O6</f>
        <v>1322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8MM</v>
      </c>
      <c r="E5" s="318" t="str">
        <f>'BD Team'!G12</f>
        <v>KITCHEN</v>
      </c>
      <c r="F5" s="318" t="str">
        <f>'BD Team'!F12</f>
        <v>SS</v>
      </c>
      <c r="I5" s="318">
        <f>'BD Team'!H12</f>
        <v>949</v>
      </c>
      <c r="J5" s="318">
        <f>'BD Team'!I12</f>
        <v>1280</v>
      </c>
      <c r="K5" s="318">
        <f>'BD Team'!J12</f>
        <v>1</v>
      </c>
      <c r="L5" s="319">
        <f>'BD Team'!K12</f>
        <v>161.76</v>
      </c>
      <c r="M5" s="318">
        <f>Pricing!O7</f>
        <v>1322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8MM</v>
      </c>
      <c r="E6" s="318" t="str">
        <f>'BD Team'!G13</f>
        <v>KITCHEN</v>
      </c>
      <c r="F6" s="318" t="str">
        <f>'BD Team'!F13</f>
        <v>SS</v>
      </c>
      <c r="I6" s="318">
        <f>'BD Team'!H13</f>
        <v>1012</v>
      </c>
      <c r="J6" s="318">
        <f>'BD Team'!I13</f>
        <v>1305</v>
      </c>
      <c r="K6" s="318">
        <f>'BD Team'!J13</f>
        <v>1</v>
      </c>
      <c r="L6" s="319">
        <f>'BD Team'!K13</f>
        <v>165.97</v>
      </c>
      <c r="M6" s="318">
        <f>Pricing!O8</f>
        <v>1322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8MM</v>
      </c>
      <c r="E7" s="318" t="str">
        <f>'BD Team'!G14</f>
        <v>SERVANT BEDROOM</v>
      </c>
      <c r="F7" s="318" t="str">
        <f>'BD Team'!F14</f>
        <v>SS</v>
      </c>
      <c r="I7" s="318">
        <f>'BD Team'!H14</f>
        <v>1250</v>
      </c>
      <c r="J7" s="318">
        <f>'BD Team'!I14</f>
        <v>1183</v>
      </c>
      <c r="K7" s="318">
        <f>'BD Team'!J14</f>
        <v>1</v>
      </c>
      <c r="L7" s="319">
        <f>'BD Team'!K14</f>
        <v>166.89</v>
      </c>
      <c r="M7" s="318">
        <f>Pricing!O9</f>
        <v>1322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FIXED GLASS WITH GLASS LOUVERS</v>
      </c>
      <c r="D8" s="318" t="str">
        <f>'BD Team'!E15</f>
        <v>8MM (F)</v>
      </c>
      <c r="E8" s="318" t="str">
        <f>'BD Team'!G15</f>
        <v>SERVANT TOILET</v>
      </c>
      <c r="F8" s="318" t="str">
        <f>'BD Team'!F15</f>
        <v>NO</v>
      </c>
      <c r="I8" s="318">
        <f>'BD Team'!H15</f>
        <v>496</v>
      </c>
      <c r="J8" s="318">
        <f>'BD Team'!I15</f>
        <v>821</v>
      </c>
      <c r="K8" s="318">
        <f>'BD Team'!J15</f>
        <v>1</v>
      </c>
      <c r="L8" s="319">
        <f>'BD Team'!K15</f>
        <v>148.33000000000001</v>
      </c>
      <c r="M8" s="318">
        <f>Pricing!O10</f>
        <v>2324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8MM</v>
      </c>
      <c r="E9" s="318" t="str">
        <f>'BD Team'!G16</f>
        <v>SERVANT BEDROOM</v>
      </c>
      <c r="F9" s="318" t="str">
        <f>'BD Team'!F16</f>
        <v>SS</v>
      </c>
      <c r="I9" s="318">
        <f>'BD Team'!H16</f>
        <v>1227</v>
      </c>
      <c r="J9" s="318">
        <f>'BD Team'!I16</f>
        <v>1215</v>
      </c>
      <c r="K9" s="318">
        <f>'BD Team'!J16</f>
        <v>1</v>
      </c>
      <c r="L9" s="319">
        <f>'BD Team'!K16</f>
        <v>168.2</v>
      </c>
      <c r="M9" s="318">
        <f>Pricing!O11</f>
        <v>1322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-</v>
      </c>
      <c r="C10" s="318" t="str">
        <f>'BD Team'!D17</f>
        <v>GLASS LOUVERS</v>
      </c>
      <c r="D10" s="318" t="str">
        <f>'BD Team'!E17</f>
        <v>6MM</v>
      </c>
      <c r="E10" s="318" t="str">
        <f>'BD Team'!G17</f>
        <v>SERVANT TOILET</v>
      </c>
      <c r="F10" s="318" t="str">
        <f>'BD Team'!F17</f>
        <v>NO</v>
      </c>
      <c r="I10" s="318">
        <f>'BD Team'!H17</f>
        <v>491</v>
      </c>
      <c r="J10" s="318">
        <f>'BD Team'!I17</f>
        <v>408</v>
      </c>
      <c r="K10" s="318">
        <f>'BD Team'!J17</f>
        <v>1</v>
      </c>
      <c r="L10" s="319">
        <f>'BD Team'!K17</f>
        <v>65.22</v>
      </c>
      <c r="M10" s="318">
        <f>Pricing!O12</f>
        <v>2003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H18" sqref="H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426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424</v>
      </c>
      <c r="F3" s="136" t="s">
        <v>182</v>
      </c>
      <c r="G3" s="162" t="s">
        <v>417</v>
      </c>
      <c r="H3" s="323" t="s">
        <v>185</v>
      </c>
      <c r="I3" s="324"/>
      <c r="J3" s="166">
        <v>43700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419</v>
      </c>
      <c r="F4" s="135"/>
      <c r="G4" s="164"/>
      <c r="H4" s="323" t="s">
        <v>186</v>
      </c>
      <c r="I4" s="324"/>
      <c r="J4" s="165" t="s">
        <v>384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425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4867</v>
      </c>
      <c r="I9" s="113">
        <v>2733</v>
      </c>
      <c r="J9" s="113">
        <v>1</v>
      </c>
      <c r="K9" s="123">
        <v>1137.1600000000001</v>
      </c>
    </row>
    <row r="10" spans="1:13" ht="20.100000000000001" customHeight="1">
      <c r="A10" s="113">
        <v>2</v>
      </c>
      <c r="B10" s="113" t="s">
        <v>433</v>
      </c>
      <c r="C10" s="113" t="s">
        <v>434</v>
      </c>
      <c r="D10" s="113" t="s">
        <v>435</v>
      </c>
      <c r="E10" s="113" t="s">
        <v>430</v>
      </c>
      <c r="F10" s="113" t="s">
        <v>431</v>
      </c>
      <c r="G10" s="113" t="s">
        <v>436</v>
      </c>
      <c r="H10" s="113">
        <v>5813</v>
      </c>
      <c r="I10" s="113">
        <v>2576</v>
      </c>
      <c r="J10" s="113">
        <v>1</v>
      </c>
      <c r="K10" s="123">
        <v>1113.3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434</v>
      </c>
      <c r="D11" s="113" t="s">
        <v>438</v>
      </c>
      <c r="E11" s="113" t="s">
        <v>430</v>
      </c>
      <c r="F11" s="113" t="s">
        <v>439</v>
      </c>
      <c r="G11" s="113" t="s">
        <v>440</v>
      </c>
      <c r="H11" s="113">
        <v>4176</v>
      </c>
      <c r="I11" s="113">
        <v>2395</v>
      </c>
      <c r="J11" s="113">
        <v>1</v>
      </c>
      <c r="K11" s="123">
        <v>351.78</v>
      </c>
      <c r="L11" s="47" t="s">
        <v>281</v>
      </c>
    </row>
    <row r="12" spans="1:13" ht="20.100000000000001" customHeight="1">
      <c r="A12" s="113">
        <v>4</v>
      </c>
      <c r="B12" s="113" t="s">
        <v>441</v>
      </c>
      <c r="C12" s="113" t="s">
        <v>442</v>
      </c>
      <c r="D12" s="113" t="s">
        <v>443</v>
      </c>
      <c r="E12" s="113" t="s">
        <v>430</v>
      </c>
      <c r="F12" s="113" t="s">
        <v>444</v>
      </c>
      <c r="G12" s="113" t="s">
        <v>445</v>
      </c>
      <c r="H12" s="113">
        <v>949</v>
      </c>
      <c r="I12" s="113">
        <v>1280</v>
      </c>
      <c r="J12" s="113">
        <v>1</v>
      </c>
      <c r="K12" s="123">
        <v>161.76</v>
      </c>
      <c r="L12" s="47" t="s">
        <v>365</v>
      </c>
    </row>
    <row r="13" spans="1:13" ht="20.100000000000001" customHeight="1">
      <c r="A13" s="113">
        <v>5</v>
      </c>
      <c r="B13" s="113" t="s">
        <v>446</v>
      </c>
      <c r="C13" s="113" t="s">
        <v>442</v>
      </c>
      <c r="D13" s="113" t="s">
        <v>443</v>
      </c>
      <c r="E13" s="113" t="s">
        <v>430</v>
      </c>
      <c r="F13" s="113" t="s">
        <v>444</v>
      </c>
      <c r="G13" s="113" t="s">
        <v>445</v>
      </c>
      <c r="H13" s="113">
        <v>1012</v>
      </c>
      <c r="I13" s="113">
        <v>1305</v>
      </c>
      <c r="J13" s="113">
        <v>1</v>
      </c>
      <c r="K13" s="123">
        <v>165.97</v>
      </c>
      <c r="L13" s="47" t="s">
        <v>366</v>
      </c>
    </row>
    <row r="14" spans="1:13">
      <c r="A14" s="113">
        <v>6</v>
      </c>
      <c r="B14" s="113" t="s">
        <v>447</v>
      </c>
      <c r="C14" s="113" t="s">
        <v>442</v>
      </c>
      <c r="D14" s="113" t="s">
        <v>443</v>
      </c>
      <c r="E14" s="113" t="s">
        <v>430</v>
      </c>
      <c r="F14" s="113" t="s">
        <v>444</v>
      </c>
      <c r="G14" s="113" t="s">
        <v>448</v>
      </c>
      <c r="H14" s="113">
        <v>1250</v>
      </c>
      <c r="I14" s="113">
        <v>1183</v>
      </c>
      <c r="J14" s="113">
        <v>1</v>
      </c>
      <c r="K14" s="123">
        <v>166.89</v>
      </c>
      <c r="L14" s="47" t="s">
        <v>367</v>
      </c>
    </row>
    <row r="15" spans="1:13" ht="20.100000000000001" customHeight="1">
      <c r="A15" s="113">
        <v>7</v>
      </c>
      <c r="B15" s="113" t="s">
        <v>449</v>
      </c>
      <c r="C15" s="113" t="s">
        <v>434</v>
      </c>
      <c r="D15" s="113" t="s">
        <v>450</v>
      </c>
      <c r="E15" s="113" t="s">
        <v>451</v>
      </c>
      <c r="F15" s="113" t="s">
        <v>439</v>
      </c>
      <c r="G15" s="113" t="s">
        <v>452</v>
      </c>
      <c r="H15" s="113">
        <v>496</v>
      </c>
      <c r="I15" s="113">
        <v>821</v>
      </c>
      <c r="J15" s="113">
        <v>1</v>
      </c>
      <c r="K15" s="123">
        <v>148.33000000000001</v>
      </c>
      <c r="L15" s="47" t="s">
        <v>368</v>
      </c>
    </row>
    <row r="16" spans="1:13" ht="20.100000000000001" customHeight="1">
      <c r="A16" s="113">
        <v>8</v>
      </c>
      <c r="B16" s="113" t="s">
        <v>453</v>
      </c>
      <c r="C16" s="113" t="s">
        <v>442</v>
      </c>
      <c r="D16" s="113" t="s">
        <v>443</v>
      </c>
      <c r="E16" s="113" t="s">
        <v>430</v>
      </c>
      <c r="F16" s="113" t="s">
        <v>444</v>
      </c>
      <c r="G16" s="113" t="s">
        <v>448</v>
      </c>
      <c r="H16" s="113">
        <v>1227</v>
      </c>
      <c r="I16" s="113">
        <v>1215</v>
      </c>
      <c r="J16" s="113">
        <v>1</v>
      </c>
      <c r="K16" s="123">
        <v>168.2</v>
      </c>
      <c r="L16" s="47" t="s">
        <v>369</v>
      </c>
    </row>
    <row r="17" spans="1:13" ht="20.100000000000001" customHeight="1">
      <c r="A17" s="113">
        <v>9</v>
      </c>
      <c r="B17" s="113" t="s">
        <v>454</v>
      </c>
      <c r="C17" s="113" t="s">
        <v>455</v>
      </c>
      <c r="D17" s="113" t="s">
        <v>456</v>
      </c>
      <c r="E17" s="113" t="s">
        <v>457</v>
      </c>
      <c r="F17" s="113" t="s">
        <v>439</v>
      </c>
      <c r="G17" s="113" t="s">
        <v>452</v>
      </c>
      <c r="H17" s="113">
        <v>491</v>
      </c>
      <c r="I17" s="113">
        <v>408</v>
      </c>
      <c r="J17" s="113">
        <v>1</v>
      </c>
      <c r="K17" s="123">
        <v>65.22</v>
      </c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7" sqref="R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M9800</v>
      </c>
      <c r="D4" s="118" t="str">
        <f>'BD Team'!D9</f>
        <v>5 LEAF SLIDE &amp; FOLD DOOR</v>
      </c>
      <c r="E4" s="118" t="str">
        <f>'BD Team'!F9</f>
        <v>RETRACTABLE</v>
      </c>
      <c r="F4" s="121" t="str">
        <f>'BD Team'!G9</f>
        <v>PARTY ROOM</v>
      </c>
      <c r="G4" s="118">
        <f>'BD Team'!H9</f>
        <v>4867</v>
      </c>
      <c r="H4" s="118">
        <f>'BD Team'!I9</f>
        <v>2733</v>
      </c>
      <c r="I4" s="118">
        <f>'BD Team'!J9</f>
        <v>1</v>
      </c>
      <c r="J4" s="103">
        <f t="shared" ref="J4:J53" si="0">G4*H4*I4*10.764/1000000</f>
        <v>143.17746440399998</v>
      </c>
      <c r="K4" s="172">
        <f>'BD Team'!K9</f>
        <v>1137.1600000000001</v>
      </c>
      <c r="L4" s="171">
        <f>K4*I4</f>
        <v>1137.1600000000001</v>
      </c>
      <c r="M4" s="170">
        <f>L4*'Changable Values'!$D$4</f>
        <v>94384.280000000013</v>
      </c>
      <c r="N4" s="170" t="str">
        <f>'BD Team'!E9</f>
        <v>8MM</v>
      </c>
      <c r="O4" s="172">
        <v>1322</v>
      </c>
      <c r="P4" s="241"/>
      <c r="Q4" s="173"/>
      <c r="R4" s="185">
        <f>900*10.764</f>
        <v>9687.5999999999985</v>
      </c>
      <c r="S4" s="312"/>
      <c r="T4" s="313">
        <f>(G4+H4)*I4*2/300</f>
        <v>50.666666666666664</v>
      </c>
      <c r="U4" s="313">
        <f>SUM(G4:H4)*I4*2*4/1000</f>
        <v>60.8</v>
      </c>
      <c r="V4" s="313">
        <f>SUM(G4:H4)*I4*5*5*4/(1000*240)</f>
        <v>3.1666666666666665</v>
      </c>
      <c r="W4" s="313">
        <f>T4</f>
        <v>50.666666666666664</v>
      </c>
      <c r="X4" s="313">
        <f>W4*2</f>
        <v>101.33333333333333</v>
      </c>
      <c r="Y4" s="313">
        <f>SUM(G4:H4)*I4*4/1000</f>
        <v>30.4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SINGLE DOOR WITH 4 FIXED GLASS</v>
      </c>
      <c r="E5" s="118" t="str">
        <f>'BD Team'!F10</f>
        <v>RETRACTABLE</v>
      </c>
      <c r="F5" s="121" t="str">
        <f>'BD Team'!G10</f>
        <v>PARTY ROOM TO GYM</v>
      </c>
      <c r="G5" s="118">
        <f>'BD Team'!H10</f>
        <v>5813</v>
      </c>
      <c r="H5" s="118">
        <f>'BD Team'!I10</f>
        <v>2576</v>
      </c>
      <c r="I5" s="118">
        <f>'BD Team'!J10</f>
        <v>1</v>
      </c>
      <c r="J5" s="103">
        <f t="shared" si="0"/>
        <v>161.18323603199997</v>
      </c>
      <c r="K5" s="172">
        <f>'BD Team'!K10</f>
        <v>1113.3</v>
      </c>
      <c r="L5" s="171">
        <f t="shared" ref="L5:L53" si="1">K5*I5</f>
        <v>1113.3</v>
      </c>
      <c r="M5" s="170">
        <f>L5*'Changable Values'!$D$4</f>
        <v>92403.9</v>
      </c>
      <c r="N5" s="170" t="str">
        <f>'BD Team'!E10</f>
        <v>8MM</v>
      </c>
      <c r="O5" s="172">
        <v>1322</v>
      </c>
      <c r="P5" s="241"/>
      <c r="Q5" s="173"/>
      <c r="R5" s="185">
        <f>150*10.764</f>
        <v>1614.6</v>
      </c>
      <c r="S5" s="312"/>
      <c r="T5" s="313">
        <f t="shared" ref="T5:T68" si="2">(G5+H5)*I5*2/300</f>
        <v>55.926666666666669</v>
      </c>
      <c r="U5" s="313">
        <f t="shared" ref="U5:U68" si="3">SUM(G5:H5)*I5*2*4/1000</f>
        <v>67.111999999999995</v>
      </c>
      <c r="V5" s="313">
        <f t="shared" ref="V5:V68" si="4">SUM(G5:H5)*I5*5*5*4/(1000*240)</f>
        <v>3.4954166666666668</v>
      </c>
      <c r="W5" s="313">
        <f t="shared" ref="W5:W68" si="5">T5</f>
        <v>55.926666666666669</v>
      </c>
      <c r="X5" s="313">
        <f t="shared" ref="X5:X68" si="6">W5*2</f>
        <v>111.85333333333334</v>
      </c>
      <c r="Y5" s="313">
        <f t="shared" ref="Y5:Y68" si="7">SUM(G5:H5)*I5*4/1000</f>
        <v>33.555999999999997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FIXED GLASS 3 NO'S</v>
      </c>
      <c r="E6" s="118" t="str">
        <f>'BD Team'!F11</f>
        <v>NO</v>
      </c>
      <c r="F6" s="121" t="str">
        <f>'BD Team'!G11</f>
        <v>GYM</v>
      </c>
      <c r="G6" s="118">
        <f>'BD Team'!H11</f>
        <v>4176</v>
      </c>
      <c r="H6" s="118">
        <f>'BD Team'!I11</f>
        <v>2395</v>
      </c>
      <c r="I6" s="118">
        <f>'BD Team'!J11</f>
        <v>1</v>
      </c>
      <c r="J6" s="103">
        <f t="shared" si="0"/>
        <v>107.65636127999998</v>
      </c>
      <c r="K6" s="172">
        <f>'BD Team'!K11</f>
        <v>351.78</v>
      </c>
      <c r="L6" s="171">
        <f t="shared" si="1"/>
        <v>351.78</v>
      </c>
      <c r="M6" s="170">
        <f>L6*'Changable Values'!$D$4</f>
        <v>29197.739999999998</v>
      </c>
      <c r="N6" s="170" t="str">
        <f>'BD Team'!E11</f>
        <v>8MM</v>
      </c>
      <c r="O6" s="172">
        <v>1322</v>
      </c>
      <c r="P6" s="241"/>
      <c r="Q6" s="173"/>
      <c r="R6" s="185"/>
      <c r="S6" s="312"/>
      <c r="T6" s="313">
        <f t="shared" si="2"/>
        <v>43.806666666666665</v>
      </c>
      <c r="U6" s="313">
        <f t="shared" si="3"/>
        <v>52.567999999999998</v>
      </c>
      <c r="V6" s="313">
        <f t="shared" si="4"/>
        <v>2.7379166666666666</v>
      </c>
      <c r="W6" s="313">
        <f t="shared" si="5"/>
        <v>43.806666666666665</v>
      </c>
      <c r="X6" s="313">
        <f t="shared" si="6"/>
        <v>87.61333333333333</v>
      </c>
      <c r="Y6" s="313">
        <f t="shared" si="7"/>
        <v>26.283999999999999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KITCHEN</v>
      </c>
      <c r="G7" s="118">
        <f>'BD Team'!H12</f>
        <v>949</v>
      </c>
      <c r="H7" s="118">
        <f>'BD Team'!I12</f>
        <v>1280</v>
      </c>
      <c r="I7" s="118">
        <f>'BD Team'!J12</f>
        <v>1</v>
      </c>
      <c r="J7" s="103">
        <f t="shared" si="0"/>
        <v>13.075246079999999</v>
      </c>
      <c r="K7" s="172">
        <f>'BD Team'!K12</f>
        <v>161.76</v>
      </c>
      <c r="L7" s="171">
        <f t="shared" si="1"/>
        <v>161.76</v>
      </c>
      <c r="M7" s="170">
        <f>L7*'Changable Values'!$D$4</f>
        <v>13426.08</v>
      </c>
      <c r="N7" s="170" t="str">
        <f>'BD Team'!E12</f>
        <v>8MM</v>
      </c>
      <c r="O7" s="172">
        <v>1322</v>
      </c>
      <c r="P7" s="241"/>
      <c r="Q7" s="173">
        <f>50*10.764</f>
        <v>538.19999999999993</v>
      </c>
      <c r="R7" s="185"/>
      <c r="S7" s="312"/>
      <c r="T7" s="313">
        <f t="shared" si="2"/>
        <v>14.86</v>
      </c>
      <c r="U7" s="313">
        <f t="shared" si="3"/>
        <v>17.832000000000001</v>
      </c>
      <c r="V7" s="313">
        <f t="shared" si="4"/>
        <v>0.92874999999999996</v>
      </c>
      <c r="W7" s="313">
        <f t="shared" si="5"/>
        <v>14.86</v>
      </c>
      <c r="X7" s="313">
        <f t="shared" si="6"/>
        <v>29.72</v>
      </c>
      <c r="Y7" s="313">
        <f t="shared" si="7"/>
        <v>8.9160000000000004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KITCHEN</v>
      </c>
      <c r="G8" s="118">
        <f>'BD Team'!H13</f>
        <v>1012</v>
      </c>
      <c r="H8" s="118">
        <f>'BD Team'!I13</f>
        <v>1305</v>
      </c>
      <c r="I8" s="118">
        <f>'BD Team'!J13</f>
        <v>1</v>
      </c>
      <c r="J8" s="103">
        <f t="shared" si="0"/>
        <v>14.215584239999998</v>
      </c>
      <c r="K8" s="172">
        <f>'BD Team'!K13</f>
        <v>165.97</v>
      </c>
      <c r="L8" s="171">
        <f t="shared" si="1"/>
        <v>165.97</v>
      </c>
      <c r="M8" s="170">
        <f>L8*'Changable Values'!$D$4</f>
        <v>13775.51</v>
      </c>
      <c r="N8" s="170" t="str">
        <f>'BD Team'!E13</f>
        <v>8MM</v>
      </c>
      <c r="O8" s="172">
        <v>1322</v>
      </c>
      <c r="P8" s="241"/>
      <c r="Q8" s="173">
        <f>50*10.764</f>
        <v>538.19999999999993</v>
      </c>
      <c r="R8" s="185"/>
      <c r="S8" s="312"/>
      <c r="T8" s="313">
        <f t="shared" si="2"/>
        <v>15.446666666666667</v>
      </c>
      <c r="U8" s="313">
        <f t="shared" si="3"/>
        <v>18.536000000000001</v>
      </c>
      <c r="V8" s="313">
        <f t="shared" si="4"/>
        <v>0.9654166666666667</v>
      </c>
      <c r="W8" s="313">
        <f t="shared" si="5"/>
        <v>15.446666666666667</v>
      </c>
      <c r="X8" s="313">
        <f t="shared" si="6"/>
        <v>30.893333333333334</v>
      </c>
      <c r="Y8" s="313">
        <f t="shared" si="7"/>
        <v>9.2680000000000007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SERVANT BEDROOM</v>
      </c>
      <c r="G9" s="118">
        <f>'BD Team'!H14</f>
        <v>1250</v>
      </c>
      <c r="H9" s="118">
        <f>'BD Team'!I14</f>
        <v>1183</v>
      </c>
      <c r="I9" s="118">
        <f>'BD Team'!J14</f>
        <v>1</v>
      </c>
      <c r="J9" s="103">
        <f t="shared" si="0"/>
        <v>15.917264999999999</v>
      </c>
      <c r="K9" s="172">
        <f>'BD Team'!K14</f>
        <v>166.89</v>
      </c>
      <c r="L9" s="171">
        <f t="shared" si="1"/>
        <v>166.89</v>
      </c>
      <c r="M9" s="170">
        <f>L9*'Changable Values'!$D$4</f>
        <v>13851.869999999999</v>
      </c>
      <c r="N9" s="170" t="str">
        <f>'BD Team'!E14</f>
        <v>8MM</v>
      </c>
      <c r="O9" s="172">
        <v>1322</v>
      </c>
      <c r="P9" s="241"/>
      <c r="Q9" s="173">
        <f>50*10.764</f>
        <v>538.19999999999993</v>
      </c>
      <c r="R9" s="185"/>
      <c r="S9" s="312"/>
      <c r="T9" s="313">
        <f t="shared" si="2"/>
        <v>16.22</v>
      </c>
      <c r="U9" s="313">
        <f t="shared" si="3"/>
        <v>19.463999999999999</v>
      </c>
      <c r="V9" s="313">
        <f t="shared" si="4"/>
        <v>1.0137499999999999</v>
      </c>
      <c r="W9" s="313">
        <f t="shared" si="5"/>
        <v>16.22</v>
      </c>
      <c r="X9" s="313">
        <f t="shared" si="6"/>
        <v>32.44</v>
      </c>
      <c r="Y9" s="313">
        <f t="shared" si="7"/>
        <v>9.7319999999999993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FIXED GLASS WITH GLASS LOUVERS</v>
      </c>
      <c r="E10" s="118" t="str">
        <f>'BD Team'!F15</f>
        <v>NO</v>
      </c>
      <c r="F10" s="121" t="str">
        <f>'BD Team'!G15</f>
        <v>SERVANT TOILET</v>
      </c>
      <c r="G10" s="118">
        <f>'BD Team'!H15</f>
        <v>496</v>
      </c>
      <c r="H10" s="118">
        <f>'BD Team'!I15</f>
        <v>821</v>
      </c>
      <c r="I10" s="118">
        <f>'BD Team'!J15</f>
        <v>1</v>
      </c>
      <c r="J10" s="103">
        <f t="shared" si="0"/>
        <v>4.3832730239999993</v>
      </c>
      <c r="K10" s="172">
        <f>'BD Team'!K15</f>
        <v>148.33000000000001</v>
      </c>
      <c r="L10" s="171">
        <f t="shared" si="1"/>
        <v>148.33000000000001</v>
      </c>
      <c r="M10" s="170">
        <f>L10*'Changable Values'!$D$4</f>
        <v>12311.390000000001</v>
      </c>
      <c r="N10" s="170" t="str">
        <f>'BD Team'!E15</f>
        <v>8MM (F)</v>
      </c>
      <c r="O10" s="172">
        <v>2324</v>
      </c>
      <c r="P10" s="241"/>
      <c r="Q10" s="173"/>
      <c r="R10" s="185"/>
      <c r="S10" s="312"/>
      <c r="T10" s="313">
        <f t="shared" si="2"/>
        <v>8.7799999999999994</v>
      </c>
      <c r="U10" s="313">
        <f t="shared" si="3"/>
        <v>10.536</v>
      </c>
      <c r="V10" s="313">
        <f t="shared" si="4"/>
        <v>0.54874999999999996</v>
      </c>
      <c r="W10" s="313">
        <f t="shared" si="5"/>
        <v>8.7799999999999994</v>
      </c>
      <c r="X10" s="313">
        <f t="shared" si="6"/>
        <v>17.559999999999999</v>
      </c>
      <c r="Y10" s="313">
        <f t="shared" si="7"/>
        <v>5.2679999999999998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SERVANT BEDROOM</v>
      </c>
      <c r="G11" s="118">
        <f>'BD Team'!H16</f>
        <v>1227</v>
      </c>
      <c r="H11" s="118">
        <f>'BD Team'!I16</f>
        <v>1215</v>
      </c>
      <c r="I11" s="118">
        <f>'BD Team'!J16</f>
        <v>1</v>
      </c>
      <c r="J11" s="103">
        <f t="shared" si="0"/>
        <v>16.04702502</v>
      </c>
      <c r="K11" s="172">
        <f>'BD Team'!K16</f>
        <v>168.2</v>
      </c>
      <c r="L11" s="171">
        <f t="shared" si="1"/>
        <v>168.2</v>
      </c>
      <c r="M11" s="170">
        <f>L11*'Changable Values'!$D$4</f>
        <v>13960.599999999999</v>
      </c>
      <c r="N11" s="170" t="str">
        <f>'BD Team'!E16</f>
        <v>8MM</v>
      </c>
      <c r="O11" s="172">
        <v>1322</v>
      </c>
      <c r="P11" s="241"/>
      <c r="Q11" s="173">
        <f>50*10.764</f>
        <v>538.19999999999993</v>
      </c>
      <c r="R11" s="185"/>
      <c r="S11" s="312"/>
      <c r="T11" s="313">
        <f t="shared" si="2"/>
        <v>16.28</v>
      </c>
      <c r="U11" s="313">
        <f t="shared" si="3"/>
        <v>19.536000000000001</v>
      </c>
      <c r="V11" s="313">
        <f t="shared" si="4"/>
        <v>1.0175000000000001</v>
      </c>
      <c r="W11" s="313">
        <f t="shared" si="5"/>
        <v>16.28</v>
      </c>
      <c r="X11" s="313">
        <f t="shared" si="6"/>
        <v>32.56</v>
      </c>
      <c r="Y11" s="313">
        <f t="shared" si="7"/>
        <v>9.7680000000000007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-</v>
      </c>
      <c r="D12" s="118" t="str">
        <f>'BD Team'!D17</f>
        <v>GLASS LOUVERS</v>
      </c>
      <c r="E12" s="118" t="str">
        <f>'BD Team'!F17</f>
        <v>NO</v>
      </c>
      <c r="F12" s="121" t="str">
        <f>'BD Team'!G17</f>
        <v>SERVANT TOILET</v>
      </c>
      <c r="G12" s="118">
        <f>'BD Team'!H17</f>
        <v>491</v>
      </c>
      <c r="H12" s="118">
        <f>'BD Team'!I17</f>
        <v>408</v>
      </c>
      <c r="I12" s="118">
        <f>'BD Team'!J17</f>
        <v>1</v>
      </c>
      <c r="J12" s="103">
        <f t="shared" si="0"/>
        <v>2.1563305919999998</v>
      </c>
      <c r="K12" s="172">
        <f>'BD Team'!K17</f>
        <v>65.22</v>
      </c>
      <c r="L12" s="171">
        <f t="shared" si="1"/>
        <v>65.22</v>
      </c>
      <c r="M12" s="170">
        <f>L12*'Changable Values'!$D$4</f>
        <v>5413.26</v>
      </c>
      <c r="N12" s="170" t="str">
        <f>'BD Team'!E17</f>
        <v>6MM</v>
      </c>
      <c r="O12" s="172">
        <v>2003</v>
      </c>
      <c r="P12" s="241"/>
      <c r="Q12" s="173"/>
      <c r="R12" s="185"/>
      <c r="S12" s="312"/>
      <c r="T12" s="313">
        <f t="shared" si="2"/>
        <v>5.9933333333333332</v>
      </c>
      <c r="U12" s="313">
        <f t="shared" si="3"/>
        <v>7.1920000000000002</v>
      </c>
      <c r="V12" s="313">
        <f t="shared" si="4"/>
        <v>0.37458333333333332</v>
      </c>
      <c r="W12" s="313">
        <f t="shared" si="5"/>
        <v>5.9933333333333332</v>
      </c>
      <c r="X12" s="313">
        <f t="shared" si="6"/>
        <v>11.986666666666666</v>
      </c>
      <c r="Y12" s="313">
        <f t="shared" si="7"/>
        <v>3.5960000000000001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3478.6099999999992</v>
      </c>
      <c r="L104" s="168">
        <f>SUM(L4:L103)</f>
        <v>3478.6099999999992</v>
      </c>
      <c r="M104" s="168">
        <f>SUM(M4:M103)</f>
        <v>288724.62999999995</v>
      </c>
      <c r="T104" s="314">
        <f t="shared" ref="T104:Y104" si="16">SUM(T4:T103)</f>
        <v>227.98</v>
      </c>
      <c r="U104" s="314">
        <f t="shared" si="16"/>
        <v>273.57600000000002</v>
      </c>
      <c r="V104" s="314">
        <f t="shared" si="16"/>
        <v>14.248749999999999</v>
      </c>
      <c r="W104" s="314">
        <f t="shared" si="16"/>
        <v>227.98</v>
      </c>
      <c r="X104" s="314">
        <f t="shared" si="16"/>
        <v>455.96</v>
      </c>
      <c r="Y104" s="314">
        <f t="shared" si="16"/>
        <v>136.78800000000001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8" sqref="E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2323.944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0</v>
      </c>
      <c r="E7" s="271">
        <v>0</v>
      </c>
      <c r="F7" s="270">
        <v>6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1.8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5 LEAF SLIDE &amp; FOLD DOOR</v>
      </c>
      <c r="D8" s="131" t="str">
        <f>Pricing!B4</f>
        <v>W1</v>
      </c>
      <c r="E8" s="132" t="str">
        <f>Pricing!N4</f>
        <v>8MM</v>
      </c>
      <c r="F8" s="68">
        <f>Pricing!G4</f>
        <v>4867</v>
      </c>
      <c r="G8" s="68">
        <f>Pricing!H4</f>
        <v>2733</v>
      </c>
      <c r="H8" s="100">
        <f t="shared" ref="H8:H57" si="0">(F8*G8)/1000000</f>
        <v>13.301511</v>
      </c>
      <c r="I8" s="70">
        <f>Pricing!I4</f>
        <v>1</v>
      </c>
      <c r="J8" s="69">
        <f t="shared" ref="J8" si="1">H8*I8</f>
        <v>13.301511</v>
      </c>
      <c r="K8" s="71">
        <f t="shared" ref="K8" si="2">J8*10.764</f>
        <v>143.17746440399998</v>
      </c>
      <c r="L8" s="69"/>
      <c r="M8" s="72"/>
      <c r="N8" s="72"/>
      <c r="O8" s="72">
        <f t="shared" ref="O8:O35" si="3">N8*M8*L8/1000000</f>
        <v>0</v>
      </c>
      <c r="P8" s="73">
        <f>Pricing!M4</f>
        <v>94384.280000000013</v>
      </c>
      <c r="Q8" s="74">
        <f t="shared" ref="Q8:Q56" si="4">P8*$Q$6</f>
        <v>9438.4280000000017</v>
      </c>
      <c r="R8" s="74">
        <f t="shared" ref="R8:R56" si="5">(P8+Q8)*$R$6</f>
        <v>11420.497880000001</v>
      </c>
      <c r="S8" s="74">
        <f t="shared" ref="S8:S56" si="6">(P8+Q8+R8)*$S$6</f>
        <v>576.21602940000002</v>
      </c>
      <c r="T8" s="74">
        <f t="shared" ref="T8:T56" si="7">(P8+Q8+R8+S8)*$T$6</f>
        <v>1158.1942190940001</v>
      </c>
      <c r="U8" s="72">
        <f t="shared" ref="U8:U56" si="8">SUM(P8:T8)</f>
        <v>116977.61612849402</v>
      </c>
      <c r="V8" s="74">
        <f t="shared" ref="V8:V56" si="9">U8*$V$6</f>
        <v>1754.6642419274101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17584.597542</v>
      </c>
      <c r="AE8" s="76">
        <f>((((F8+G8)*2)/305)*I8*$AE$7)</f>
        <v>1245.9016393442623</v>
      </c>
      <c r="AF8" s="346">
        <f>(((((F8*4)+(G8*4))/1000)*$AF$6*$AG$6)/300)*I8*$AF$7</f>
        <v>1276.8</v>
      </c>
      <c r="AG8" s="347"/>
      <c r="AH8" s="76">
        <f>(((F8+G8))*I8/1000)*8*$AH$7</f>
        <v>45.599999999999994</v>
      </c>
      <c r="AI8" s="76">
        <f t="shared" ref="AI8:AI57" si="15">(((F8+G8)*2*I8)/1000)*2*$AI$7</f>
        <v>152</v>
      </c>
      <c r="AJ8" s="76">
        <f>J8*Pricing!Q4</f>
        <v>0</v>
      </c>
      <c r="AK8" s="76">
        <f>J8*Pricing!R4</f>
        <v>128859.71796359998</v>
      </c>
      <c r="AL8" s="76">
        <f t="shared" ref="AL8:AL39" si="16">J8*$AL$6</f>
        <v>14317.746440399998</v>
      </c>
      <c r="AM8" s="77">
        <f t="shared" ref="AM8:AM39" si="17">$AM$6*J8</f>
        <v>0</v>
      </c>
      <c r="AN8" s="76">
        <f t="shared" ref="AN8:AN39" si="18">$AN$6*J8</f>
        <v>11454.197152319999</v>
      </c>
      <c r="AO8" s="72">
        <f t="shared" ref="AO8:AO39" si="19">SUM(U8:V8)+SUM(AC8:AI8)-AD8</f>
        <v>121452.5820097657</v>
      </c>
      <c r="AP8" s="74">
        <f t="shared" ref="AP8:AP39" si="20">AO8*$AP$6</f>
        <v>218614.64761757827</v>
      </c>
      <c r="AQ8" s="74">
        <f t="shared" ref="AQ8:AQ56" si="21">(AO8+AP8)*$AQ$6</f>
        <v>0</v>
      </c>
      <c r="AR8" s="74">
        <f t="shared" ref="AR8:AR39" si="22">SUM(AO8:AQ8)/J8</f>
        <v>25566.060098536473</v>
      </c>
      <c r="AS8" s="72">
        <f t="shared" ref="AS8:AS39" si="23">SUM(AJ8:AQ8)+AD8+AB8</f>
        <v>512283.48872566398</v>
      </c>
      <c r="AT8" s="72">
        <f t="shared" ref="AT8:AT39" si="24">AS8/J8</f>
        <v>38513.180098536475</v>
      </c>
      <c r="AU8" s="78">
        <f t="shared" ref="AU8:AU56" si="25">AT8/10.764</f>
        <v>3577.9617334203344</v>
      </c>
      <c r="AV8" s="79">
        <f t="shared" ref="AV8:AV39" si="26">K8/$K$109</f>
        <v>0.29965243365153404</v>
      </c>
      <c r="AW8" s="80">
        <f t="shared" ref="AW8:AW39" si="27">(U8+V8)/(J8*10.764)</f>
        <v>829.26653900922406</v>
      </c>
      <c r="AX8" s="81">
        <f t="shared" ref="AX8:AX39" si="28">SUM(W8:AN8,AP8)/(J8*10.764)</f>
        <v>2748.6951944111102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SINGLE DOOR WITH 4 FIXED GLASS</v>
      </c>
      <c r="D9" s="131" t="str">
        <f>Pricing!B5</f>
        <v>W2</v>
      </c>
      <c r="E9" s="132" t="str">
        <f>Pricing!N5</f>
        <v>8MM</v>
      </c>
      <c r="F9" s="68">
        <f>Pricing!G5</f>
        <v>5813</v>
      </c>
      <c r="G9" s="68">
        <f>Pricing!H5</f>
        <v>2576</v>
      </c>
      <c r="H9" s="100">
        <f t="shared" si="0"/>
        <v>14.974288</v>
      </c>
      <c r="I9" s="70">
        <f>Pricing!I5</f>
        <v>1</v>
      </c>
      <c r="J9" s="69">
        <f t="shared" ref="J9:J58" si="30">H9*I9</f>
        <v>14.974288</v>
      </c>
      <c r="K9" s="71">
        <f t="shared" ref="K9:K58" si="31">J9*10.764</f>
        <v>161.183236032</v>
      </c>
      <c r="L9" s="69"/>
      <c r="M9" s="72"/>
      <c r="N9" s="72"/>
      <c r="O9" s="72">
        <f t="shared" si="3"/>
        <v>0</v>
      </c>
      <c r="P9" s="73">
        <f>Pricing!M5</f>
        <v>92403.9</v>
      </c>
      <c r="Q9" s="74">
        <f t="shared" ref="Q9:Q14" si="32">P9*$Q$6</f>
        <v>9240.39</v>
      </c>
      <c r="R9" s="74">
        <f t="shared" ref="R9:R14" si="33">(P9+Q9)*$R$6</f>
        <v>11180.8719</v>
      </c>
      <c r="S9" s="74">
        <f t="shared" ref="S9:S14" si="34">(P9+Q9+R9)*$S$6</f>
        <v>564.12580949999995</v>
      </c>
      <c r="T9" s="74">
        <f t="shared" ref="T9:T14" si="35">(P9+Q9+R9+S9)*$T$6</f>
        <v>1133.8928770949999</v>
      </c>
      <c r="U9" s="72">
        <f t="shared" ref="U9:U14" si="36">SUM(P9:T9)</f>
        <v>114523.18058659499</v>
      </c>
      <c r="V9" s="74">
        <f t="shared" ref="V9:V14" si="37">U9*$V$6</f>
        <v>1717.8477087989247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19796.008736</v>
      </c>
      <c r="AE9" s="76">
        <f t="shared" ref="AE9:AE57" si="43">((((F9+G9)*2)/305)*I9*$AE$7)</f>
        <v>1375.2459016393443</v>
      </c>
      <c r="AF9" s="346">
        <f t="shared" ref="AF9:AF57" si="44">(((((F9*4)+(G9*4))/1000)*$AF$6*$AG$6)/300)*I9*$AF$7</f>
        <v>1409.3519999999996</v>
      </c>
      <c r="AG9" s="347"/>
      <c r="AH9" s="76">
        <f t="shared" ref="AH9:AH72" si="45">(((F9+G9))*I9/1000)*8*$AH$7</f>
        <v>50.333999999999996</v>
      </c>
      <c r="AI9" s="76">
        <f t="shared" si="15"/>
        <v>167.77999999999997</v>
      </c>
      <c r="AJ9" s="76">
        <f>J9*Pricing!Q5</f>
        <v>0</v>
      </c>
      <c r="AK9" s="76">
        <f>J9*Pricing!R5</f>
        <v>24177.485404799998</v>
      </c>
      <c r="AL9" s="76">
        <f t="shared" si="16"/>
        <v>16118.323603199997</v>
      </c>
      <c r="AM9" s="77">
        <f t="shared" si="17"/>
        <v>0</v>
      </c>
      <c r="AN9" s="76">
        <f t="shared" si="18"/>
        <v>12894.658882559997</v>
      </c>
      <c r="AO9" s="72">
        <f t="shared" si="19"/>
        <v>119243.74019703326</v>
      </c>
      <c r="AP9" s="74">
        <f t="shared" si="20"/>
        <v>214638.73235465988</v>
      </c>
      <c r="AQ9" s="74">
        <f t="shared" ref="AQ9:AQ14" si="46">(AO9+AP9)*$AQ$6</f>
        <v>0</v>
      </c>
      <c r="AR9" s="74">
        <f t="shared" si="22"/>
        <v>22297.051622868024</v>
      </c>
      <c r="AS9" s="72">
        <f t="shared" si="23"/>
        <v>406868.94917825313</v>
      </c>
      <c r="AT9" s="72">
        <f t="shared" si="24"/>
        <v>27171.17162286802</v>
      </c>
      <c r="AU9" s="78">
        <f t="shared" ref="AU9:AU14" si="47">AT9/10.764</f>
        <v>2524.2634357922725</v>
      </c>
      <c r="AV9" s="79">
        <f t="shared" si="26"/>
        <v>0.33733625009962875</v>
      </c>
      <c r="AW9" s="80">
        <f t="shared" si="27"/>
        <v>721.17318870751785</v>
      </c>
      <c r="AX9" s="81">
        <f t="shared" si="28"/>
        <v>1803.0902470847548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3 NO'S</v>
      </c>
      <c r="D10" s="131" t="str">
        <f>Pricing!B6</f>
        <v>W3</v>
      </c>
      <c r="E10" s="132" t="str">
        <f>Pricing!N6</f>
        <v>8MM</v>
      </c>
      <c r="F10" s="68">
        <f>Pricing!G6</f>
        <v>4176</v>
      </c>
      <c r="G10" s="68">
        <f>Pricing!H6</f>
        <v>2395</v>
      </c>
      <c r="H10" s="100">
        <f t="shared" si="0"/>
        <v>10.001519999999999</v>
      </c>
      <c r="I10" s="70">
        <f>Pricing!I6</f>
        <v>1</v>
      </c>
      <c r="J10" s="69">
        <f t="shared" si="30"/>
        <v>10.001519999999999</v>
      </c>
      <c r="K10" s="71">
        <f t="shared" si="31"/>
        <v>107.65636127999998</v>
      </c>
      <c r="L10" s="69"/>
      <c r="M10" s="72"/>
      <c r="N10" s="72"/>
      <c r="O10" s="72">
        <f t="shared" si="3"/>
        <v>0</v>
      </c>
      <c r="P10" s="73">
        <f>Pricing!M6</f>
        <v>29197.739999999998</v>
      </c>
      <c r="Q10" s="74">
        <f t="shared" si="32"/>
        <v>2919.7739999999999</v>
      </c>
      <c r="R10" s="74">
        <f t="shared" si="33"/>
        <v>3532.9265399999999</v>
      </c>
      <c r="S10" s="74">
        <f t="shared" si="34"/>
        <v>178.25220269999997</v>
      </c>
      <c r="T10" s="74">
        <f t="shared" si="35"/>
        <v>358.28692742699997</v>
      </c>
      <c r="U10" s="72">
        <f t="shared" si="36"/>
        <v>36186.979670126995</v>
      </c>
      <c r="V10" s="74">
        <f t="shared" si="37"/>
        <v>542.8046950519049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13222.00944</v>
      </c>
      <c r="AE10" s="76">
        <f t="shared" si="43"/>
        <v>1077.2131147540983</v>
      </c>
      <c r="AF10" s="346">
        <f t="shared" si="44"/>
        <v>1103.9280000000001</v>
      </c>
      <c r="AG10" s="347"/>
      <c r="AH10" s="76">
        <f t="shared" si="45"/>
        <v>39.426000000000002</v>
      </c>
      <c r="AI10" s="76">
        <f t="shared" si="15"/>
        <v>131.41999999999999</v>
      </c>
      <c r="AJ10" s="76">
        <f>J10*Pricing!Q6</f>
        <v>0</v>
      </c>
      <c r="AK10" s="76">
        <f>J10*Pricing!R6</f>
        <v>0</v>
      </c>
      <c r="AL10" s="76">
        <f t="shared" si="16"/>
        <v>10765.636127999998</v>
      </c>
      <c r="AM10" s="77">
        <f t="shared" si="17"/>
        <v>0</v>
      </c>
      <c r="AN10" s="76">
        <f t="shared" si="18"/>
        <v>8612.508902399999</v>
      </c>
      <c r="AO10" s="72">
        <f t="shared" si="19"/>
        <v>39081.771479932999</v>
      </c>
      <c r="AP10" s="74">
        <f t="shared" si="20"/>
        <v>70347.188663879395</v>
      </c>
      <c r="AQ10" s="74">
        <f t="shared" si="46"/>
        <v>0</v>
      </c>
      <c r="AR10" s="74">
        <f t="shared" si="22"/>
        <v>10941.232946973299</v>
      </c>
      <c r="AS10" s="72">
        <f t="shared" si="23"/>
        <v>142029.11461421239</v>
      </c>
      <c r="AT10" s="72">
        <f t="shared" si="24"/>
        <v>14200.7529469733</v>
      </c>
      <c r="AU10" s="78">
        <f t="shared" si="47"/>
        <v>1319.2821392580177</v>
      </c>
      <c r="AV10" s="79">
        <f t="shared" si="26"/>
        <v>0.22531123029665506</v>
      </c>
      <c r="AW10" s="80">
        <f t="shared" si="27"/>
        <v>341.17616393934753</v>
      </c>
      <c r="AX10" s="81">
        <f t="shared" si="28"/>
        <v>978.10597531867006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8MM</v>
      </c>
      <c r="F11" s="68">
        <f>Pricing!G7</f>
        <v>949</v>
      </c>
      <c r="G11" s="68">
        <f>Pricing!H7</f>
        <v>1280</v>
      </c>
      <c r="H11" s="100">
        <f t="shared" si="0"/>
        <v>1.21472</v>
      </c>
      <c r="I11" s="70">
        <f>Pricing!I7</f>
        <v>1</v>
      </c>
      <c r="J11" s="69">
        <f t="shared" si="30"/>
        <v>1.21472</v>
      </c>
      <c r="K11" s="71">
        <f t="shared" si="31"/>
        <v>13.075246079999999</v>
      </c>
      <c r="L11" s="69"/>
      <c r="M11" s="72"/>
      <c r="N11" s="72"/>
      <c r="O11" s="72">
        <f t="shared" si="3"/>
        <v>0</v>
      </c>
      <c r="P11" s="73">
        <f>Pricing!M7</f>
        <v>13426.08</v>
      </c>
      <c r="Q11" s="74">
        <f t="shared" si="32"/>
        <v>1342.6080000000002</v>
      </c>
      <c r="R11" s="74">
        <f t="shared" si="33"/>
        <v>1624.5556799999999</v>
      </c>
      <c r="S11" s="74">
        <f t="shared" si="34"/>
        <v>81.966218400000002</v>
      </c>
      <c r="T11" s="74">
        <f t="shared" si="35"/>
        <v>164.75209898400001</v>
      </c>
      <c r="U11" s="72">
        <f t="shared" si="36"/>
        <v>16639.961997384002</v>
      </c>
      <c r="V11" s="74">
        <f t="shared" si="37"/>
        <v>249.59942996076001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1605.8598400000001</v>
      </c>
      <c r="AE11" s="76">
        <f t="shared" si="43"/>
        <v>365.40983606557376</v>
      </c>
      <c r="AF11" s="346">
        <f t="shared" si="44"/>
        <v>374.47199999999998</v>
      </c>
      <c r="AG11" s="347"/>
      <c r="AH11" s="76">
        <f t="shared" si="45"/>
        <v>13.374000000000001</v>
      </c>
      <c r="AI11" s="76">
        <f t="shared" si="15"/>
        <v>44.58</v>
      </c>
      <c r="AJ11" s="76">
        <f>J11*Pricing!Q7</f>
        <v>653.76230399999997</v>
      </c>
      <c r="AK11" s="76">
        <f>J11*Pricing!R7</f>
        <v>0</v>
      </c>
      <c r="AL11" s="76">
        <f t="shared" si="16"/>
        <v>1307.5246079999999</v>
      </c>
      <c r="AM11" s="77">
        <f t="shared" si="17"/>
        <v>0</v>
      </c>
      <c r="AN11" s="76">
        <f t="shared" si="18"/>
        <v>1046.0196864</v>
      </c>
      <c r="AO11" s="72">
        <f t="shared" si="19"/>
        <v>17687.397263410334</v>
      </c>
      <c r="AP11" s="74">
        <f t="shared" si="20"/>
        <v>31837.315074138602</v>
      </c>
      <c r="AQ11" s="74">
        <f t="shared" si="46"/>
        <v>0</v>
      </c>
      <c r="AR11" s="74">
        <f t="shared" si="22"/>
        <v>40770.47577840896</v>
      </c>
      <c r="AS11" s="72">
        <f t="shared" si="23"/>
        <v>54137.878775948928</v>
      </c>
      <c r="AT11" s="72">
        <f t="shared" si="24"/>
        <v>44568.195778408954</v>
      </c>
      <c r="AU11" s="78">
        <f t="shared" si="47"/>
        <v>4140.4864156827343</v>
      </c>
      <c r="AV11" s="79">
        <f t="shared" si="26"/>
        <v>2.7364846309956174E-2</v>
      </c>
      <c r="AW11" s="80">
        <f t="shared" si="27"/>
        <v>1291.7203488184568</v>
      </c>
      <c r="AX11" s="81">
        <f t="shared" si="28"/>
        <v>2848.7660668642789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8MM</v>
      </c>
      <c r="F12" s="68">
        <f>Pricing!G8</f>
        <v>1012</v>
      </c>
      <c r="G12" s="68">
        <f>Pricing!H8</f>
        <v>1305</v>
      </c>
      <c r="H12" s="100">
        <f t="shared" si="0"/>
        <v>1.3206599999999999</v>
      </c>
      <c r="I12" s="70">
        <f>Pricing!I8</f>
        <v>1</v>
      </c>
      <c r="J12" s="69">
        <f t="shared" si="30"/>
        <v>1.3206599999999999</v>
      </c>
      <c r="K12" s="71">
        <f t="shared" si="31"/>
        <v>14.215584239999998</v>
      </c>
      <c r="L12" s="69"/>
      <c r="M12" s="72"/>
      <c r="N12" s="72"/>
      <c r="O12" s="72">
        <f t="shared" si="3"/>
        <v>0</v>
      </c>
      <c r="P12" s="73">
        <f>Pricing!M8</f>
        <v>13775.51</v>
      </c>
      <c r="Q12" s="74">
        <f t="shared" si="32"/>
        <v>1377.5510000000002</v>
      </c>
      <c r="R12" s="74">
        <f t="shared" si="33"/>
        <v>1666.83671</v>
      </c>
      <c r="S12" s="74">
        <f t="shared" si="34"/>
        <v>84.099488550000004</v>
      </c>
      <c r="T12" s="74">
        <f t="shared" si="35"/>
        <v>169.03997198550002</v>
      </c>
      <c r="U12" s="72">
        <f t="shared" si="36"/>
        <v>17073.037170535503</v>
      </c>
      <c r="V12" s="74">
        <f t="shared" si="37"/>
        <v>256.09555755803251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1745.9125199999999</v>
      </c>
      <c r="AE12" s="76">
        <f t="shared" si="43"/>
        <v>379.8360655737705</v>
      </c>
      <c r="AF12" s="346">
        <f t="shared" si="44"/>
        <v>389.25600000000003</v>
      </c>
      <c r="AG12" s="347"/>
      <c r="AH12" s="76">
        <f t="shared" si="45"/>
        <v>13.902000000000001</v>
      </c>
      <c r="AI12" s="76">
        <f t="shared" si="15"/>
        <v>46.34</v>
      </c>
      <c r="AJ12" s="76">
        <f>J12*Pricing!Q8</f>
        <v>710.77921199999992</v>
      </c>
      <c r="AK12" s="76">
        <f>J12*Pricing!R8</f>
        <v>0</v>
      </c>
      <c r="AL12" s="76">
        <f t="shared" si="16"/>
        <v>1421.5584239999998</v>
      </c>
      <c r="AM12" s="77">
        <f t="shared" si="17"/>
        <v>0</v>
      </c>
      <c r="AN12" s="76">
        <f t="shared" si="18"/>
        <v>1137.2467391999999</v>
      </c>
      <c r="AO12" s="72">
        <f t="shared" si="19"/>
        <v>18158.466793667307</v>
      </c>
      <c r="AP12" s="74">
        <f t="shared" si="20"/>
        <v>32685.240228601153</v>
      </c>
      <c r="AQ12" s="74">
        <f t="shared" si="46"/>
        <v>0</v>
      </c>
      <c r="AR12" s="74">
        <f t="shared" si="22"/>
        <v>38498.710510099845</v>
      </c>
      <c r="AS12" s="72">
        <f t="shared" si="23"/>
        <v>55859.203917468461</v>
      </c>
      <c r="AT12" s="72">
        <f t="shared" si="24"/>
        <v>42296.430510099846</v>
      </c>
      <c r="AU12" s="78">
        <f t="shared" si="47"/>
        <v>3929.4342725845272</v>
      </c>
      <c r="AV12" s="79">
        <f t="shared" si="26"/>
        <v>2.9751430722888172E-2</v>
      </c>
      <c r="AW12" s="80">
        <f t="shared" si="27"/>
        <v>1219.0236036400527</v>
      </c>
      <c r="AX12" s="81">
        <f t="shared" si="28"/>
        <v>2710.4106689444743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W6</v>
      </c>
      <c r="E13" s="132" t="str">
        <f>Pricing!N9</f>
        <v>8MM</v>
      </c>
      <c r="F13" s="68">
        <f>Pricing!G9</f>
        <v>1250</v>
      </c>
      <c r="G13" s="68">
        <f>Pricing!H9</f>
        <v>1183</v>
      </c>
      <c r="H13" s="100">
        <f t="shared" si="0"/>
        <v>1.47875</v>
      </c>
      <c r="I13" s="70">
        <f>Pricing!I9</f>
        <v>1</v>
      </c>
      <c r="J13" s="69">
        <f t="shared" si="30"/>
        <v>1.47875</v>
      </c>
      <c r="K13" s="71">
        <f t="shared" si="31"/>
        <v>15.917264999999999</v>
      </c>
      <c r="L13" s="69"/>
      <c r="M13" s="72"/>
      <c r="N13" s="72"/>
      <c r="O13" s="72">
        <f t="shared" si="3"/>
        <v>0</v>
      </c>
      <c r="P13" s="73">
        <f>Pricing!M9</f>
        <v>13851.869999999999</v>
      </c>
      <c r="Q13" s="74">
        <f t="shared" si="32"/>
        <v>1385.1869999999999</v>
      </c>
      <c r="R13" s="74">
        <f t="shared" si="33"/>
        <v>1676.0762699999998</v>
      </c>
      <c r="S13" s="74">
        <f t="shared" si="34"/>
        <v>84.565666350000001</v>
      </c>
      <c r="T13" s="74">
        <f t="shared" si="35"/>
        <v>169.9769893635</v>
      </c>
      <c r="U13" s="72">
        <f t="shared" si="36"/>
        <v>17167.675925713498</v>
      </c>
      <c r="V13" s="74">
        <f t="shared" si="37"/>
        <v>257.51513888570247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1954.9075</v>
      </c>
      <c r="AE13" s="76">
        <f t="shared" si="43"/>
        <v>398.85245901639348</v>
      </c>
      <c r="AF13" s="346">
        <f t="shared" si="44"/>
        <v>408.74399999999997</v>
      </c>
      <c r="AG13" s="347"/>
      <c r="AH13" s="76">
        <f t="shared" si="45"/>
        <v>14.597999999999999</v>
      </c>
      <c r="AI13" s="76">
        <f t="shared" si="15"/>
        <v>48.66</v>
      </c>
      <c r="AJ13" s="76">
        <f>J13*Pricing!Q9</f>
        <v>795.86324999999988</v>
      </c>
      <c r="AK13" s="76">
        <f>J13*Pricing!R9</f>
        <v>0</v>
      </c>
      <c r="AL13" s="76">
        <f t="shared" si="16"/>
        <v>1591.7264999999998</v>
      </c>
      <c r="AM13" s="77">
        <f t="shared" si="17"/>
        <v>0</v>
      </c>
      <c r="AN13" s="76">
        <f t="shared" si="18"/>
        <v>1273.3811999999998</v>
      </c>
      <c r="AO13" s="72">
        <f t="shared" si="19"/>
        <v>18296.04552361559</v>
      </c>
      <c r="AP13" s="74">
        <f t="shared" si="20"/>
        <v>32932.881942508066</v>
      </c>
      <c r="AQ13" s="74">
        <f t="shared" si="46"/>
        <v>0</v>
      </c>
      <c r="AR13" s="74">
        <f t="shared" si="22"/>
        <v>34643.39980802952</v>
      </c>
      <c r="AS13" s="72">
        <f t="shared" si="23"/>
        <v>56844.80591612366</v>
      </c>
      <c r="AT13" s="72">
        <f t="shared" si="24"/>
        <v>38441.119808029522</v>
      </c>
      <c r="AU13" s="78">
        <f t="shared" si="47"/>
        <v>3571.2671690848683</v>
      </c>
      <c r="AV13" s="79">
        <f t="shared" si="26"/>
        <v>3.3312834629254225E-2</v>
      </c>
      <c r="AW13" s="80">
        <f t="shared" si="27"/>
        <v>1094.7352490895389</v>
      </c>
      <c r="AX13" s="81">
        <f t="shared" si="28"/>
        <v>2476.5319199953296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WITH GLASS LOUVERS</v>
      </c>
      <c r="D14" s="131" t="str">
        <f>Pricing!B10</f>
        <v>W7</v>
      </c>
      <c r="E14" s="132" t="str">
        <f>Pricing!N10</f>
        <v>8MM (F)</v>
      </c>
      <c r="F14" s="68">
        <f>Pricing!G10</f>
        <v>496</v>
      </c>
      <c r="G14" s="68">
        <f>Pricing!H10</f>
        <v>821</v>
      </c>
      <c r="H14" s="100">
        <f t="shared" si="0"/>
        <v>0.40721600000000002</v>
      </c>
      <c r="I14" s="70">
        <f>Pricing!I10</f>
        <v>1</v>
      </c>
      <c r="J14" s="69">
        <f t="shared" si="30"/>
        <v>0.40721600000000002</v>
      </c>
      <c r="K14" s="71">
        <f t="shared" si="31"/>
        <v>4.3832730240000002</v>
      </c>
      <c r="L14" s="69"/>
      <c r="M14" s="72"/>
      <c r="N14" s="72"/>
      <c r="O14" s="72">
        <f t="shared" si="3"/>
        <v>0</v>
      </c>
      <c r="P14" s="73">
        <f>Pricing!M10</f>
        <v>12311.390000000001</v>
      </c>
      <c r="Q14" s="74">
        <f t="shared" si="32"/>
        <v>1231.1390000000001</v>
      </c>
      <c r="R14" s="74">
        <f t="shared" si="33"/>
        <v>1489.6781900000003</v>
      </c>
      <c r="S14" s="74">
        <f t="shared" si="34"/>
        <v>75.161035950000013</v>
      </c>
      <c r="T14" s="74">
        <f t="shared" si="35"/>
        <v>151.07368225950003</v>
      </c>
      <c r="U14" s="72">
        <f t="shared" si="36"/>
        <v>15258.441908209503</v>
      </c>
      <c r="V14" s="74">
        <f t="shared" si="37"/>
        <v>228.87662862314252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946.36998400000004</v>
      </c>
      <c r="AE14" s="76">
        <f t="shared" si="43"/>
        <v>215.90163934426226</v>
      </c>
      <c r="AF14" s="346">
        <f t="shared" si="44"/>
        <v>221.25599999999997</v>
      </c>
      <c r="AG14" s="347"/>
      <c r="AH14" s="76">
        <f t="shared" si="45"/>
        <v>7.9019999999999992</v>
      </c>
      <c r="AI14" s="76">
        <f t="shared" si="15"/>
        <v>26.34</v>
      </c>
      <c r="AJ14" s="76">
        <f>J14*Pricing!Q10</f>
        <v>0</v>
      </c>
      <c r="AK14" s="76">
        <f>J14*Pricing!R10</f>
        <v>0</v>
      </c>
      <c r="AL14" s="76">
        <f t="shared" si="16"/>
        <v>438.32730239999995</v>
      </c>
      <c r="AM14" s="77">
        <f t="shared" si="17"/>
        <v>0</v>
      </c>
      <c r="AN14" s="76">
        <f t="shared" si="18"/>
        <v>350.66184191999997</v>
      </c>
      <c r="AO14" s="72">
        <f t="shared" si="19"/>
        <v>15958.718176176906</v>
      </c>
      <c r="AP14" s="74">
        <f t="shared" si="20"/>
        <v>28725.692717118432</v>
      </c>
      <c r="AQ14" s="74">
        <f t="shared" si="46"/>
        <v>0</v>
      </c>
      <c r="AR14" s="74">
        <f t="shared" si="22"/>
        <v>109731.471487602</v>
      </c>
      <c r="AS14" s="72">
        <f t="shared" si="23"/>
        <v>46419.770021615339</v>
      </c>
      <c r="AT14" s="72">
        <f t="shared" si="24"/>
        <v>113992.991487602</v>
      </c>
      <c r="AU14" s="78">
        <f t="shared" si="47"/>
        <v>10590.207310256597</v>
      </c>
      <c r="AV14" s="79">
        <f t="shared" si="26"/>
        <v>9.1736394024590981E-3</v>
      </c>
      <c r="AW14" s="80">
        <f t="shared" si="27"/>
        <v>3533.2771771308771</v>
      </c>
      <c r="AX14" s="81">
        <f t="shared" si="28"/>
        <v>7056.9301331257193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W8</v>
      </c>
      <c r="E15" s="132" t="str">
        <f>Pricing!N11</f>
        <v>8MM</v>
      </c>
      <c r="F15" s="68">
        <f>Pricing!G11</f>
        <v>1227</v>
      </c>
      <c r="G15" s="68">
        <f>Pricing!H11</f>
        <v>1215</v>
      </c>
      <c r="H15" s="100">
        <f t="shared" si="0"/>
        <v>1.4908049999999999</v>
      </c>
      <c r="I15" s="70">
        <f>Pricing!I11</f>
        <v>1</v>
      </c>
      <c r="J15" s="69">
        <f t="shared" si="30"/>
        <v>1.4908049999999999</v>
      </c>
      <c r="K15" s="71">
        <f t="shared" si="31"/>
        <v>16.04702502</v>
      </c>
      <c r="L15" s="69"/>
      <c r="M15" s="72"/>
      <c r="N15" s="72"/>
      <c r="O15" s="72">
        <f t="shared" si="3"/>
        <v>0</v>
      </c>
      <c r="P15" s="73">
        <f>Pricing!M11</f>
        <v>13960.599999999999</v>
      </c>
      <c r="Q15" s="74">
        <f t="shared" si="4"/>
        <v>1396.06</v>
      </c>
      <c r="R15" s="74">
        <f t="shared" si="5"/>
        <v>1689.2325999999998</v>
      </c>
      <c r="S15" s="74">
        <f t="shared" si="6"/>
        <v>85.229462999999996</v>
      </c>
      <c r="T15" s="74">
        <f t="shared" si="7"/>
        <v>171.31122062999998</v>
      </c>
      <c r="U15" s="72">
        <f t="shared" si="8"/>
        <v>17302.433283629998</v>
      </c>
      <c r="V15" s="74">
        <f t="shared" si="9"/>
        <v>259.53649925444995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1970.84421</v>
      </c>
      <c r="AE15" s="76">
        <f t="shared" si="43"/>
        <v>400.32786885245901</v>
      </c>
      <c r="AF15" s="346">
        <f t="shared" si="44"/>
        <v>410.25600000000003</v>
      </c>
      <c r="AG15" s="347"/>
      <c r="AH15" s="76">
        <f t="shared" si="45"/>
        <v>14.652000000000001</v>
      </c>
      <c r="AI15" s="76">
        <f t="shared" ref="AI15:AI20" si="49">(((F15+G15)*2*I15)/1000)*2*$AI$7</f>
        <v>48.84</v>
      </c>
      <c r="AJ15" s="76">
        <f>J15*Pricing!Q11</f>
        <v>802.35125099999982</v>
      </c>
      <c r="AK15" s="76">
        <f>J15*Pricing!R11</f>
        <v>0</v>
      </c>
      <c r="AL15" s="76">
        <f t="shared" si="16"/>
        <v>1604.7025019999996</v>
      </c>
      <c r="AM15" s="77">
        <f t="shared" si="17"/>
        <v>0</v>
      </c>
      <c r="AN15" s="76">
        <f t="shared" si="18"/>
        <v>1283.7620015999998</v>
      </c>
      <c r="AO15" s="72">
        <f t="shared" si="19"/>
        <v>18436.045651736906</v>
      </c>
      <c r="AP15" s="74">
        <f t="shared" si="20"/>
        <v>33184.882173126432</v>
      </c>
      <c r="AQ15" s="74">
        <f t="shared" si="21"/>
        <v>0</v>
      </c>
      <c r="AR15" s="74">
        <f t="shared" si="22"/>
        <v>34626.210553937861</v>
      </c>
      <c r="AS15" s="72">
        <f t="shared" si="23"/>
        <v>57282.587789463338</v>
      </c>
      <c r="AT15" s="72">
        <f t="shared" si="24"/>
        <v>38423.930553937869</v>
      </c>
      <c r="AU15" s="78">
        <f t="shared" si="25"/>
        <v>3569.6702484148896</v>
      </c>
      <c r="AV15" s="79">
        <f t="shared" si="26"/>
        <v>3.3584406038522634E-2</v>
      </c>
      <c r="AW15" s="80">
        <f t="shared" si="27"/>
        <v>1094.4065807211191</v>
      </c>
      <c r="AX15" s="81">
        <f t="shared" si="28"/>
        <v>2475.26366769377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LOUVERS</v>
      </c>
      <c r="D16" s="131" t="str">
        <f>Pricing!B12</f>
        <v>W9</v>
      </c>
      <c r="E16" s="132" t="str">
        <f>Pricing!N12</f>
        <v>6MM</v>
      </c>
      <c r="F16" s="68">
        <f>Pricing!G12</f>
        <v>491</v>
      </c>
      <c r="G16" s="68">
        <f>Pricing!H12</f>
        <v>408</v>
      </c>
      <c r="H16" s="100">
        <f t="shared" si="0"/>
        <v>0.20032800000000001</v>
      </c>
      <c r="I16" s="70">
        <f>Pricing!I12</f>
        <v>1</v>
      </c>
      <c r="J16" s="69">
        <f t="shared" si="30"/>
        <v>0.20032800000000001</v>
      </c>
      <c r="K16" s="71">
        <f t="shared" si="31"/>
        <v>2.1563305919999998</v>
      </c>
      <c r="L16" s="69"/>
      <c r="M16" s="72"/>
      <c r="N16" s="72"/>
      <c r="O16" s="72">
        <f t="shared" si="3"/>
        <v>0</v>
      </c>
      <c r="P16" s="73">
        <f>Pricing!M12</f>
        <v>5413.26</v>
      </c>
      <c r="Q16" s="74">
        <f t="shared" si="4"/>
        <v>541.32600000000002</v>
      </c>
      <c r="R16" s="74">
        <f t="shared" si="5"/>
        <v>655.00445999999999</v>
      </c>
      <c r="S16" s="74">
        <f t="shared" si="6"/>
        <v>33.047952300000006</v>
      </c>
      <c r="T16" s="74">
        <f t="shared" si="7"/>
        <v>66.426384123000005</v>
      </c>
      <c r="U16" s="72">
        <f t="shared" si="8"/>
        <v>6709.0647964230011</v>
      </c>
      <c r="V16" s="74">
        <f t="shared" si="9"/>
        <v>100.63597194634501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401.25698399999999</v>
      </c>
      <c r="AE16" s="76">
        <f t="shared" si="43"/>
        <v>147.37704918032787</v>
      </c>
      <c r="AF16" s="346">
        <f t="shared" si="44"/>
        <v>151.03200000000001</v>
      </c>
      <c r="AG16" s="347"/>
      <c r="AH16" s="76">
        <f t="shared" si="45"/>
        <v>5.3940000000000001</v>
      </c>
      <c r="AI16" s="76">
        <f t="shared" si="49"/>
        <v>17.98</v>
      </c>
      <c r="AJ16" s="76">
        <f>J16*Pricing!Q12</f>
        <v>0</v>
      </c>
      <c r="AK16" s="76">
        <f>J16*Pricing!R12</f>
        <v>0</v>
      </c>
      <c r="AL16" s="76">
        <f t="shared" si="16"/>
        <v>215.63305919999999</v>
      </c>
      <c r="AM16" s="77">
        <f t="shared" si="17"/>
        <v>0</v>
      </c>
      <c r="AN16" s="76">
        <f t="shared" si="18"/>
        <v>172.50644735999998</v>
      </c>
      <c r="AO16" s="72">
        <f t="shared" si="19"/>
        <v>7131.4838175496743</v>
      </c>
      <c r="AP16" s="74">
        <f t="shared" si="20"/>
        <v>12836.670871589415</v>
      </c>
      <c r="AQ16" s="74">
        <f t="shared" si="21"/>
        <v>0</v>
      </c>
      <c r="AR16" s="74">
        <f t="shared" si="22"/>
        <v>99677.302669317767</v>
      </c>
      <c r="AS16" s="72">
        <f t="shared" si="23"/>
        <v>20757.55117969909</v>
      </c>
      <c r="AT16" s="72">
        <f t="shared" si="24"/>
        <v>103617.82266931777</v>
      </c>
      <c r="AU16" s="78">
        <f t="shared" si="25"/>
        <v>9626.3306084464675</v>
      </c>
      <c r="AV16" s="79">
        <f t="shared" si="26"/>
        <v>4.5129288491017683E-3</v>
      </c>
      <c r="AW16" s="80">
        <f t="shared" si="27"/>
        <v>3158.0040619158212</v>
      </c>
      <c r="AX16" s="81">
        <f t="shared" si="28"/>
        <v>6468.3265465306458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44.389797999999992</v>
      </c>
      <c r="I109" s="87">
        <f>SUM(I8:I108)</f>
        <v>9</v>
      </c>
      <c r="J109" s="88">
        <f>SUM(J8:J108)</f>
        <v>44.389797999999992</v>
      </c>
      <c r="K109" s="89">
        <f>SUM(K8:K108)</f>
        <v>477.81178567199998</v>
      </c>
      <c r="L109" s="88">
        <f>SUM(L8:L8)</f>
        <v>0</v>
      </c>
      <c r="M109" s="88"/>
      <c r="N109" s="88"/>
      <c r="O109" s="88"/>
      <c r="P109" s="87">
        <f>SUM(P8:P108)</f>
        <v>288724.62999999995</v>
      </c>
      <c r="Q109" s="88">
        <f t="shared" ref="Q109:AE109" si="156">SUM(Q8:Q108)</f>
        <v>28872.463000000003</v>
      </c>
      <c r="R109" s="88">
        <f t="shared" si="156"/>
        <v>34935.680229999998</v>
      </c>
      <c r="S109" s="88">
        <f t="shared" si="156"/>
        <v>1762.6638661499994</v>
      </c>
      <c r="T109" s="88">
        <f t="shared" si="156"/>
        <v>3542.9543709614995</v>
      </c>
      <c r="U109" s="88">
        <f t="shared" si="156"/>
        <v>357838.39146711153</v>
      </c>
      <c r="V109" s="88">
        <f t="shared" si="156"/>
        <v>5367.5758720066724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59227.766755999997</v>
      </c>
      <c r="AE109" s="88">
        <f t="shared" si="156"/>
        <v>5606.0655737704919</v>
      </c>
      <c r="AF109" s="407">
        <f>SUM(AF8:AG108)</f>
        <v>5745.0960000000005</v>
      </c>
      <c r="AG109" s="408"/>
      <c r="AH109" s="88">
        <f t="shared" ref="AH109:AQ109" si="157">SUM(AH8:AH108)</f>
        <v>205.18200000000002</v>
      </c>
      <c r="AI109" s="88">
        <f t="shared" si="157"/>
        <v>683.93999999999994</v>
      </c>
      <c r="AJ109" s="88">
        <f t="shared" ref="AJ109" si="158">SUM(AJ8:AJ108)</f>
        <v>2962.7560169999997</v>
      </c>
      <c r="AK109" s="88">
        <f t="shared" si="157"/>
        <v>153037.20336839999</v>
      </c>
      <c r="AL109" s="88">
        <f t="shared" si="157"/>
        <v>47781.178567199997</v>
      </c>
      <c r="AM109" s="88">
        <f t="shared" si="157"/>
        <v>0</v>
      </c>
      <c r="AN109" s="88">
        <f t="shared" si="157"/>
        <v>38224.942853760003</v>
      </c>
      <c r="AO109" s="88">
        <f t="shared" si="157"/>
        <v>375446.25091288862</v>
      </c>
      <c r="AP109" s="88">
        <f t="shared" si="157"/>
        <v>675803.25164319971</v>
      </c>
      <c r="AQ109" s="88">
        <f t="shared" si="157"/>
        <v>0</v>
      </c>
      <c r="AR109" s="88"/>
      <c r="AS109" s="87">
        <f>SUM(AS8:AS108)</f>
        <v>1352483.3501184483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5745.0960000000005</v>
      </c>
      <c r="AW110" s="84"/>
    </row>
    <row r="111" spans="2:54">
      <c r="AF111" s="174"/>
      <c r="AG111" s="174"/>
      <c r="AH111" s="174">
        <f>SUM(AE109:AI109,AC109)</f>
        <v>12240.283573770494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4.140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ABPL-DE-19.20-2166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Sumadhura Infracon Pvt. Ltd.</v>
      </c>
      <c r="G7" s="460"/>
      <c r="H7" s="460"/>
      <c r="I7" s="460"/>
      <c r="J7" s="461"/>
      <c r="K7" s="437" t="s">
        <v>104</v>
      </c>
      <c r="L7" s="429"/>
      <c r="M7" s="434">
        <f>'BD Team'!J3</f>
        <v>43700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43700</v>
      </c>
    </row>
    <row r="9" spans="2:15" ht="24.95" customHeight="1">
      <c r="B9" s="428" t="s">
        <v>168</v>
      </c>
      <c r="C9" s="429"/>
      <c r="D9" s="429"/>
      <c r="E9" s="429"/>
      <c r="F9" s="460" t="str">
        <f>'BD Team'!E4</f>
        <v>Ms. Rachana : 9154030271</v>
      </c>
      <c r="G9" s="460"/>
      <c r="H9" s="460"/>
      <c r="I9" s="460"/>
      <c r="J9" s="461"/>
      <c r="K9" s="437" t="s">
        <v>178</v>
      </c>
      <c r="L9" s="429"/>
      <c r="M9" s="449" t="str">
        <f>'BD Team'!J4</f>
        <v>Mahesh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Anodized</v>
      </c>
      <c r="G10" s="442" t="s">
        <v>177</v>
      </c>
      <c r="H10" s="443"/>
      <c r="I10" s="440" t="str">
        <f>'BD Team'!G5</f>
        <v>Silver</v>
      </c>
      <c r="J10" s="441"/>
      <c r="K10" s="438" t="s">
        <v>373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18" t="s">
        <v>63</v>
      </c>
      <c r="H13" s="418" t="s">
        <v>209</v>
      </c>
      <c r="I13" s="418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M9800</v>
      </c>
      <c r="F16" s="187" t="str">
        <f>Pricing!D4</f>
        <v>5 LEAF SLIDE &amp; FOLD DOOR</v>
      </c>
      <c r="G16" s="187" t="str">
        <f>Pricing!N4</f>
        <v>8MM</v>
      </c>
      <c r="H16" s="187" t="str">
        <f>Pricing!F4</f>
        <v>PARTY ROOM</v>
      </c>
      <c r="I16" s="216" t="str">
        <f>Pricing!E4</f>
        <v>RETRACTABLE</v>
      </c>
      <c r="J16" s="216">
        <f>Pricing!G4</f>
        <v>4867</v>
      </c>
      <c r="K16" s="216">
        <f>Pricing!H4</f>
        <v>2733</v>
      </c>
      <c r="L16" s="216">
        <f>Pricing!I4</f>
        <v>1</v>
      </c>
      <c r="M16" s="188">
        <f t="shared" ref="M16:M24" si="0">J16*K16*L16/1000000</f>
        <v>13.301511</v>
      </c>
      <c r="N16" s="189">
        <f>'Cost Calculation'!AS8</f>
        <v>512283.48872566398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W2</v>
      </c>
      <c r="E17" s="187" t="str">
        <f>Pricing!C5</f>
        <v>M15000</v>
      </c>
      <c r="F17" s="187" t="str">
        <f>Pricing!D5</f>
        <v>SINGLE DOOR WITH 4 FIXED GLASS</v>
      </c>
      <c r="G17" s="187" t="str">
        <f>Pricing!N5</f>
        <v>8MM</v>
      </c>
      <c r="H17" s="187" t="str">
        <f>Pricing!F5</f>
        <v>PARTY ROOM TO GYM</v>
      </c>
      <c r="I17" s="216" t="str">
        <f>Pricing!E5</f>
        <v>RETRACTABLE</v>
      </c>
      <c r="J17" s="216">
        <f>Pricing!G5</f>
        <v>5813</v>
      </c>
      <c r="K17" s="216">
        <f>Pricing!H5</f>
        <v>2576</v>
      </c>
      <c r="L17" s="216">
        <f>Pricing!I5</f>
        <v>1</v>
      </c>
      <c r="M17" s="188">
        <f t="shared" si="0"/>
        <v>14.974288</v>
      </c>
      <c r="N17" s="189">
        <f>'Cost Calculation'!AS9</f>
        <v>406868.94917825313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M15000</v>
      </c>
      <c r="F18" s="187" t="str">
        <f>Pricing!D6</f>
        <v>FIXED GLASS 3 NO'S</v>
      </c>
      <c r="G18" s="187" t="str">
        <f>Pricing!N6</f>
        <v>8MM</v>
      </c>
      <c r="H18" s="187" t="str">
        <f>Pricing!F6</f>
        <v>GYM</v>
      </c>
      <c r="I18" s="216" t="str">
        <f>Pricing!E6</f>
        <v>NO</v>
      </c>
      <c r="J18" s="216">
        <f>Pricing!G6</f>
        <v>4176</v>
      </c>
      <c r="K18" s="216">
        <f>Pricing!H6</f>
        <v>2395</v>
      </c>
      <c r="L18" s="216">
        <f>Pricing!I6</f>
        <v>1</v>
      </c>
      <c r="M18" s="188">
        <f t="shared" si="0"/>
        <v>10.001519999999999</v>
      </c>
      <c r="N18" s="189">
        <f>'Cost Calculation'!AS10</f>
        <v>142029.11461421239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8MM</v>
      </c>
      <c r="H19" s="187" t="str">
        <f>Pricing!F7</f>
        <v>KITCHEN</v>
      </c>
      <c r="I19" s="216" t="str">
        <f>Pricing!E7</f>
        <v>SS</v>
      </c>
      <c r="J19" s="216">
        <f>Pricing!G7</f>
        <v>949</v>
      </c>
      <c r="K19" s="216">
        <f>Pricing!H7</f>
        <v>1280</v>
      </c>
      <c r="L19" s="216">
        <f>Pricing!I7</f>
        <v>1</v>
      </c>
      <c r="M19" s="188">
        <f t="shared" si="0"/>
        <v>1.21472</v>
      </c>
      <c r="N19" s="189">
        <f>'Cost Calculation'!AS11</f>
        <v>54137.878775948928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8MM</v>
      </c>
      <c r="H20" s="187" t="str">
        <f>Pricing!F8</f>
        <v>KITCHEN</v>
      </c>
      <c r="I20" s="216" t="str">
        <f>Pricing!E8</f>
        <v>SS</v>
      </c>
      <c r="J20" s="216">
        <f>Pricing!G8</f>
        <v>1012</v>
      </c>
      <c r="K20" s="216">
        <f>Pricing!H8</f>
        <v>1305</v>
      </c>
      <c r="L20" s="216">
        <f>Pricing!I8</f>
        <v>1</v>
      </c>
      <c r="M20" s="188">
        <f t="shared" si="0"/>
        <v>1.3206599999999999</v>
      </c>
      <c r="N20" s="189">
        <f>'Cost Calculation'!AS12</f>
        <v>55859.203917468461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W6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8MM</v>
      </c>
      <c r="H21" s="187" t="str">
        <f>Pricing!F9</f>
        <v>SERVANT BEDROOM</v>
      </c>
      <c r="I21" s="216" t="str">
        <f>Pricing!E9</f>
        <v>SS</v>
      </c>
      <c r="J21" s="216">
        <f>Pricing!G9</f>
        <v>1250</v>
      </c>
      <c r="K21" s="216">
        <f>Pricing!H9</f>
        <v>1183</v>
      </c>
      <c r="L21" s="216">
        <f>Pricing!I9</f>
        <v>1</v>
      </c>
      <c r="M21" s="188">
        <f t="shared" si="0"/>
        <v>1.47875</v>
      </c>
      <c r="N21" s="189">
        <f>'Cost Calculation'!AS13</f>
        <v>56844.80591612366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W7</v>
      </c>
      <c r="E22" s="187" t="str">
        <f>Pricing!C10</f>
        <v>M15000</v>
      </c>
      <c r="F22" s="187" t="str">
        <f>Pricing!D10</f>
        <v>FIXED GLASS WITH GLASS LOUVERS</v>
      </c>
      <c r="G22" s="187" t="str">
        <f>Pricing!N10</f>
        <v>8MM (F)</v>
      </c>
      <c r="H22" s="187" t="str">
        <f>Pricing!F10</f>
        <v>SERVANT TOILET</v>
      </c>
      <c r="I22" s="216" t="str">
        <f>Pricing!E10</f>
        <v>NO</v>
      </c>
      <c r="J22" s="216">
        <f>Pricing!G10</f>
        <v>496</v>
      </c>
      <c r="K22" s="216">
        <f>Pricing!H10</f>
        <v>821</v>
      </c>
      <c r="L22" s="216">
        <f>Pricing!I10</f>
        <v>1</v>
      </c>
      <c r="M22" s="188">
        <f t="shared" si="0"/>
        <v>0.40721600000000002</v>
      </c>
      <c r="N22" s="189">
        <f>'Cost Calculation'!AS14</f>
        <v>46419.770021615339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W8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8MM</v>
      </c>
      <c r="H23" s="187" t="str">
        <f>Pricing!F11</f>
        <v>SERVANT BEDROOM</v>
      </c>
      <c r="I23" s="216" t="str">
        <f>Pricing!E11</f>
        <v>SS</v>
      </c>
      <c r="J23" s="216">
        <f>Pricing!G11</f>
        <v>1227</v>
      </c>
      <c r="K23" s="216">
        <f>Pricing!H11</f>
        <v>1215</v>
      </c>
      <c r="L23" s="216">
        <f>Pricing!I11</f>
        <v>1</v>
      </c>
      <c r="M23" s="188">
        <f t="shared" si="0"/>
        <v>1.4908049999999999</v>
      </c>
      <c r="N23" s="189">
        <f>'Cost Calculation'!AS15</f>
        <v>57282.587789463338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W9</v>
      </c>
      <c r="E24" s="187" t="str">
        <f>Pricing!C12</f>
        <v>-</v>
      </c>
      <c r="F24" s="187" t="str">
        <f>Pricing!D12</f>
        <v>GLASS LOUVERS</v>
      </c>
      <c r="G24" s="187" t="str">
        <f>Pricing!N12</f>
        <v>6MM</v>
      </c>
      <c r="H24" s="187" t="str">
        <f>Pricing!F12</f>
        <v>SERVANT TOILET</v>
      </c>
      <c r="I24" s="216" t="str">
        <f>Pricing!E12</f>
        <v>NO</v>
      </c>
      <c r="J24" s="216">
        <f>Pricing!G12</f>
        <v>491</v>
      </c>
      <c r="K24" s="216">
        <f>Pricing!H12</f>
        <v>408</v>
      </c>
      <c r="L24" s="216">
        <f>Pricing!I12</f>
        <v>1</v>
      </c>
      <c r="M24" s="188">
        <f t="shared" si="0"/>
        <v>0.20032800000000001</v>
      </c>
      <c r="N24" s="189">
        <f>'Cost Calculation'!AS16</f>
        <v>20757.55117969909</v>
      </c>
      <c r="O24" s="95"/>
    </row>
    <row r="25" spans="2:15" s="94" customFormat="1" ht="49.9" hidden="1" customHeight="1" thickTop="1" thickBot="1">
      <c r="B25" s="416">
        <f>Pricing!A13</f>
        <v>10</v>
      </c>
      <c r="C25" s="417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9</v>
      </c>
      <c r="M116" s="191">
        <f>SUM(M16:M115)</f>
        <v>44.389797999999992</v>
      </c>
      <c r="N116" s="186"/>
      <c r="O116" s="95"/>
    </row>
    <row r="117" spans="2:15" s="94" customFormat="1" ht="30" customHeight="1" thickTop="1" thickBot="1">
      <c r="B117" s="422" t="s">
        <v>180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1352483</v>
      </c>
      <c r="O117" s="95">
        <f>N117/SUM(M116)</f>
        <v>30468.329682419375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243447</v>
      </c>
      <c r="O118" s="95">
        <f>N118/SUM(M116)</f>
        <v>5484.3006944974168</v>
      </c>
    </row>
    <row r="119" spans="2:15" s="94" customFormat="1" ht="30" customHeight="1" thickTop="1" thickBot="1">
      <c r="B119" s="422" t="s">
        <v>181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1595930</v>
      </c>
      <c r="O119" s="95">
        <f>N119/SUM(M116)</f>
        <v>35952.630376916793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2830.5768935729634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206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458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459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460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25" t="s">
        <v>140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  <c r="O128" s="138"/>
    </row>
    <row r="129" spans="2:14" s="93" customFormat="1" ht="24.95" customHeight="1">
      <c r="B129" s="410">
        <v>1</v>
      </c>
      <c r="C129" s="411"/>
      <c r="D129" s="412" t="s">
        <v>363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388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14" t="s">
        <v>404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0">
        <v>4</v>
      </c>
      <c r="C132" s="411"/>
      <c r="D132" s="414" t="s">
        <v>405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0">
        <v>1</v>
      </c>
      <c r="C134" s="411"/>
      <c r="D134" s="412" t="s">
        <v>142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143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0">
        <v>1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2</v>
      </c>
      <c r="C140" s="411"/>
      <c r="D140" s="412" t="s">
        <v>401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3</v>
      </c>
      <c r="C141" s="411"/>
      <c r="D141" s="412" t="s">
        <v>148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4</v>
      </c>
      <c r="C142" s="411"/>
      <c r="D142" s="412" t="s">
        <v>149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5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6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135" customHeight="1">
      <c r="B147" s="410">
        <v>2</v>
      </c>
      <c r="C147" s="411"/>
      <c r="D147" s="499" t="s">
        <v>422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0">
        <v>3</v>
      </c>
      <c r="C148" s="411"/>
      <c r="D148" s="412" t="s">
        <v>154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24.95" customHeight="1">
      <c r="B149" s="410">
        <v>4</v>
      </c>
      <c r="C149" s="411"/>
      <c r="D149" s="412" t="s">
        <v>155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140" customFormat="1" ht="30" customHeight="1">
      <c r="B150" s="496" t="s">
        <v>156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0">
        <v>1</v>
      </c>
      <c r="C151" s="411"/>
      <c r="D151" s="412" t="s">
        <v>157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55.9" customHeight="1">
      <c r="B152" s="410">
        <v>2</v>
      </c>
      <c r="C152" s="411"/>
      <c r="D152" s="499" t="s">
        <v>158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159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0">
        <v>1</v>
      </c>
      <c r="C154" s="411"/>
      <c r="D154" s="474" t="s">
        <v>160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0">
        <v>2</v>
      </c>
      <c r="C155" s="411"/>
      <c r="D155" s="474" t="s">
        <v>161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0">
        <v>3</v>
      </c>
      <c r="C156" s="411"/>
      <c r="D156" s="493" t="s">
        <v>162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0">
        <v>4</v>
      </c>
      <c r="C157" s="411"/>
      <c r="D157" s="474" t="s">
        <v>163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164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0">
        <v>1</v>
      </c>
      <c r="C159" s="411"/>
      <c r="D159" s="474" t="s">
        <v>165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2</v>
      </c>
      <c r="C160" s="411"/>
      <c r="D160" s="474" t="s">
        <v>166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3</v>
      </c>
      <c r="C161" s="411"/>
      <c r="D161" s="474" t="s">
        <v>167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0">
        <v>4</v>
      </c>
      <c r="C162" s="411"/>
      <c r="D162" s="474" t="s">
        <v>400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239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240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204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43700</v>
      </c>
      <c r="F2" s="518" t="s">
        <v>244</v>
      </c>
      <c r="G2" s="518"/>
    </row>
    <row r="3" spans="3:13">
      <c r="C3" s="297" t="s">
        <v>126</v>
      </c>
      <c r="D3" s="519" t="str">
        <f>QUOTATION!F7</f>
        <v>Sumadhura Infracon Pvt. Ltd.</v>
      </c>
      <c r="E3" s="519"/>
      <c r="F3" s="522" t="s">
        <v>245</v>
      </c>
      <c r="G3" s="523">
        <f>QUOTATION!N8</f>
        <v>43700</v>
      </c>
    </row>
    <row r="4" spans="3:13">
      <c r="C4" s="297" t="s">
        <v>242</v>
      </c>
      <c r="D4" s="520" t="str">
        <f>QUOTATION!M6</f>
        <v>ABPL-DE-19.20-2166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Mahesh</v>
      </c>
      <c r="E11" s="519"/>
      <c r="F11" s="522"/>
      <c r="G11" s="524"/>
    </row>
    <row r="12" spans="3:13">
      <c r="C12" s="297" t="s">
        <v>243</v>
      </c>
      <c r="D12" s="521">
        <f>QUOTATION!M7</f>
        <v>43700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3478.6099999999992</v>
      </c>
      <c r="F14" s="205"/>
      <c r="G14" s="206">
        <f>E14</f>
        <v>3478.6099999999992</v>
      </c>
    </row>
    <row r="15" spans="3:13">
      <c r="C15" s="194" t="s">
        <v>234</v>
      </c>
      <c r="D15" s="296">
        <f>'Changable Values'!D4</f>
        <v>83</v>
      </c>
      <c r="E15" s="199">
        <f>E14*D15</f>
        <v>288724.62999999995</v>
      </c>
      <c r="F15" s="205"/>
      <c r="G15" s="207">
        <f>E15</f>
        <v>288724.62999999995</v>
      </c>
    </row>
    <row r="16" spans="3:13">
      <c r="C16" s="195" t="s">
        <v>97</v>
      </c>
      <c r="D16" s="200">
        <f>'Changable Values'!D5</f>
        <v>0.1</v>
      </c>
      <c r="E16" s="199">
        <f>E15*D16</f>
        <v>28872.462999999996</v>
      </c>
      <c r="F16" s="208">
        <f>'Changable Values'!D5</f>
        <v>0.1</v>
      </c>
      <c r="G16" s="207">
        <f>G15*F16</f>
        <v>28872.462999999996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34935.680229999991</v>
      </c>
      <c r="F17" s="208">
        <f>'Changable Values'!D6</f>
        <v>0.11</v>
      </c>
      <c r="G17" s="207">
        <f>SUM(G15:G16)*F17</f>
        <v>34935.680229999991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1762.6638661499996</v>
      </c>
      <c r="F18" s="208">
        <f>'Changable Values'!D7</f>
        <v>5.0000000000000001E-3</v>
      </c>
      <c r="G18" s="207">
        <f>SUM(G15:G17)*F18</f>
        <v>1762.6638661499996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3542.9543709614995</v>
      </c>
      <c r="F19" s="208">
        <f>'Changable Values'!D8</f>
        <v>0.01</v>
      </c>
      <c r="G19" s="207">
        <f>SUM(G15:G18)*F19</f>
        <v>3542.9543709614995</v>
      </c>
    </row>
    <row r="20" spans="3:7">
      <c r="C20" s="195" t="s">
        <v>99</v>
      </c>
      <c r="D20" s="201"/>
      <c r="E20" s="199">
        <f>SUM(E15:E19)</f>
        <v>357838.39146711148</v>
      </c>
      <c r="F20" s="208"/>
      <c r="G20" s="207">
        <f>SUM(G15:G19)</f>
        <v>357838.39146711148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5367.5758720066724</v>
      </c>
      <c r="F21" s="208">
        <f>'Changable Values'!D9</f>
        <v>1.4999999999999999E-2</v>
      </c>
      <c r="G21" s="207">
        <f>G20*F21</f>
        <v>5367.5758720066724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59227.766755999997</v>
      </c>
      <c r="F23" s="209"/>
      <c r="G23" s="207">
        <f t="shared" si="0"/>
        <v>59227.766755999997</v>
      </c>
    </row>
    <row r="24" spans="3:7">
      <c r="C24" s="195" t="s">
        <v>229</v>
      </c>
      <c r="D24" s="198"/>
      <c r="E24" s="199">
        <f>'Cost Calculation'!AH111</f>
        <v>12240.283573770494</v>
      </c>
      <c r="F24" s="209"/>
      <c r="G24" s="207">
        <f t="shared" si="0"/>
        <v>12240.283573770494</v>
      </c>
    </row>
    <row r="25" spans="3:7">
      <c r="C25" s="196" t="s">
        <v>237</v>
      </c>
      <c r="D25" s="198"/>
      <c r="E25" s="199">
        <f>'Cost Calculation'!AJ109</f>
        <v>2962.7560169999997</v>
      </c>
      <c r="F25" s="209"/>
      <c r="G25" s="207">
        <f t="shared" si="0"/>
        <v>2962.7560169999997</v>
      </c>
    </row>
    <row r="26" spans="3:7">
      <c r="C26" s="196" t="s">
        <v>238</v>
      </c>
      <c r="D26" s="198"/>
      <c r="E26" s="199">
        <f>'Cost Calculation'!AK109</f>
        <v>153037.20336839999</v>
      </c>
      <c r="F26" s="209"/>
      <c r="G26" s="207">
        <f t="shared" si="0"/>
        <v>153037.20336839999</v>
      </c>
    </row>
    <row r="27" spans="3:7">
      <c r="C27" s="195" t="s">
        <v>86</v>
      </c>
      <c r="D27" s="198"/>
      <c r="E27" s="199">
        <f>'Cost Calculation'!AL109</f>
        <v>47781.178567199997</v>
      </c>
      <c r="F27" s="209"/>
      <c r="G27" s="207">
        <f t="shared" si="0"/>
        <v>47781.178567199997</v>
      </c>
    </row>
    <row r="28" spans="3:7">
      <c r="C28" s="195" t="s">
        <v>88</v>
      </c>
      <c r="D28" s="198"/>
      <c r="E28" s="199">
        <f>'Cost Calculation'!AN109</f>
        <v>38224.942853760003</v>
      </c>
      <c r="F28" s="209"/>
      <c r="G28" s="207">
        <f t="shared" si="0"/>
        <v>38224.942853760003</v>
      </c>
    </row>
    <row r="29" spans="3:7">
      <c r="C29" s="293" t="s">
        <v>378</v>
      </c>
      <c r="D29" s="294"/>
      <c r="E29" s="295">
        <f>SUM(E20:E28)</f>
        <v>676680.09847524855</v>
      </c>
      <c r="F29" s="209"/>
      <c r="G29" s="207">
        <f>SUM(G20:G21,G24)</f>
        <v>375446.25091288862</v>
      </c>
    </row>
    <row r="30" spans="3:7">
      <c r="C30" s="293" t="s">
        <v>379</v>
      </c>
      <c r="D30" s="294"/>
      <c r="E30" s="295">
        <f>E29/E33</f>
        <v>1416.2063782574091</v>
      </c>
      <c r="F30" s="209"/>
      <c r="G30" s="207"/>
    </row>
    <row r="31" spans="3:7">
      <c r="C31" s="195" t="s">
        <v>4</v>
      </c>
      <c r="D31" s="202">
        <f>'Changable Values'!D23</f>
        <v>1.8</v>
      </c>
      <c r="E31" s="199">
        <f>(E29-SUM(E22:E23,E25:E28))*D31</f>
        <v>675803.25164319947</v>
      </c>
      <c r="F31" s="214">
        <f>'Changable Values'!D23</f>
        <v>1.8</v>
      </c>
      <c r="G31" s="207">
        <f>G29*F31</f>
        <v>675803.25164319947</v>
      </c>
    </row>
    <row r="32" spans="3:7">
      <c r="C32" s="290" t="s">
        <v>5</v>
      </c>
      <c r="D32" s="291"/>
      <c r="E32" s="292">
        <f>E31+E29</f>
        <v>1352483.350118448</v>
      </c>
      <c r="F32" s="205"/>
      <c r="G32" s="207">
        <f>SUM(G25:G31,G22:G23)</f>
        <v>1352483.350118448</v>
      </c>
    </row>
    <row r="33" spans="3:7">
      <c r="C33" s="300" t="s">
        <v>230</v>
      </c>
      <c r="D33" s="301"/>
      <c r="E33" s="308">
        <f>'Cost Calculation'!K109</f>
        <v>477.81178567199998</v>
      </c>
      <c r="F33" s="210"/>
      <c r="G33" s="211">
        <f>E33</f>
        <v>477.81178567199998</v>
      </c>
    </row>
    <row r="34" spans="3:7">
      <c r="C34" s="302" t="s">
        <v>9</v>
      </c>
      <c r="D34" s="303"/>
      <c r="E34" s="304">
        <f>QUOTATION!L116</f>
        <v>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2830.5776263268599</v>
      </c>
      <c r="F35" s="212"/>
      <c r="G35" s="213">
        <f>G32/(G33)</f>
        <v>2830.5776263268599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2019-08-24T04:19:38Z</cp:lastPrinted>
  <dcterms:created xsi:type="dcterms:W3CDTF">2010-12-18T06:34:46Z</dcterms:created>
  <dcterms:modified xsi:type="dcterms:W3CDTF">2019-08-28T10:24:52Z</dcterms:modified>
</cp:coreProperties>
</file>