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Drawings!$C$2:$O$821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A48" i="169"/>
  <c r="B48" i="169"/>
  <c r="C48" i="169"/>
  <c r="D48" i="169"/>
  <c r="E48" i="169"/>
  <c r="F48" i="169"/>
  <c r="I48" i="169"/>
  <c r="J48" i="169"/>
  <c r="K48" i="169"/>
  <c r="L48" i="169"/>
  <c r="M48" i="169"/>
  <c r="N48" i="169"/>
  <c r="O48" i="169"/>
  <c r="P48" i="169"/>
  <c r="Q48" i="169"/>
  <c r="R48" i="169"/>
  <c r="S48" i="169"/>
  <c r="T48" i="169"/>
  <c r="U48" i="169"/>
  <c r="A49" i="169"/>
  <c r="B49" i="169"/>
  <c r="C49" i="169"/>
  <c r="D49" i="169"/>
  <c r="E49" i="169"/>
  <c r="F49" i="169"/>
  <c r="I49" i="169"/>
  <c r="J49" i="169"/>
  <c r="K49" i="169"/>
  <c r="L49" i="169"/>
  <c r="M49" i="169"/>
  <c r="N49" i="169"/>
  <c r="O49" i="169"/>
  <c r="P49" i="169"/>
  <c r="Q49" i="169"/>
  <c r="R49" i="169"/>
  <c r="S49" i="169"/>
  <c r="T49" i="169"/>
  <c r="U49" i="169"/>
  <c r="A50" i="169"/>
  <c r="B50" i="169"/>
  <c r="C50" i="169"/>
  <c r="D50" i="169"/>
  <c r="E50" i="169"/>
  <c r="F50" i="169"/>
  <c r="I50" i="169"/>
  <c r="J50" i="169"/>
  <c r="K50" i="169"/>
  <c r="L50" i="169"/>
  <c r="M50" i="169"/>
  <c r="N50" i="169"/>
  <c r="O50" i="169"/>
  <c r="P50" i="169"/>
  <c r="Q50" i="169"/>
  <c r="R50" i="169"/>
  <c r="S50" i="169"/>
  <c r="T50" i="169"/>
  <c r="U50" i="169"/>
  <c r="A51" i="169"/>
  <c r="B51" i="169"/>
  <c r="C51" i="169"/>
  <c r="D51" i="169"/>
  <c r="E51" i="169"/>
  <c r="F51" i="169"/>
  <c r="I51" i="169"/>
  <c r="J51" i="169"/>
  <c r="K51" i="169"/>
  <c r="L51" i="169"/>
  <c r="M51" i="169"/>
  <c r="N51" i="169"/>
  <c r="O51" i="169"/>
  <c r="P51" i="169"/>
  <c r="Q51" i="169"/>
  <c r="R51" i="169"/>
  <c r="S51" i="169"/>
  <c r="T51" i="169"/>
  <c r="U51" i="169"/>
  <c r="A52" i="169"/>
  <c r="B52" i="169"/>
  <c r="C52" i="169"/>
  <c r="D52" i="169"/>
  <c r="E52" i="169"/>
  <c r="F52" i="169"/>
  <c r="I52" i="169"/>
  <c r="J52" i="169"/>
  <c r="K52" i="169"/>
  <c r="L52" i="169"/>
  <c r="M52" i="169"/>
  <c r="N52" i="169"/>
  <c r="O52" i="169"/>
  <c r="P52" i="169"/>
  <c r="Q52" i="169"/>
  <c r="R52" i="169"/>
  <c r="S52" i="169"/>
  <c r="T52" i="169"/>
  <c r="U52" i="169"/>
  <c r="A53" i="169"/>
  <c r="B53" i="169"/>
  <c r="C53" i="169"/>
  <c r="D53" i="169"/>
  <c r="E53" i="169"/>
  <c r="F53" i="169"/>
  <c r="I53" i="169"/>
  <c r="J53" i="169"/>
  <c r="K53" i="169"/>
  <c r="L53" i="169"/>
  <c r="M53" i="169"/>
  <c r="N53" i="169"/>
  <c r="O53" i="169"/>
  <c r="P53" i="169"/>
  <c r="Q53" i="169"/>
  <c r="R53" i="169"/>
  <c r="S53" i="169"/>
  <c r="T53" i="169"/>
  <c r="U53" i="169"/>
  <c r="A54" i="169"/>
  <c r="B54" i="169"/>
  <c r="C54" i="169"/>
  <c r="D54" i="169"/>
  <c r="E54" i="169"/>
  <c r="F54" i="169"/>
  <c r="I54" i="169"/>
  <c r="J54" i="169"/>
  <c r="K54" i="169"/>
  <c r="L54" i="169"/>
  <c r="M54" i="169"/>
  <c r="N54" i="169"/>
  <c r="O54" i="169"/>
  <c r="P54" i="169"/>
  <c r="Q54" i="169"/>
  <c r="R54" i="169"/>
  <c r="S54" i="169"/>
  <c r="T54" i="169"/>
  <c r="U54" i="169"/>
  <c r="A55" i="169"/>
  <c r="B55" i="169"/>
  <c r="C55" i="169"/>
  <c r="D55" i="169"/>
  <c r="E55" i="169"/>
  <c r="F55" i="169"/>
  <c r="I55" i="169"/>
  <c r="J55" i="169"/>
  <c r="K55" i="169"/>
  <c r="L55" i="169"/>
  <c r="M55" i="169"/>
  <c r="N55" i="169"/>
  <c r="O55" i="169"/>
  <c r="P55" i="169"/>
  <c r="Q55" i="169"/>
  <c r="R55" i="169"/>
  <c r="S55" i="169"/>
  <c r="T55" i="169"/>
  <c r="U55" i="169"/>
  <c r="A56" i="169"/>
  <c r="B56" i="169"/>
  <c r="C56" i="169"/>
  <c r="D56" i="169"/>
  <c r="E56" i="169"/>
  <c r="F56" i="169"/>
  <c r="I56" i="169"/>
  <c r="J56" i="169"/>
  <c r="K56" i="169"/>
  <c r="L56" i="169"/>
  <c r="M56" i="169"/>
  <c r="N56" i="169"/>
  <c r="O56" i="169"/>
  <c r="P56" i="169"/>
  <c r="Q56" i="169"/>
  <c r="R56" i="169"/>
  <c r="S56" i="169"/>
  <c r="T56" i="169"/>
  <c r="U56" i="169"/>
  <c r="A57" i="169"/>
  <c r="B57" i="169"/>
  <c r="C57" i="169"/>
  <c r="D57" i="169"/>
  <c r="E57" i="169"/>
  <c r="F57" i="169"/>
  <c r="I57" i="169"/>
  <c r="J57" i="169"/>
  <c r="K57" i="169"/>
  <c r="L57" i="169"/>
  <c r="M57" i="169"/>
  <c r="N57" i="169"/>
  <c r="O57" i="169"/>
  <c r="P57" i="169"/>
  <c r="Q57" i="169"/>
  <c r="R57" i="169"/>
  <c r="S57" i="169"/>
  <c r="T57" i="169"/>
  <c r="U57" i="169"/>
  <c r="A58" i="169"/>
  <c r="B58" i="169"/>
  <c r="C58" i="169"/>
  <c r="D58" i="169"/>
  <c r="E58" i="169"/>
  <c r="F58" i="169"/>
  <c r="I58" i="169"/>
  <c r="J58" i="169"/>
  <c r="K58" i="169"/>
  <c r="L58" i="169"/>
  <c r="M58" i="169"/>
  <c r="N58" i="169"/>
  <c r="O58" i="169"/>
  <c r="P58" i="169"/>
  <c r="Q58" i="169"/>
  <c r="R58" i="169"/>
  <c r="S58" i="169"/>
  <c r="T58" i="169"/>
  <c r="U58" i="169"/>
  <c r="A59" i="169"/>
  <c r="B59" i="169"/>
  <c r="C59" i="169"/>
  <c r="D59" i="169"/>
  <c r="E59" i="169"/>
  <c r="F59" i="169"/>
  <c r="I59" i="169"/>
  <c r="J59" i="169"/>
  <c r="K59" i="169"/>
  <c r="L59" i="169"/>
  <c r="M59" i="169"/>
  <c r="N59" i="169"/>
  <c r="O59" i="169"/>
  <c r="P59" i="169"/>
  <c r="Q59" i="169"/>
  <c r="R59" i="169"/>
  <c r="S59" i="169"/>
  <c r="T59" i="169"/>
  <c r="U59" i="169"/>
  <c r="A60" i="169"/>
  <c r="B60" i="169"/>
  <c r="C60" i="169"/>
  <c r="D60" i="169"/>
  <c r="E60" i="169"/>
  <c r="F60" i="169"/>
  <c r="I60" i="169"/>
  <c r="J60" i="169"/>
  <c r="K60" i="169"/>
  <c r="L60" i="169"/>
  <c r="M60" i="169"/>
  <c r="N60" i="169"/>
  <c r="O60" i="169"/>
  <c r="P60" i="169"/>
  <c r="Q60" i="169"/>
  <c r="R60" i="169"/>
  <c r="S60" i="169"/>
  <c r="T60" i="169"/>
  <c r="U60" i="169"/>
  <c r="A61" i="169"/>
  <c r="B61" i="169"/>
  <c r="C61" i="169"/>
  <c r="D61" i="169"/>
  <c r="E61" i="169"/>
  <c r="F61" i="169"/>
  <c r="I61" i="169"/>
  <c r="J61" i="169"/>
  <c r="K61" i="169"/>
  <c r="L61" i="169"/>
  <c r="M61" i="169"/>
  <c r="N61" i="169"/>
  <c r="O61" i="169"/>
  <c r="P61" i="169"/>
  <c r="Q61" i="169"/>
  <c r="R61" i="169"/>
  <c r="S61" i="169"/>
  <c r="T61" i="169"/>
  <c r="U61" i="169"/>
  <c r="A62" i="169"/>
  <c r="B62" i="169"/>
  <c r="C62" i="169"/>
  <c r="D62" i="169"/>
  <c r="E62" i="169"/>
  <c r="F62" i="169"/>
  <c r="I62" i="169"/>
  <c r="J62" i="169"/>
  <c r="K62" i="169"/>
  <c r="L62" i="169"/>
  <c r="M62" i="169"/>
  <c r="N62" i="169"/>
  <c r="O62" i="169"/>
  <c r="P62" i="169"/>
  <c r="Q62" i="169"/>
  <c r="R62" i="169"/>
  <c r="S62" i="169"/>
  <c r="T62" i="169"/>
  <c r="U62" i="169"/>
  <c r="A63" i="169"/>
  <c r="B63" i="169"/>
  <c r="C63" i="169"/>
  <c r="D63" i="169"/>
  <c r="E63" i="169"/>
  <c r="F63" i="169"/>
  <c r="I63" i="169"/>
  <c r="J63" i="169"/>
  <c r="K63" i="169"/>
  <c r="L63" i="169"/>
  <c r="M63" i="169"/>
  <c r="N63" i="169"/>
  <c r="O63" i="169"/>
  <c r="P63" i="169"/>
  <c r="Q63" i="169"/>
  <c r="R63" i="169"/>
  <c r="S63" i="169"/>
  <c r="T63" i="169"/>
  <c r="U63" i="169"/>
  <c r="A64" i="169"/>
  <c r="B64" i="169"/>
  <c r="C64" i="169"/>
  <c r="D64" i="169"/>
  <c r="E64" i="169"/>
  <c r="F64" i="169"/>
  <c r="I64" i="169"/>
  <c r="J64" i="169"/>
  <c r="K64" i="169"/>
  <c r="L64" i="169"/>
  <c r="M64" i="169"/>
  <c r="N64" i="169"/>
  <c r="O64" i="169"/>
  <c r="P64" i="169"/>
  <c r="Q64" i="169"/>
  <c r="R64" i="169"/>
  <c r="S64" i="169"/>
  <c r="T64" i="169"/>
  <c r="U64" i="169"/>
  <c r="A65" i="169"/>
  <c r="B65" i="169"/>
  <c r="C65" i="169"/>
  <c r="D65" i="169"/>
  <c r="E65" i="169"/>
  <c r="F65" i="169"/>
  <c r="I65" i="169"/>
  <c r="J65" i="169"/>
  <c r="K65" i="169"/>
  <c r="L65" i="169"/>
  <c r="M65" i="169"/>
  <c r="N65" i="169"/>
  <c r="O65" i="169"/>
  <c r="P65" i="169"/>
  <c r="Q65" i="169"/>
  <c r="R65" i="169"/>
  <c r="S65" i="169"/>
  <c r="T65" i="169"/>
  <c r="U65" i="169"/>
  <c r="A66" i="169"/>
  <c r="B66" i="169"/>
  <c r="C66" i="169"/>
  <c r="D66" i="169"/>
  <c r="E66" i="169"/>
  <c r="F66" i="169"/>
  <c r="I66" i="169"/>
  <c r="J66" i="169"/>
  <c r="K66" i="169"/>
  <c r="L66" i="169"/>
  <c r="M66" i="169"/>
  <c r="N66" i="169"/>
  <c r="O66" i="169"/>
  <c r="P66" i="169"/>
  <c r="Q66" i="169"/>
  <c r="R66" i="169"/>
  <c r="S66" i="169"/>
  <c r="T66" i="169"/>
  <c r="U66" i="169"/>
  <c r="A67" i="169"/>
  <c r="B67" i="169"/>
  <c r="C67" i="169"/>
  <c r="D67" i="169"/>
  <c r="E67" i="169"/>
  <c r="F67" i="169"/>
  <c r="I67" i="169"/>
  <c r="J67" i="169"/>
  <c r="K67" i="169"/>
  <c r="L67" i="169"/>
  <c r="M67" i="169"/>
  <c r="N67" i="169"/>
  <c r="O67" i="169"/>
  <c r="P67" i="169"/>
  <c r="Q67" i="169"/>
  <c r="R67" i="169"/>
  <c r="S67" i="169"/>
  <c r="T67" i="169"/>
  <c r="U67" i="169"/>
  <c r="A68" i="169"/>
  <c r="B68" i="169"/>
  <c r="C68" i="169"/>
  <c r="D68" i="169"/>
  <c r="E68" i="169"/>
  <c r="F68" i="169"/>
  <c r="I68" i="169"/>
  <c r="J68" i="169"/>
  <c r="K68" i="169"/>
  <c r="L68" i="169"/>
  <c r="M68" i="169"/>
  <c r="N68" i="169"/>
  <c r="O68" i="169"/>
  <c r="P68" i="169"/>
  <c r="Q68" i="169"/>
  <c r="R68" i="169"/>
  <c r="S68" i="169"/>
  <c r="T68" i="169"/>
  <c r="U68" i="169"/>
  <c r="A69" i="169"/>
  <c r="B69" i="169"/>
  <c r="C69" i="169"/>
  <c r="D69" i="169"/>
  <c r="E69" i="169"/>
  <c r="F69" i="169"/>
  <c r="I69" i="169"/>
  <c r="J69" i="169"/>
  <c r="K69" i="169"/>
  <c r="L69" i="169"/>
  <c r="M69" i="169"/>
  <c r="N69" i="169"/>
  <c r="O69" i="169"/>
  <c r="P69" i="169"/>
  <c r="Q69" i="169"/>
  <c r="R69" i="169"/>
  <c r="S69" i="169"/>
  <c r="T69" i="169"/>
  <c r="U69" i="169"/>
  <c r="A70" i="169"/>
  <c r="B70" i="169"/>
  <c r="C70" i="169"/>
  <c r="D70" i="169"/>
  <c r="E70" i="169"/>
  <c r="F70" i="169"/>
  <c r="I70" i="169"/>
  <c r="J70" i="169"/>
  <c r="K70" i="169"/>
  <c r="L70" i="169"/>
  <c r="M70" i="169"/>
  <c r="N70" i="169"/>
  <c r="O70" i="169"/>
  <c r="P70" i="169"/>
  <c r="Q70" i="169"/>
  <c r="R70" i="169"/>
  <c r="S70" i="169"/>
  <c r="T70" i="169"/>
  <c r="U70" i="169"/>
  <c r="A71" i="169"/>
  <c r="B71" i="169"/>
  <c r="C71" i="169"/>
  <c r="D71" i="169"/>
  <c r="E71" i="169"/>
  <c r="F71" i="169"/>
  <c r="I71" i="169"/>
  <c r="J71" i="169"/>
  <c r="K71" i="169"/>
  <c r="L71" i="169"/>
  <c r="M71" i="169"/>
  <c r="N71" i="169"/>
  <c r="O71" i="169"/>
  <c r="P71" i="169"/>
  <c r="Q71" i="169"/>
  <c r="R71" i="169"/>
  <c r="S71" i="169"/>
  <c r="T71" i="169"/>
  <c r="U71" i="169"/>
  <c r="A72" i="169"/>
  <c r="B72" i="169"/>
  <c r="C72" i="169"/>
  <c r="D72" i="169"/>
  <c r="E72" i="169"/>
  <c r="F72" i="169"/>
  <c r="I72" i="169"/>
  <c r="J72" i="169"/>
  <c r="K72" i="169"/>
  <c r="L72" i="169"/>
  <c r="M72" i="169"/>
  <c r="N72" i="169"/>
  <c r="O72" i="169"/>
  <c r="P72" i="169"/>
  <c r="Q72" i="169"/>
  <c r="R72" i="169"/>
  <c r="S72" i="169"/>
  <c r="T72" i="169"/>
  <c r="U72" i="169"/>
  <c r="A73" i="169"/>
  <c r="B73" i="169"/>
  <c r="C73" i="169"/>
  <c r="D73" i="169"/>
  <c r="E73" i="169"/>
  <c r="F73" i="169"/>
  <c r="I73" i="169"/>
  <c r="J73" i="169"/>
  <c r="K73" i="169"/>
  <c r="L73" i="169"/>
  <c r="M73" i="169"/>
  <c r="N73" i="169"/>
  <c r="O73" i="169"/>
  <c r="P73" i="169"/>
  <c r="Q73" i="169"/>
  <c r="R73" i="169"/>
  <c r="S73" i="169"/>
  <c r="T73" i="169"/>
  <c r="U73" i="169"/>
  <c r="A74" i="169"/>
  <c r="B74" i="169"/>
  <c r="C74" i="169"/>
  <c r="D74" i="169"/>
  <c r="E74" i="169"/>
  <c r="F74" i="169"/>
  <c r="I74" i="169"/>
  <c r="J74" i="169"/>
  <c r="K74" i="169"/>
  <c r="L74" i="169"/>
  <c r="M74" i="169"/>
  <c r="N74" i="169"/>
  <c r="O74" i="169"/>
  <c r="P74" i="169"/>
  <c r="Q74" i="169"/>
  <c r="R74" i="169"/>
  <c r="S74" i="169"/>
  <c r="T74" i="169"/>
  <c r="U74" i="169"/>
  <c r="A75" i="169"/>
  <c r="B75" i="169"/>
  <c r="C75" i="169"/>
  <c r="D75" i="169"/>
  <c r="E75" i="169"/>
  <c r="F75" i="169"/>
  <c r="I75" i="169"/>
  <c r="J75" i="169"/>
  <c r="K75" i="169"/>
  <c r="L75" i="169"/>
  <c r="M75" i="169"/>
  <c r="N75" i="169"/>
  <c r="O75" i="169"/>
  <c r="P75" i="169"/>
  <c r="Q75" i="169"/>
  <c r="R75" i="169"/>
  <c r="S75" i="169"/>
  <c r="T75" i="169"/>
  <c r="U75" i="169"/>
  <c r="E14" i="165" l="1"/>
  <c r="Q77" i="158"/>
  <c r="Q75" i="158"/>
  <c r="Q71" i="158"/>
  <c r="Q70" i="158"/>
  <c r="Q69" i="158"/>
  <c r="Q68" i="158"/>
  <c r="Q66" i="158"/>
  <c r="Q60" i="158"/>
  <c r="Q59" i="158"/>
  <c r="Q58" i="158"/>
  <c r="Q54" i="158"/>
  <c r="Q53" i="158"/>
  <c r="Q52" i="158"/>
  <c r="Q51" i="158"/>
  <c r="Q48" i="158"/>
  <c r="Q42" i="158"/>
  <c r="Q41" i="158"/>
  <c r="Q40" i="158"/>
  <c r="Q36" i="158"/>
  <c r="Q35" i="158"/>
  <c r="Q34" i="158"/>
  <c r="Q33" i="158"/>
  <c r="Q31" i="158"/>
  <c r="Q25" i="158"/>
  <c r="Q24" i="158"/>
  <c r="Q23" i="158"/>
  <c r="Q19" i="158"/>
  <c r="Q18" i="158"/>
  <c r="Q17" i="158"/>
  <c r="Q16" i="158"/>
  <c r="Q13" i="158"/>
  <c r="Q7" i="158"/>
  <c r="Q6" i="158"/>
  <c r="Q5" i="158"/>
  <c r="K10" i="161"/>
  <c r="K11" i="161"/>
  <c r="K12" i="161"/>
  <c r="K13" i="161"/>
  <c r="K14" i="161"/>
  <c r="K15" i="161"/>
  <c r="K16" i="161"/>
  <c r="K17" i="161"/>
  <c r="K18" i="161"/>
  <c r="K19" i="161"/>
  <c r="K20" i="161"/>
  <c r="K21" i="161"/>
  <c r="K22" i="161"/>
  <c r="K23" i="161"/>
  <c r="K24" i="161"/>
  <c r="K25" i="161"/>
  <c r="K26" i="161"/>
  <c r="K27" i="161"/>
  <c r="K28" i="161"/>
  <c r="K29" i="161"/>
  <c r="K30" i="161"/>
  <c r="K31" i="161"/>
  <c r="K32" i="161"/>
  <c r="K33" i="161"/>
  <c r="K34" i="161"/>
  <c r="K35" i="161"/>
  <c r="K36" i="161"/>
  <c r="K37" i="161"/>
  <c r="K38" i="161"/>
  <c r="K39" i="161"/>
  <c r="K40" i="161"/>
  <c r="K41" i="161"/>
  <c r="K42" i="161"/>
  <c r="K43" i="161"/>
  <c r="K44" i="161"/>
  <c r="K45" i="161"/>
  <c r="K46" i="161"/>
  <c r="K47" i="161"/>
  <c r="K48" i="161"/>
  <c r="K49" i="161"/>
  <c r="K50" i="161"/>
  <c r="K51" i="161"/>
  <c r="K52" i="161"/>
  <c r="K53" i="161"/>
  <c r="K54" i="161"/>
  <c r="K55" i="161"/>
  <c r="K56" i="161"/>
  <c r="K57" i="161"/>
  <c r="K58" i="161"/>
  <c r="K59" i="161"/>
  <c r="K60" i="161"/>
  <c r="K61" i="161"/>
  <c r="K62" i="161"/>
  <c r="K63" i="161"/>
  <c r="K64" i="161"/>
  <c r="K65" i="161"/>
  <c r="K66" i="161"/>
  <c r="K67" i="161"/>
  <c r="K68" i="161"/>
  <c r="K69" i="161"/>
  <c r="K70" i="161"/>
  <c r="K71" i="161"/>
  <c r="K72" i="161"/>
  <c r="K73" i="161"/>
  <c r="K74" i="161"/>
  <c r="K75" i="161"/>
  <c r="K76" i="161"/>
  <c r="K77" i="161"/>
  <c r="K78" i="161"/>
  <c r="K79" i="161"/>
  <c r="K80" i="161"/>
  <c r="K81" i="161"/>
  <c r="K82" i="161"/>
  <c r="K83" i="161"/>
  <c r="K84" i="161"/>
  <c r="K85" i="161"/>
  <c r="K86" i="161"/>
  <c r="K87" i="161"/>
  <c r="K88" i="161"/>
  <c r="K89" i="161"/>
  <c r="K90" i="161"/>
  <c r="K91" i="161"/>
  <c r="K92" i="161"/>
  <c r="K93" i="161"/>
  <c r="K94" i="161"/>
  <c r="K95" i="161"/>
  <c r="K96" i="161"/>
  <c r="K97" i="161"/>
  <c r="K98" i="161"/>
  <c r="K99" i="161"/>
  <c r="K100" i="161"/>
  <c r="K101" i="161"/>
  <c r="K102" i="161"/>
  <c r="K103" i="161"/>
  <c r="K104" i="161"/>
  <c r="K105" i="161"/>
  <c r="K106" i="161"/>
  <c r="K107" i="161"/>
  <c r="K108" i="161"/>
  <c r="K9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T101" i="158" s="1"/>
  <c r="W101" i="158" s="1"/>
  <c r="X101" i="158" s="1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T97" i="158" s="1"/>
  <c r="W97" i="158" s="1"/>
  <c r="X97" i="158" s="1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T93" i="158" s="1"/>
  <c r="W93" i="158" s="1"/>
  <c r="X93" i="158" s="1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T89" i="158" s="1"/>
  <c r="W89" i="158" s="1"/>
  <c r="X89" i="158" s="1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T85" i="158" s="1"/>
  <c r="W85" i="158" s="1"/>
  <c r="X85" i="158" s="1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T81" i="158" s="1"/>
  <c r="W81" i="158" s="1"/>
  <c r="X81" i="158" s="1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 s="1"/>
  <c r="J4" i="167" s="1"/>
  <c r="K4" i="167" s="1"/>
  <c r="B2" i="167" s="1"/>
  <c r="T80" i="158"/>
  <c r="W80" i="158" s="1"/>
  <c r="X80" i="158" s="1"/>
  <c r="T84" i="158"/>
  <c r="W84" i="158" s="1"/>
  <c r="X84" i="158" s="1"/>
  <c r="T88" i="158"/>
  <c r="W88" i="158" s="1"/>
  <c r="X88" i="158" s="1"/>
  <c r="T92" i="158"/>
  <c r="W92" i="158" s="1"/>
  <c r="X92" i="158" s="1"/>
  <c r="T96" i="158"/>
  <c r="W96" i="158" s="1"/>
  <c r="X96" i="158" s="1"/>
  <c r="T100" i="158"/>
  <c r="W100" i="158" s="1"/>
  <c r="X100" i="158" s="1"/>
  <c r="U83" i="158"/>
  <c r="Y83" i="158"/>
  <c r="V83" i="158"/>
  <c r="L87" i="158"/>
  <c r="M87" i="158" s="1"/>
  <c r="P91" i="159" s="1"/>
  <c r="U87" i="158"/>
  <c r="Y87" i="158"/>
  <c r="V87" i="158"/>
  <c r="L99" i="158"/>
  <c r="M99" i="158" s="1"/>
  <c r="P103" i="159" s="1"/>
  <c r="U99" i="158"/>
  <c r="Y99" i="158"/>
  <c r="V99" i="158"/>
  <c r="L103" i="158"/>
  <c r="M103" i="158" s="1"/>
  <c r="P107" i="159" s="1"/>
  <c r="U103" i="158"/>
  <c r="Y103" i="158"/>
  <c r="V103" i="158"/>
  <c r="U92" i="158"/>
  <c r="V92" i="158"/>
  <c r="Y92" i="158"/>
  <c r="U100" i="158"/>
  <c r="Y100" i="158"/>
  <c r="V100" i="158"/>
  <c r="L79" i="158"/>
  <c r="M79" i="158" s="1"/>
  <c r="P83" i="159" s="1"/>
  <c r="U79" i="158"/>
  <c r="Y79" i="158"/>
  <c r="V79" i="158"/>
  <c r="L95" i="158"/>
  <c r="M95" i="158" s="1"/>
  <c r="P99" i="159" s="1"/>
  <c r="U95" i="158"/>
  <c r="Y95" i="158"/>
  <c r="V95" i="158"/>
  <c r="U80" i="158"/>
  <c r="Y80" i="158"/>
  <c r="V80" i="158"/>
  <c r="U84" i="158"/>
  <c r="Y84" i="158"/>
  <c r="V84" i="158"/>
  <c r="U88" i="158"/>
  <c r="Y88" i="158"/>
  <c r="V88" i="158"/>
  <c r="U96" i="158"/>
  <c r="Y96" i="158"/>
  <c r="V96" i="158"/>
  <c r="T78" i="158"/>
  <c r="W78" i="158" s="1"/>
  <c r="X78" i="158" s="1"/>
  <c r="U81" i="158"/>
  <c r="Y81" i="158"/>
  <c r="V81" i="158"/>
  <c r="T82" i="158"/>
  <c r="W82" i="158" s="1"/>
  <c r="X82" i="158" s="1"/>
  <c r="L97" i="160"/>
  <c r="U85" i="158"/>
  <c r="V85" i="158"/>
  <c r="Y85" i="158"/>
  <c r="T86" i="158"/>
  <c r="W86" i="158" s="1"/>
  <c r="X86" i="158" s="1"/>
  <c r="U89" i="158"/>
  <c r="Y89" i="158"/>
  <c r="V89" i="158"/>
  <c r="T90" i="158"/>
  <c r="W90" i="158" s="1"/>
  <c r="X90" i="158" s="1"/>
  <c r="U93" i="158"/>
  <c r="V93" i="158"/>
  <c r="Y93" i="158"/>
  <c r="T94" i="158"/>
  <c r="W94" i="158" s="1"/>
  <c r="X94" i="158" s="1"/>
  <c r="U97" i="158"/>
  <c r="Y97" i="158"/>
  <c r="V97" i="158"/>
  <c r="T98" i="158"/>
  <c r="W98" i="158" s="1"/>
  <c r="X98" i="158" s="1"/>
  <c r="I105" i="159"/>
  <c r="W105" i="159" s="1"/>
  <c r="X105" i="159" s="1"/>
  <c r="U101" i="158"/>
  <c r="V101" i="158"/>
  <c r="Y101" i="158"/>
  <c r="T102" i="158"/>
  <c r="W102" i="158" s="1"/>
  <c r="X102" i="158" s="1"/>
  <c r="I82" i="159"/>
  <c r="W82" i="159" s="1"/>
  <c r="U78" i="158"/>
  <c r="V78" i="158"/>
  <c r="Y78" i="158"/>
  <c r="F87" i="159"/>
  <c r="T83" i="158"/>
  <c r="W83" i="158" s="1"/>
  <c r="X83" i="158" s="1"/>
  <c r="T91" i="158"/>
  <c r="W91" i="158" s="1"/>
  <c r="X91" i="158" s="1"/>
  <c r="F99" i="159"/>
  <c r="T95" i="158"/>
  <c r="W95" i="158" s="1"/>
  <c r="X95" i="158" s="1"/>
  <c r="I102" i="159"/>
  <c r="W102" i="159" s="1"/>
  <c r="U98" i="158"/>
  <c r="Y98" i="158"/>
  <c r="V98" i="158"/>
  <c r="L114" i="160"/>
  <c r="U102" i="158"/>
  <c r="V102" i="158"/>
  <c r="Y102" i="158"/>
  <c r="F107" i="159"/>
  <c r="T103" i="158"/>
  <c r="W103" i="158" s="1"/>
  <c r="X103" i="158" s="1"/>
  <c r="U91" i="158"/>
  <c r="Y91" i="158"/>
  <c r="V91" i="158"/>
  <c r="F83" i="159"/>
  <c r="T79" i="158"/>
  <c r="W79" i="158" s="1"/>
  <c r="X79" i="158" s="1"/>
  <c r="I86" i="159"/>
  <c r="W86" i="159" s="1"/>
  <c r="U82" i="158"/>
  <c r="Y82" i="158"/>
  <c r="V82" i="158"/>
  <c r="U86" i="158"/>
  <c r="V86" i="158"/>
  <c r="Y86" i="158"/>
  <c r="F91" i="159"/>
  <c r="T87" i="158"/>
  <c r="W87" i="158" s="1"/>
  <c r="X87" i="158" s="1"/>
  <c r="I94" i="159"/>
  <c r="W94" i="159" s="1"/>
  <c r="U90" i="158"/>
  <c r="Y90" i="158"/>
  <c r="V90" i="158"/>
  <c r="L106" i="160"/>
  <c r="U94" i="158"/>
  <c r="V94" i="158"/>
  <c r="Y94" i="158"/>
  <c r="T99" i="158"/>
  <c r="W99" i="158" s="1"/>
  <c r="X99" i="158" s="1"/>
  <c r="J89" i="160"/>
  <c r="M89" i="160" s="1"/>
  <c r="U77" i="158"/>
  <c r="V77" i="158"/>
  <c r="Y77" i="158"/>
  <c r="T77" i="158"/>
  <c r="W77" i="158" s="1"/>
  <c r="X77" i="158" s="1"/>
  <c r="J88" i="160"/>
  <c r="U76" i="158"/>
  <c r="Y76" i="158"/>
  <c r="V76" i="158"/>
  <c r="T76" i="158"/>
  <c r="W76" i="158" s="1"/>
  <c r="X76" i="158" s="1"/>
  <c r="J87" i="160"/>
  <c r="U75" i="158"/>
  <c r="Y75" i="158"/>
  <c r="V75" i="158"/>
  <c r="T75" i="158"/>
  <c r="W75" i="158" s="1"/>
  <c r="X75" i="158" s="1"/>
  <c r="U74" i="158"/>
  <c r="V74" i="158"/>
  <c r="Y74" i="158"/>
  <c r="T74" i="158"/>
  <c r="W74" i="158" s="1"/>
  <c r="X74" i="158" s="1"/>
  <c r="F77" i="159"/>
  <c r="U73" i="158"/>
  <c r="V73" i="158"/>
  <c r="Y73" i="158"/>
  <c r="T73" i="158"/>
  <c r="W73" i="158" s="1"/>
  <c r="X73" i="158" s="1"/>
  <c r="F76" i="159"/>
  <c r="U72" i="158"/>
  <c r="Y72" i="158"/>
  <c r="V72" i="158"/>
  <c r="T72" i="158"/>
  <c r="W72" i="158" s="1"/>
  <c r="X72" i="158" s="1"/>
  <c r="J83" i="160"/>
  <c r="U71" i="158"/>
  <c r="V71" i="158"/>
  <c r="Y71" i="158"/>
  <c r="T71" i="158"/>
  <c r="W71" i="158" s="1"/>
  <c r="X71" i="158" s="1"/>
  <c r="F74" i="159"/>
  <c r="U70" i="158"/>
  <c r="Y70" i="158"/>
  <c r="V70" i="158"/>
  <c r="T70" i="158"/>
  <c r="W70" i="158" s="1"/>
  <c r="X70" i="158" s="1"/>
  <c r="J81" i="160"/>
  <c r="M81" i="160" s="1"/>
  <c r="U69" i="158"/>
  <c r="Y69" i="158"/>
  <c r="V69" i="158"/>
  <c r="T69" i="158"/>
  <c r="W69" i="158" s="1"/>
  <c r="X69" i="158" s="1"/>
  <c r="J80" i="160"/>
  <c r="U68" i="158"/>
  <c r="Y68" i="158"/>
  <c r="V68" i="158"/>
  <c r="T68" i="158"/>
  <c r="W68" i="158" s="1"/>
  <c r="X68" i="158" s="1"/>
  <c r="U67" i="158"/>
  <c r="V67" i="158"/>
  <c r="Y67" i="158"/>
  <c r="T67" i="158"/>
  <c r="W67" i="158" s="1"/>
  <c r="X67" i="158" s="1"/>
  <c r="U66" i="158"/>
  <c r="Y66" i="158"/>
  <c r="V66" i="158"/>
  <c r="T66" i="158"/>
  <c r="W66" i="158" s="1"/>
  <c r="X66" i="158" s="1"/>
  <c r="J77" i="160"/>
  <c r="U65" i="158"/>
  <c r="Y65" i="158"/>
  <c r="V65" i="158"/>
  <c r="T65" i="158"/>
  <c r="W65" i="158" s="1"/>
  <c r="X65" i="158" s="1"/>
  <c r="U64" i="158"/>
  <c r="Y64" i="158"/>
  <c r="V64" i="158"/>
  <c r="T64" i="158"/>
  <c r="W64" i="158" s="1"/>
  <c r="X64" i="158" s="1"/>
  <c r="U63" i="158"/>
  <c r="Y63" i="158"/>
  <c r="V63" i="158"/>
  <c r="T63" i="158"/>
  <c r="W63" i="158" s="1"/>
  <c r="X63" i="158" s="1"/>
  <c r="F66" i="159"/>
  <c r="U62" i="158"/>
  <c r="Y62" i="158"/>
  <c r="V62" i="158"/>
  <c r="T62" i="158"/>
  <c r="W62" i="158" s="1"/>
  <c r="X62" i="158" s="1"/>
  <c r="J73" i="160"/>
  <c r="M73" i="160" s="1"/>
  <c r="U61" i="158"/>
  <c r="Y61" i="158"/>
  <c r="V61" i="158"/>
  <c r="T61" i="158"/>
  <c r="W61" i="158" s="1"/>
  <c r="X61" i="158" s="1"/>
  <c r="J72" i="160"/>
  <c r="U60" i="158"/>
  <c r="Y60" i="158"/>
  <c r="V60" i="158"/>
  <c r="T60" i="158"/>
  <c r="W60" i="158" s="1"/>
  <c r="X60" i="158" s="1"/>
  <c r="U59" i="158"/>
  <c r="Y59" i="158"/>
  <c r="V59" i="158"/>
  <c r="T59" i="158"/>
  <c r="W59" i="158" s="1"/>
  <c r="X59" i="158" s="1"/>
  <c r="J70" i="160"/>
  <c r="U58" i="158"/>
  <c r="Y58" i="158"/>
  <c r="V58" i="158"/>
  <c r="T58" i="158"/>
  <c r="W58" i="158" s="1"/>
  <c r="X58" i="158" s="1"/>
  <c r="U57" i="158"/>
  <c r="Y57" i="158"/>
  <c r="V57" i="158"/>
  <c r="T57" i="158"/>
  <c r="W57" i="158" s="1"/>
  <c r="X57" i="158" s="1"/>
  <c r="U56" i="158"/>
  <c r="Y56" i="158"/>
  <c r="V56" i="158"/>
  <c r="T56" i="158"/>
  <c r="W56" i="158" s="1"/>
  <c r="X56" i="158" s="1"/>
  <c r="J67" i="160"/>
  <c r="U55" i="158"/>
  <c r="Y55" i="158"/>
  <c r="V55" i="158"/>
  <c r="T55" i="158"/>
  <c r="W55" i="158" s="1"/>
  <c r="X55" i="158" s="1"/>
  <c r="F58" i="159"/>
  <c r="U54" i="158"/>
  <c r="V54" i="158"/>
  <c r="Y54" i="158"/>
  <c r="T54" i="158"/>
  <c r="W54" i="158" s="1"/>
  <c r="X54" i="158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3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H74" i="159" l="1"/>
  <c r="J74" i="159" s="1"/>
  <c r="AD74" i="159" s="1"/>
  <c r="M87" i="160"/>
  <c r="H87" i="159"/>
  <c r="J87" i="159" s="1"/>
  <c r="H58" i="159"/>
  <c r="J58" i="159" s="1"/>
  <c r="H77" i="159"/>
  <c r="J77" i="159" s="1"/>
  <c r="AM77" i="159" s="1"/>
  <c r="M70" i="160"/>
  <c r="H76" i="159"/>
  <c r="J76" i="159" s="1"/>
  <c r="M72" i="160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M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K74" i="159" l="1"/>
  <c r="AK74" i="159"/>
  <c r="AJ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J65" i="160"/>
  <c r="U53" i="158"/>
  <c r="Y53" i="158"/>
  <c r="V53" i="158"/>
  <c r="T53" i="158"/>
  <c r="W53" i="158" s="1"/>
  <c r="X53" i="158" s="1"/>
  <c r="J64" i="160"/>
  <c r="U52" i="158"/>
  <c r="Y52" i="158"/>
  <c r="V52" i="158"/>
  <c r="T52" i="158"/>
  <c r="W52" i="158" s="1"/>
  <c r="X52" i="158" s="1"/>
  <c r="J63" i="160"/>
  <c r="U51" i="158"/>
  <c r="Y51" i="158"/>
  <c r="V51" i="158"/>
  <c r="T51" i="158"/>
  <c r="W51" i="158" s="1"/>
  <c r="X51" i="158" s="1"/>
  <c r="J62" i="160"/>
  <c r="U50" i="158"/>
  <c r="V50" i="158"/>
  <c r="Y50" i="158"/>
  <c r="T50" i="158"/>
  <c r="W50" i="158" s="1"/>
  <c r="X50" i="158" s="1"/>
  <c r="J61" i="160"/>
  <c r="U49" i="158"/>
  <c r="Y49" i="158"/>
  <c r="V49" i="158"/>
  <c r="T49" i="158"/>
  <c r="W49" i="158" s="1"/>
  <c r="X49" i="158" s="1"/>
  <c r="J60" i="160"/>
  <c r="U48" i="158"/>
  <c r="V48" i="158"/>
  <c r="Y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62" i="160" l="1"/>
  <c r="M63" i="160"/>
  <c r="M42" i="160"/>
  <c r="M56" i="160"/>
  <c r="M37" i="160"/>
  <c r="M64" i="160"/>
  <c r="AH24" i="159"/>
  <c r="M35" i="160"/>
  <c r="AH47" i="159"/>
  <c r="M26" i="160"/>
  <c r="AH51" i="159"/>
  <c r="AH9" i="159"/>
  <c r="AH52" i="159"/>
  <c r="AH49" i="159"/>
  <c r="AH18" i="159"/>
  <c r="AH26" i="159"/>
  <c r="AH34" i="159"/>
  <c r="AH42" i="159"/>
  <c r="AH57" i="159"/>
  <c r="AH56" i="159"/>
  <c r="AH55" i="159"/>
  <c r="AH54" i="159"/>
  <c r="AH53" i="159"/>
  <c r="M59" i="160"/>
  <c r="AH50" i="159"/>
  <c r="AH48" i="159"/>
  <c r="AH46" i="159"/>
  <c r="AH45" i="159"/>
  <c r="AH44" i="159"/>
  <c r="AH43" i="159"/>
  <c r="M50" i="160"/>
  <c r="AH41" i="159"/>
  <c r="AH40" i="159"/>
  <c r="AH39" i="159"/>
  <c r="AH38" i="159"/>
  <c r="AH37" i="159"/>
  <c r="M45" i="160"/>
  <c r="AH36" i="159"/>
  <c r="AH35" i="159"/>
  <c r="AH33" i="159"/>
  <c r="M41" i="160"/>
  <c r="AH32" i="159"/>
  <c r="M40" i="160"/>
  <c r="AH31" i="159"/>
  <c r="AH30" i="159"/>
  <c r="AH29" i="159"/>
  <c r="AH28" i="159"/>
  <c r="AH27" i="159"/>
  <c r="AH25" i="159"/>
  <c r="AH23" i="159"/>
  <c r="M31" i="160"/>
  <c r="AH22" i="159"/>
  <c r="M30" i="160"/>
  <c r="AH21" i="159"/>
  <c r="AH20" i="159"/>
  <c r="AH19" i="159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<sst xmlns="http://schemas.openxmlformats.org/spreadsheetml/2006/main" count="2364" uniqueCount="569">
  <si>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</si>
  <si>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</si>
  <si>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</si>
  <si>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</si>
  <si>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</si>
  <si>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</si>
  <si>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</si>
  <si>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</si>
  <si>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</si>
  <si>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</si>
  <si>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</si>
  <si>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</si>
  <si>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</si>
  <si>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</si>
  <si>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</si>
  <si>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</si>
  <si>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</si>
  <si>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</si>
  <si>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</si>
  <si>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</si>
  <si>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</si>
  <si>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</si>
  <si>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</si>
  <si>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</si>
  <si>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</si>
  <si>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</si>
  <si>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</si>
  <si>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</si>
  <si>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</si>
  <si>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</si>
  <si>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</si>
  <si>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</si>
  <si>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</si>
  <si>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</si>
  <si>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</si>
  <si>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</si>
  <si>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</si>
  <si>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</si>
  <si>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</si>
  <si>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</si>
  <si>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</si>
  <si>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</si>
  <si>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</si>
  <si>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</si>
  <si>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</si>
  <si>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</si>
  <si>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</si>
  <si>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</si>
  <si>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</si>
  <si>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</si>
  <si>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</si>
  <si>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</si>
  <si>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</si>
  <si>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</si>
  <si>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</si>
  <si>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</si>
  <si>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</si>
  <si>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</si>
  <si>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</si>
  <si>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</si>
  <si>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</si>
  <si>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</si>
  <si>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</si>
  <si>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</si>
  <si>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</si>
  <si>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</si>
  <si>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</si>
  <si>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</si>
  <si>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</si>
  <si>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</si>
  <si>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</si>
  <si>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</si>
  <si>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</si>
  <si>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</si>
  <si>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</si>
  <si>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</si>
  <si>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</si>
  <si>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</si>
  <si>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</si>
  <si>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</si>
  <si>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</si>
  <si>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</si>
  <si>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</si>
  <si>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</si>
  <si>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</si>
  <si>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</si>
  <si>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</si>
  <si>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</si>
  <si>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</si>
  <si>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</si>
  <si>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</si>
  <si>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</si>
  <si>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</si>
  <si>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</si>
  <si>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</si>
  <si>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</si>
  <si>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</si>
  <si>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</si>
  <si>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</si>
  <si>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</si>
  <si>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</si>
  <si>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</si>
  <si>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</si>
  <si>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</si>
  <si>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</si>
  <si>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</si>
  <si>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</si>
  <si>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</si>
  <si>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</si>
  <si>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</si>
  <si>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</si>
  <si>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</si>
  <si>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</si>
  <si>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</si>
  <si>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</si>
  <si>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</si>
  <si>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</si>
  <si>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</si>
  <si>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</si>
  <si>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</si>
  <si>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</si>
  <si>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</si>
  <si>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</si>
  <si>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</si>
  <si>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</si>
  <si>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</si>
  <si>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</si>
  <si>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</si>
  <si>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</si>
  <si>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</si>
  <si>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</si>
  <si>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</si>
  <si>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</si>
  <si>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</si>
  <si>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</si>
  <si>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</si>
  <si>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</si>
  <si>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</si>
  <si>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</si>
  <si>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</si>
  <si>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</si>
  <si>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</si>
  <si>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</si>
  <si>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</si>
  <si>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</si>
  <si>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</si>
  <si>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</si>
  <si>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</si>
  <si>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</si>
  <si>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</si>
  <si>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</si>
  <si>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</si>
  <si>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</si>
  <si>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</si>
  <si>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</si>
  <si>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</si>
  <si>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</si>
  <si>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</si>
  <si>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</si>
  <si>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</si>
  <si>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</si>
  <si>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</si>
  <si>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</si>
  <si>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</si>
  <si>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</si>
  <si>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</si>
  <si>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</si>
  <si>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</si>
  <si>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</si>
  <si>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</si>
  <si>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</si>
  <si>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</si>
  <si>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</si>
  <si>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</si>
  <si>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</si>
  <si>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</si>
  <si>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</si>
  <si>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</si>
  <si>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</si>
  <si>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</si>
  <si>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</si>
  <si>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</si>
  <si>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</si>
  <si>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</si>
  <si>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</si>
  <si>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</si>
  <si>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</si>
  <si>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</si>
  <si>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</si>
  <si>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</si>
  <si>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</si>
  <si>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</si>
  <si>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</si>
  <si>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</si>
  <si>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</si>
  <si>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</si>
  <si>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</si>
  <si>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</si>
  <si>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</si>
  <si>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</si>
  <si>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</si>
  <si>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</si>
  <si>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</si>
  <si>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</si>
  <si>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</si>
  <si>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</si>
  <si>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</si>
  <si>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</si>
  <si>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</si>
  <si>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</si>
  <si>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</si>
  <si>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</si>
  <si>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</si>
  <si>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</si>
  <si>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</si>
  <si>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</si>
  <si>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</si>
  <si>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</si>
  <si>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</si>
  <si>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</si>
  <si>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</si>
  <si>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</si>
  <si>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</si>
  <si>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</si>
  <si>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</si>
  <si>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</si>
  <si>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</si>
  <si>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</si>
  <si>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</si>
  <si>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</si>
  <si>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</si>
  <si>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</si>
  <si>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</si>
  <si>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</si>
  <si>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</si>
  <si>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</si>
  <si>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</si>
  <si>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</si>
  <si>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</si>
  <si>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</si>
  <si>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</si>
  <si>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</si>
  <si>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</si>
  <si>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</si>
  <si>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</si>
  <si>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</si>
  <si>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</si>
  <si>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</si>
  <si>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</si>
  <si>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</si>
  <si>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</si>
  <si>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</si>
  <si>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</si>
  <si>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</si>
  <si>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</si>
  <si>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</si>
  <si>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</si>
  <si>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</si>
  <si>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</si>
  <si>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</si>
  <si>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</si>
  <si>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</si>
  <si>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</si>
  <si>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</si>
  <si>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</si>
  <si>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</si>
  <si>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</si>
  <si>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</si>
  <si>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</si>
  <si>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</si>
  <si>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</si>
  <si>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</si>
  <si>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</si>
  <si>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</si>
  <si>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</si>
  <si>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</si>
  <si>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</si>
  <si>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</si>
  <si>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</si>
  <si>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</si>
  <si>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</si>
  <si>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</si>
  <si>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</si>
  <si>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</si>
  <si>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</si>
  <si>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</si>
  <si>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</si>
  <si>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</si>
  <si>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</si>
  <si>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</si>
  <si>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</si>
  <si>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</si>
  <si>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</si>
  <si>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</si>
  <si>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</si>
  <si>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</si>
  <si>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</si>
  <si>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</si>
  <si>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</si>
  <si>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</si>
  <si>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</si>
  <si>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</si>
  <si>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</si>
  <si>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</si>
  <si>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</si>
  <si>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</si>
  <si>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</si>
  <si>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</si>
  <si>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</si>
  <si>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</si>
  <si>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</si>
  <si>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</si>
  <si>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</si>
  <si>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</si>
  <si>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</si>
  <si>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</si>
  <si>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</si>
  <si>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</si>
  <si>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</si>
  <si>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</si>
  <si>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</si>
  <si>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</si>
  <si>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</si>
  <si>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</si>
  <si>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</si>
  <si>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</si>
  <si>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</si>
  <si>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</si>
  <si>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</si>
  <si>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</si>
  <si>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</si>
  <si>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</si>
  <si>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</si>
  <si>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</si>
  <si>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</si>
  <si>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</si>
  <si>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</si>
  <si>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</si>
  <si>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</si>
  <si>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</si>
  <si>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</si>
  <si>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</si>
  <si>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</si>
  <si>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</si>
  <si>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</si>
  <si>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</si>
  <si>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</si>
  <si>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</si>
  <si>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</si>
  <si>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</si>
  <si>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</si>
  <si>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</si>
  <si>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</si>
  <si>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</si>
  <si>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</si>
  <si>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</si>
  <si>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</si>
  <si>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</si>
  <si>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</si>
  <si>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</si>
  <si>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</si>
  <si>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</si>
  <si>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</si>
  <si>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</si>
  <si>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</si>
  <si>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</si>
  <si>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</si>
  <si>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</si>
  <si>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</si>
  <si>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</si>
  <si>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</si>
  <si>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</si>
  <si>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</si>
  <si>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</si>
  <si>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</si>
  <si>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</si>
  <si>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</si>
  <si>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</si>
  <si>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</si>
  <si>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</si>
  <si>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</si>
  <si>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</si>
  <si>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</si>
  <si>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</si>
  <si>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</si>
  <si>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</si>
  <si>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</si>
  <si>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</si>
  <si>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</si>
  <si>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</si>
  <si>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</si>
  <si>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</si>
  <si>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</si>
  <si>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</si>
  <si>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</si>
  <si>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</si>
  <si>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</si>
  <si>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</si>
  <si>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</si>
  <si>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</si>
  <si>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</si>
  <si>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</si>
  <si>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</si>
  <si>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</si>
  <si>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</si>
  <si>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</si>
  <si>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</si>
  <si>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</si>
  <si>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</si>
  <si>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</si>
  <si>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</si>
  <si>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</si>
  <si>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</si>
  <si>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</si>
  <si>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</si>
  <si>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</si>
  <si>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</si>
  <si>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</si>
  <si>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</si>
  <si>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</si>
  <si>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</si>
  <si>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</si>
  <si>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Ravi Varma</t>
  </si>
  <si>
    <t>Hyderabad</t>
  </si>
  <si>
    <t>White Powder Coating</t>
  </si>
  <si>
    <t>ABPL-DE-19.20-2169</t>
  </si>
  <si>
    <t>FG</t>
  </si>
  <si>
    <t>M940</t>
  </si>
  <si>
    <t>FIXED GLASS</t>
  </si>
  <si>
    <t>20MM</t>
  </si>
  <si>
    <t>NO</t>
  </si>
  <si>
    <t>GF - SERVANT ROOM</t>
  </si>
  <si>
    <t>SW</t>
  </si>
  <si>
    <t>M900</t>
  </si>
  <si>
    <t>3 TRACK 2 SHUTTER SLIDING WINDOW</t>
  </si>
  <si>
    <t>SS</t>
  </si>
  <si>
    <t>GF - STAIRCASE STILT MID LANDING</t>
  </si>
  <si>
    <t>SW1</t>
  </si>
  <si>
    <t>FF - RECEPTION</t>
  </si>
  <si>
    <t>WINDOW</t>
  </si>
  <si>
    <t>SW2</t>
  </si>
  <si>
    <t>FF - CONFERENCE</t>
  </si>
  <si>
    <t>FG1</t>
  </si>
  <si>
    <t>FG2</t>
  </si>
  <si>
    <t>FF - HALL</t>
  </si>
  <si>
    <t>FG3</t>
  </si>
  <si>
    <t>FG4</t>
  </si>
  <si>
    <t>FG5</t>
  </si>
  <si>
    <t>FF - DINING</t>
  </si>
  <si>
    <t>FF - KITCHEN</t>
  </si>
  <si>
    <t>SW3</t>
  </si>
  <si>
    <t>V</t>
  </si>
  <si>
    <t>Z LOUVERS</t>
  </si>
  <si>
    <t>NA</t>
  </si>
  <si>
    <t>FF - STORE</t>
  </si>
  <si>
    <t>V1</t>
  </si>
  <si>
    <t>FF - MD TOILET</t>
  </si>
  <si>
    <t>SW4</t>
  </si>
  <si>
    <t>FF - MD ROOM</t>
  </si>
  <si>
    <t>SW5</t>
  </si>
  <si>
    <t>FF - MD ROOM 2</t>
  </si>
  <si>
    <t>SW6</t>
  </si>
  <si>
    <t>FF - MD ROOM 3</t>
  </si>
  <si>
    <t>SW7</t>
  </si>
  <si>
    <t>FF - 4TH ROOM</t>
  </si>
  <si>
    <t>V2</t>
  </si>
  <si>
    <t>FF - TOILET 1</t>
  </si>
  <si>
    <t>V3</t>
  </si>
  <si>
    <t>FF - TOILET 2</t>
  </si>
  <si>
    <t>FG6</t>
  </si>
  <si>
    <t>FF - SERVANT ROOM</t>
  </si>
  <si>
    <t>SW8</t>
  </si>
  <si>
    <t>FF - STAIRCASE</t>
  </si>
  <si>
    <t>SW9</t>
  </si>
  <si>
    <t>SF - RECEPTION</t>
  </si>
  <si>
    <t>SW10</t>
  </si>
  <si>
    <t>SF - CONFERENCE</t>
  </si>
  <si>
    <t>FG7</t>
  </si>
  <si>
    <t>FG8</t>
  </si>
  <si>
    <t>FG9</t>
  </si>
  <si>
    <t>FG10</t>
  </si>
  <si>
    <t>FG11</t>
  </si>
  <si>
    <t>SF - HALL</t>
  </si>
  <si>
    <t>SF - KITCHEN</t>
  </si>
  <si>
    <t>SW11</t>
  </si>
  <si>
    <t>V4</t>
  </si>
  <si>
    <t>SW12</t>
  </si>
  <si>
    <t>SF - MD ROOM</t>
  </si>
  <si>
    <t>SW13</t>
  </si>
  <si>
    <t>SF - MD ROOM 2</t>
  </si>
  <si>
    <t>SW14</t>
  </si>
  <si>
    <t>SF - MD ROOM 3</t>
  </si>
  <si>
    <t>SW15</t>
  </si>
  <si>
    <t>SF - SMALL ROOM</t>
  </si>
  <si>
    <t>V5</t>
  </si>
  <si>
    <t>SF - TOILET</t>
  </si>
  <si>
    <t>V6</t>
  </si>
  <si>
    <t>SF - TOILET 2</t>
  </si>
  <si>
    <t>FG12</t>
  </si>
  <si>
    <t>SF - SERVANT ROOM</t>
  </si>
  <si>
    <t>SW16</t>
  </si>
  <si>
    <t>SF - STAIRCASE</t>
  </si>
  <si>
    <t>SW17</t>
  </si>
  <si>
    <t>3F - KITCHEN</t>
  </si>
  <si>
    <t>SW18</t>
  </si>
  <si>
    <t>3F - CONFERENCE</t>
  </si>
  <si>
    <t>FG13</t>
  </si>
  <si>
    <t>FG14</t>
  </si>
  <si>
    <t>FG15</t>
  </si>
  <si>
    <t>3F - HALL</t>
  </si>
  <si>
    <t>FG16</t>
  </si>
  <si>
    <t>FG17</t>
  </si>
  <si>
    <t>SW19</t>
  </si>
  <si>
    <t>V7</t>
  </si>
  <si>
    <t>3F - STORE</t>
  </si>
  <si>
    <t>V8</t>
  </si>
  <si>
    <t>3F - MD TOILET</t>
  </si>
  <si>
    <t>SW20</t>
  </si>
  <si>
    <t>3F - MD ROOM</t>
  </si>
  <si>
    <t>SW21</t>
  </si>
  <si>
    <t>3F - MD ROOM 2</t>
  </si>
  <si>
    <t>SW22</t>
  </si>
  <si>
    <t>3F - MD ROOM 3</t>
  </si>
  <si>
    <t>SW23</t>
  </si>
  <si>
    <t>3F - SMALL ROOM</t>
  </si>
  <si>
    <t>V9</t>
  </si>
  <si>
    <t>3F - TOILET 1</t>
  </si>
  <si>
    <t>V10</t>
  </si>
  <si>
    <t>3F - TOILET 2</t>
  </si>
  <si>
    <t>FG18</t>
  </si>
  <si>
    <t>3F - SERVANT ROOM</t>
  </si>
  <si>
    <t>SW24</t>
  </si>
  <si>
    <t>3F</t>
  </si>
  <si>
    <t>SW25</t>
  </si>
  <si>
    <t>4F - RECEPTION</t>
  </si>
  <si>
    <t>SW26</t>
  </si>
  <si>
    <t>4F - CONFERENCE</t>
  </si>
  <si>
    <t>FG19</t>
  </si>
  <si>
    <t>FG20</t>
  </si>
  <si>
    <t>4F - HALL</t>
  </si>
  <si>
    <t>FG21</t>
  </si>
  <si>
    <t>FG22</t>
  </si>
  <si>
    <t>FG23</t>
  </si>
  <si>
    <t>4F - KITCHEN</t>
  </si>
  <si>
    <t>SW27</t>
  </si>
  <si>
    <t>V11</t>
  </si>
  <si>
    <t>4F - MD TOILET</t>
  </si>
  <si>
    <t>SW28</t>
  </si>
  <si>
    <t>4F - MD ROOM</t>
  </si>
  <si>
    <t>SW29</t>
  </si>
  <si>
    <t>4F - MD ROOM 2</t>
  </si>
  <si>
    <t>SW30</t>
  </si>
  <si>
    <t>4F - MD ROOM 3</t>
  </si>
  <si>
    <t>SW31</t>
  </si>
  <si>
    <t>4F - SMALL ROOM</t>
  </si>
  <si>
    <t>V12</t>
  </si>
  <si>
    <t>4F - TOILET 1</t>
  </si>
  <si>
    <t>V13</t>
  </si>
  <si>
    <t>4F - TOILET 2</t>
  </si>
  <si>
    <t>FG24</t>
  </si>
  <si>
    <t>4F - SERVANT ROOM</t>
  </si>
  <si>
    <t>SW32</t>
  </si>
  <si>
    <t>4F - STAIRCASE</t>
  </si>
  <si>
    <t>FG25</t>
  </si>
  <si>
    <t>BF - SERVANT ROOM</t>
  </si>
  <si>
    <t>SW33</t>
  </si>
  <si>
    <t>BF - STAIRCASE</t>
  </si>
  <si>
    <t>Z LOUVER</t>
  </si>
  <si>
    <t>20mm :- 5mm Clear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</si>
</sst>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50" Type="http://schemas.openxmlformats.org/officeDocument/2006/relationships/image" Target="../media/image52.wmf"/><Relationship Id="rId55" Type="http://schemas.openxmlformats.org/officeDocument/2006/relationships/image" Target="../media/image57.wmf"/><Relationship Id="rId63" Type="http://schemas.openxmlformats.org/officeDocument/2006/relationships/image" Target="../media/image65.wmf"/><Relationship Id="rId68" Type="http://schemas.openxmlformats.org/officeDocument/2006/relationships/image" Target="../media/image70.wmf"/><Relationship Id="rId7" Type="http://schemas.openxmlformats.org/officeDocument/2006/relationships/image" Target="../media/image9.wmf"/><Relationship Id="rId71" Type="http://schemas.openxmlformats.org/officeDocument/2006/relationships/image" Target="../media/image73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9" Type="http://schemas.openxmlformats.org/officeDocument/2006/relationships/image" Target="../media/image31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3" Type="http://schemas.openxmlformats.org/officeDocument/2006/relationships/image" Target="../media/image55.wmf"/><Relationship Id="rId58" Type="http://schemas.openxmlformats.org/officeDocument/2006/relationships/image" Target="../media/image60.wmf"/><Relationship Id="rId66" Type="http://schemas.openxmlformats.org/officeDocument/2006/relationships/image" Target="../media/image68.wmf"/><Relationship Id="rId74" Type="http://schemas.openxmlformats.org/officeDocument/2006/relationships/image" Target="../media/image7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49" Type="http://schemas.openxmlformats.org/officeDocument/2006/relationships/image" Target="../media/image51.wmf"/><Relationship Id="rId57" Type="http://schemas.openxmlformats.org/officeDocument/2006/relationships/image" Target="../media/image59.wmf"/><Relationship Id="rId61" Type="http://schemas.openxmlformats.org/officeDocument/2006/relationships/image" Target="../media/image63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52" Type="http://schemas.openxmlformats.org/officeDocument/2006/relationships/image" Target="../media/image54.wmf"/><Relationship Id="rId60" Type="http://schemas.openxmlformats.org/officeDocument/2006/relationships/image" Target="../media/image62.wmf"/><Relationship Id="rId65" Type="http://schemas.openxmlformats.org/officeDocument/2006/relationships/image" Target="../media/image67.wmf"/><Relationship Id="rId73" Type="http://schemas.openxmlformats.org/officeDocument/2006/relationships/image" Target="../media/image75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Relationship Id="rId48" Type="http://schemas.openxmlformats.org/officeDocument/2006/relationships/image" Target="../media/image50.wmf"/><Relationship Id="rId56" Type="http://schemas.openxmlformats.org/officeDocument/2006/relationships/image" Target="../media/image58.wmf"/><Relationship Id="rId64" Type="http://schemas.openxmlformats.org/officeDocument/2006/relationships/image" Target="../media/image66.wmf"/><Relationship Id="rId69" Type="http://schemas.openxmlformats.org/officeDocument/2006/relationships/image" Target="../media/image71.wmf"/><Relationship Id="rId8" Type="http://schemas.openxmlformats.org/officeDocument/2006/relationships/image" Target="../media/image10.wmf"/><Relationship Id="rId51" Type="http://schemas.openxmlformats.org/officeDocument/2006/relationships/image" Target="../media/image53.wmf"/><Relationship Id="rId72" Type="http://schemas.openxmlformats.org/officeDocument/2006/relationships/image" Target="../media/image74.wmf"/><Relationship Id="rId3" Type="http://schemas.openxmlformats.org/officeDocument/2006/relationships/image" Target="../media/image5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59" Type="http://schemas.openxmlformats.org/officeDocument/2006/relationships/image" Target="../media/image61.wmf"/><Relationship Id="rId67" Type="http://schemas.openxmlformats.org/officeDocument/2006/relationships/image" Target="../media/image69.wmf"/><Relationship Id="rId20" Type="http://schemas.openxmlformats.org/officeDocument/2006/relationships/image" Target="../media/image22.wmf"/><Relationship Id="rId41" Type="http://schemas.openxmlformats.org/officeDocument/2006/relationships/image" Target="../media/image43.wmf"/><Relationship Id="rId54" Type="http://schemas.openxmlformats.org/officeDocument/2006/relationships/image" Target="../media/image56.wmf"/><Relationship Id="rId62" Type="http://schemas.openxmlformats.org/officeDocument/2006/relationships/image" Target="../media/image64.wmf"/><Relationship Id="rId70" Type="http://schemas.openxmlformats.org/officeDocument/2006/relationships/image" Target="../media/image72.wmf"/><Relationship Id="rId1" Type="http://schemas.openxmlformats.org/officeDocument/2006/relationships/image" Target="../media/image3.wmf"/><Relationship Id="rId6" Type="http://schemas.openxmlformats.org/officeDocument/2006/relationships/image" Target="../media/image8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8.png"/><Relationship Id="rId1" Type="http://schemas.openxmlformats.org/officeDocument/2006/relationships/image" Target="../media/image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389282</xdr:colOff>
      <xdr:row>8</xdr:row>
      <xdr:rowOff>248478</xdr:rowOff>
    </xdr:from>
    <xdr:to>
      <xdr:col>5</xdr:col>
      <xdr:colOff>1938130</xdr:colOff>
      <xdr:row>15</xdr:row>
      <xdr:rowOff>200222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1722782"/>
          <a:ext cx="1548848" cy="2154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19</xdr:row>
      <xdr:rowOff>198782</xdr:rowOff>
    </xdr:from>
    <xdr:to>
      <xdr:col>6</xdr:col>
      <xdr:colOff>323022</xdr:colOff>
      <xdr:row>26</xdr:row>
      <xdr:rowOff>281014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4986130"/>
          <a:ext cx="2335696" cy="2285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571499</xdr:colOff>
      <xdr:row>30</xdr:row>
      <xdr:rowOff>289890</xdr:rowOff>
    </xdr:from>
    <xdr:to>
      <xdr:col>9</xdr:col>
      <xdr:colOff>105440</xdr:colOff>
      <xdr:row>37</xdr:row>
      <xdr:rowOff>115957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5" y="8390281"/>
          <a:ext cx="4039680" cy="2029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42</xdr:row>
      <xdr:rowOff>99391</xdr:rowOff>
    </xdr:from>
    <xdr:to>
      <xdr:col>6</xdr:col>
      <xdr:colOff>165653</xdr:colOff>
      <xdr:row>48</xdr:row>
      <xdr:rowOff>161789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1" y="11827565"/>
          <a:ext cx="2617305" cy="1950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53</xdr:row>
      <xdr:rowOff>74544</xdr:rowOff>
    </xdr:from>
    <xdr:to>
      <xdr:col>6</xdr:col>
      <xdr:colOff>8282</xdr:colOff>
      <xdr:row>59</xdr:row>
      <xdr:rowOff>66205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15115761"/>
          <a:ext cx="2161761" cy="1880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596346</xdr:colOff>
      <xdr:row>64</xdr:row>
      <xdr:rowOff>157369</xdr:rowOff>
    </xdr:from>
    <xdr:to>
      <xdr:col>6</xdr:col>
      <xdr:colOff>30607</xdr:colOff>
      <xdr:row>70</xdr:row>
      <xdr:rowOff>107673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7" y="18511630"/>
          <a:ext cx="2109543" cy="1838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75</xdr:row>
      <xdr:rowOff>132521</xdr:rowOff>
    </xdr:from>
    <xdr:to>
      <xdr:col>5</xdr:col>
      <xdr:colOff>1805608</xdr:colOff>
      <xdr:row>81</xdr:row>
      <xdr:rowOff>28103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4" y="21799825"/>
          <a:ext cx="2012674" cy="1784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389282</xdr:colOff>
      <xdr:row>86</xdr:row>
      <xdr:rowOff>115957</xdr:rowOff>
    </xdr:from>
    <xdr:to>
      <xdr:col>5</xdr:col>
      <xdr:colOff>1813891</xdr:colOff>
      <xdr:row>92</xdr:row>
      <xdr:rowOff>75679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543" y="25096305"/>
          <a:ext cx="2120348" cy="184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248477</xdr:colOff>
      <xdr:row>96</xdr:row>
      <xdr:rowOff>306457</xdr:rowOff>
    </xdr:from>
    <xdr:to>
      <xdr:col>5</xdr:col>
      <xdr:colOff>1880151</xdr:colOff>
      <xdr:row>103</xdr:row>
      <xdr:rowOff>131924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8" y="28285109"/>
          <a:ext cx="2327413" cy="2028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289891</xdr:colOff>
      <xdr:row>108</xdr:row>
      <xdr:rowOff>132521</xdr:rowOff>
    </xdr:from>
    <xdr:to>
      <xdr:col>5</xdr:col>
      <xdr:colOff>1546329</xdr:colOff>
      <xdr:row>114</xdr:row>
      <xdr:rowOff>165651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2" y="31738956"/>
          <a:ext cx="1952177" cy="1921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323021</xdr:colOff>
      <xdr:row>119</xdr:row>
      <xdr:rowOff>115957</xdr:rowOff>
    </xdr:from>
    <xdr:to>
      <xdr:col>6</xdr:col>
      <xdr:colOff>49696</xdr:colOff>
      <xdr:row>124</xdr:row>
      <xdr:rowOff>97930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1" y="35035435"/>
          <a:ext cx="1706218" cy="1555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488674</xdr:colOff>
      <xdr:row>119</xdr:row>
      <xdr:rowOff>281609</xdr:rowOff>
    </xdr:from>
    <xdr:to>
      <xdr:col>5</xdr:col>
      <xdr:colOff>1565413</xdr:colOff>
      <xdr:row>122</xdr:row>
      <xdr:rowOff>265043</xdr:rowOff>
    </xdr:to>
    <xdr:grpSp>
      <xdr:nvGrpSpPr>
        <xdr:cNvPr id="21" name="Group 20"/>
        <xdr:cNvGrpSpPr/>
      </xdr:nvGrpSpPr>
      <xdr:grpSpPr>
        <a:xfrm>
          <a:off x="3536674" y="35201087"/>
          <a:ext cx="1076739" cy="927652"/>
          <a:chOff x="3536674" y="35201087"/>
          <a:chExt cx="1076739" cy="927652"/>
        </a:xfrm>
      </xdr:grpSpPr>
      <xdr:sp macro="" textlink="">
        <xdr:nvSpPr>
          <xdr:cNvPr id="13" name="Rectangle 12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" name="Straight Connector 14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463825</xdr:colOff>
      <xdr:row>130</xdr:row>
      <xdr:rowOff>173934</xdr:rowOff>
    </xdr:from>
    <xdr:to>
      <xdr:col>6</xdr:col>
      <xdr:colOff>84757</xdr:colOff>
      <xdr:row>135</xdr:row>
      <xdr:rowOff>149086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38406456"/>
          <a:ext cx="1600475" cy="1548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646043</xdr:colOff>
      <xdr:row>131</xdr:row>
      <xdr:rowOff>41411</xdr:rowOff>
    </xdr:from>
    <xdr:to>
      <xdr:col>5</xdr:col>
      <xdr:colOff>1581979</xdr:colOff>
      <xdr:row>133</xdr:row>
      <xdr:rowOff>306456</xdr:rowOff>
    </xdr:to>
    <xdr:grpSp>
      <xdr:nvGrpSpPr>
        <xdr:cNvPr id="23" name="Group 22"/>
        <xdr:cNvGrpSpPr/>
      </xdr:nvGrpSpPr>
      <xdr:grpSpPr>
        <a:xfrm>
          <a:off x="3694043" y="38588672"/>
          <a:ext cx="935936" cy="894523"/>
          <a:chOff x="3536674" y="35201087"/>
          <a:chExt cx="1076739" cy="927652"/>
        </a:xfrm>
      </xdr:grpSpPr>
      <xdr:sp macro="" textlink="">
        <xdr:nvSpPr>
          <xdr:cNvPr id="24" name="Rectangle 23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" name="Straight Connector 24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273325</xdr:colOff>
      <xdr:row>140</xdr:row>
      <xdr:rowOff>190499</xdr:rowOff>
    </xdr:from>
    <xdr:to>
      <xdr:col>8</xdr:col>
      <xdr:colOff>124238</xdr:colOff>
      <xdr:row>148</xdr:row>
      <xdr:rowOff>28027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6" y="41421325"/>
          <a:ext cx="3180522" cy="2355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151</xdr:row>
      <xdr:rowOff>281607</xdr:rowOff>
    </xdr:from>
    <xdr:to>
      <xdr:col>7</xdr:col>
      <xdr:colOff>133562</xdr:colOff>
      <xdr:row>158</xdr:row>
      <xdr:rowOff>256761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1" y="44825477"/>
          <a:ext cx="2941367" cy="2178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162</xdr:row>
      <xdr:rowOff>215347</xdr:rowOff>
    </xdr:from>
    <xdr:to>
      <xdr:col>6</xdr:col>
      <xdr:colOff>265044</xdr:colOff>
      <xdr:row>170</xdr:row>
      <xdr:rowOff>82511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48072260"/>
          <a:ext cx="2468218" cy="2385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173</xdr:row>
      <xdr:rowOff>207065</xdr:rowOff>
    </xdr:from>
    <xdr:to>
      <xdr:col>5</xdr:col>
      <xdr:colOff>1598544</xdr:colOff>
      <xdr:row>181</xdr:row>
      <xdr:rowOff>134412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51377022"/>
          <a:ext cx="1432892" cy="244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679174</xdr:colOff>
      <xdr:row>186</xdr:row>
      <xdr:rowOff>82825</xdr:rowOff>
    </xdr:from>
    <xdr:to>
      <xdr:col>5</xdr:col>
      <xdr:colOff>1635263</xdr:colOff>
      <xdr:row>191</xdr:row>
      <xdr:rowOff>107672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5" y="55195303"/>
          <a:ext cx="1651828" cy="1598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140805</xdr:colOff>
      <xdr:row>186</xdr:row>
      <xdr:rowOff>215348</xdr:rowOff>
    </xdr:from>
    <xdr:to>
      <xdr:col>5</xdr:col>
      <xdr:colOff>1167848</xdr:colOff>
      <xdr:row>189</xdr:row>
      <xdr:rowOff>298174</xdr:rowOff>
    </xdr:to>
    <xdr:grpSp>
      <xdr:nvGrpSpPr>
        <xdr:cNvPr id="36" name="Group 35"/>
        <xdr:cNvGrpSpPr/>
      </xdr:nvGrpSpPr>
      <xdr:grpSpPr>
        <a:xfrm>
          <a:off x="3188805" y="55327826"/>
          <a:ext cx="1027043" cy="1027044"/>
          <a:chOff x="3536674" y="35201087"/>
          <a:chExt cx="1076739" cy="927652"/>
        </a:xfrm>
      </xdr:grpSpPr>
      <xdr:sp macro="" textlink="">
        <xdr:nvSpPr>
          <xdr:cNvPr id="37" name="Rectangle 36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" name="Straight Connector 37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604629</xdr:colOff>
      <xdr:row>196</xdr:row>
      <xdr:rowOff>173933</xdr:rowOff>
    </xdr:from>
    <xdr:to>
      <xdr:col>5</xdr:col>
      <xdr:colOff>1689651</xdr:colOff>
      <xdr:row>202</xdr:row>
      <xdr:rowOff>8816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0" y="58284716"/>
          <a:ext cx="1780761" cy="1723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197</xdr:row>
      <xdr:rowOff>49692</xdr:rowOff>
    </xdr:from>
    <xdr:to>
      <xdr:col>5</xdr:col>
      <xdr:colOff>1167848</xdr:colOff>
      <xdr:row>200</xdr:row>
      <xdr:rowOff>99390</xdr:rowOff>
    </xdr:to>
    <xdr:grpSp>
      <xdr:nvGrpSpPr>
        <xdr:cNvPr id="45" name="Group 44"/>
        <xdr:cNvGrpSpPr/>
      </xdr:nvGrpSpPr>
      <xdr:grpSpPr>
        <a:xfrm>
          <a:off x="3163955" y="58475214"/>
          <a:ext cx="1051893" cy="993915"/>
          <a:chOff x="3536674" y="35201087"/>
          <a:chExt cx="1076739" cy="927652"/>
        </a:xfrm>
      </xdr:grpSpPr>
      <xdr:sp macro="" textlink="">
        <xdr:nvSpPr>
          <xdr:cNvPr id="46" name="Rectangle 45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7" name="Straight Connector 46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165650</xdr:colOff>
      <xdr:row>207</xdr:row>
      <xdr:rowOff>223631</xdr:rowOff>
    </xdr:from>
    <xdr:to>
      <xdr:col>5</xdr:col>
      <xdr:colOff>1639955</xdr:colOff>
      <xdr:row>214</xdr:row>
      <xdr:rowOff>22826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0" y="61647457"/>
          <a:ext cx="1474305" cy="2002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554935</xdr:colOff>
      <xdr:row>217</xdr:row>
      <xdr:rowOff>265043</xdr:rowOff>
    </xdr:from>
    <xdr:to>
      <xdr:col>6</xdr:col>
      <xdr:colOff>248479</xdr:colOff>
      <xdr:row>224</xdr:row>
      <xdr:rowOff>260652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6" y="64687173"/>
          <a:ext cx="2368826" cy="2198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140803</xdr:colOff>
      <xdr:row>228</xdr:row>
      <xdr:rowOff>289891</xdr:rowOff>
    </xdr:from>
    <xdr:to>
      <xdr:col>9</xdr:col>
      <xdr:colOff>15483</xdr:colOff>
      <xdr:row>234</xdr:row>
      <xdr:rowOff>306456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064" y="68025065"/>
          <a:ext cx="3792354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240195</xdr:colOff>
      <xdr:row>240</xdr:row>
      <xdr:rowOff>124238</xdr:rowOff>
    </xdr:from>
    <xdr:to>
      <xdr:col>6</xdr:col>
      <xdr:colOff>365193</xdr:colOff>
      <xdr:row>247</xdr:row>
      <xdr:rowOff>8283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6" y="71487195"/>
          <a:ext cx="2800280" cy="2087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505237</xdr:colOff>
      <xdr:row>251</xdr:row>
      <xdr:rowOff>91108</xdr:rowOff>
    </xdr:from>
    <xdr:to>
      <xdr:col>5</xdr:col>
      <xdr:colOff>1816983</xdr:colOff>
      <xdr:row>256</xdr:row>
      <xdr:rowOff>289891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8" y="74767108"/>
          <a:ext cx="2007485" cy="1772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262</xdr:row>
      <xdr:rowOff>33131</xdr:rowOff>
    </xdr:from>
    <xdr:to>
      <xdr:col>5</xdr:col>
      <xdr:colOff>1946074</xdr:colOff>
      <xdr:row>267</xdr:row>
      <xdr:rowOff>256761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78022174"/>
          <a:ext cx="2062031" cy="179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273</xdr:row>
      <xdr:rowOff>57979</xdr:rowOff>
    </xdr:from>
    <xdr:to>
      <xdr:col>5</xdr:col>
      <xdr:colOff>1793840</xdr:colOff>
      <xdr:row>279</xdr:row>
      <xdr:rowOff>57979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360066"/>
          <a:ext cx="2166558" cy="1888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265043</xdr:colOff>
      <xdr:row>283</xdr:row>
      <xdr:rowOff>298174</xdr:rowOff>
    </xdr:from>
    <xdr:to>
      <xdr:col>5</xdr:col>
      <xdr:colOff>1855304</xdr:colOff>
      <xdr:row>290</xdr:row>
      <xdr:rowOff>87544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84598565"/>
          <a:ext cx="2286000" cy="1992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198781</xdr:colOff>
      <xdr:row>295</xdr:row>
      <xdr:rowOff>66261</xdr:rowOff>
    </xdr:from>
    <xdr:to>
      <xdr:col>5</xdr:col>
      <xdr:colOff>1822173</xdr:colOff>
      <xdr:row>301</xdr:row>
      <xdr:rowOff>233484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042" y="87994435"/>
          <a:ext cx="2319131" cy="2055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91108</xdr:colOff>
      <xdr:row>306</xdr:row>
      <xdr:rowOff>74544</xdr:rowOff>
    </xdr:from>
    <xdr:to>
      <xdr:col>6</xdr:col>
      <xdr:colOff>151359</xdr:colOff>
      <xdr:row>312</xdr:row>
      <xdr:rowOff>231914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9" y="91315761"/>
          <a:ext cx="2735533" cy="2045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521802</xdr:colOff>
      <xdr:row>317</xdr:row>
      <xdr:rowOff>231912</xdr:rowOff>
    </xdr:from>
    <xdr:to>
      <xdr:col>5</xdr:col>
      <xdr:colOff>1623390</xdr:colOff>
      <xdr:row>323</xdr:row>
      <xdr:rowOff>140804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3" y="94786173"/>
          <a:ext cx="1797327" cy="1797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33128</xdr:colOff>
      <xdr:row>318</xdr:row>
      <xdr:rowOff>115957</xdr:rowOff>
    </xdr:from>
    <xdr:to>
      <xdr:col>5</xdr:col>
      <xdr:colOff>1085021</xdr:colOff>
      <xdr:row>321</xdr:row>
      <xdr:rowOff>215347</xdr:rowOff>
    </xdr:to>
    <xdr:grpSp>
      <xdr:nvGrpSpPr>
        <xdr:cNvPr id="64" name="Group 63"/>
        <xdr:cNvGrpSpPr/>
      </xdr:nvGrpSpPr>
      <xdr:grpSpPr>
        <a:xfrm>
          <a:off x="3081128" y="94984957"/>
          <a:ext cx="1051893" cy="1043607"/>
          <a:chOff x="3536674" y="35201087"/>
          <a:chExt cx="1076739" cy="927652"/>
        </a:xfrm>
      </xdr:grpSpPr>
      <xdr:sp macro="" textlink="">
        <xdr:nvSpPr>
          <xdr:cNvPr id="65" name="Rectangle 64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6" name="Straight Connector 65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Straight Connector 69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Straight Connector 70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248478</xdr:colOff>
      <xdr:row>327</xdr:row>
      <xdr:rowOff>248477</xdr:rowOff>
    </xdr:from>
    <xdr:to>
      <xdr:col>7</xdr:col>
      <xdr:colOff>173935</xdr:colOff>
      <xdr:row>334</xdr:row>
      <xdr:rowOff>281428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9" y="97801042"/>
          <a:ext cx="2990022" cy="223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207064</xdr:colOff>
      <xdr:row>339</xdr:row>
      <xdr:rowOff>24848</xdr:rowOff>
    </xdr:from>
    <xdr:to>
      <xdr:col>7</xdr:col>
      <xdr:colOff>24847</xdr:colOff>
      <xdr:row>345</xdr:row>
      <xdr:rowOff>271031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5" y="101205196"/>
          <a:ext cx="2882348" cy="21346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349</xdr:row>
      <xdr:rowOff>248478</xdr:rowOff>
    </xdr:from>
    <xdr:to>
      <xdr:col>6</xdr:col>
      <xdr:colOff>41413</xdr:colOff>
      <xdr:row>356</xdr:row>
      <xdr:rowOff>238294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104427130"/>
          <a:ext cx="2269435" cy="219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360</xdr:row>
      <xdr:rowOff>140804</xdr:rowOff>
    </xdr:from>
    <xdr:to>
      <xdr:col>5</xdr:col>
      <xdr:colOff>1540565</xdr:colOff>
      <xdr:row>368</xdr:row>
      <xdr:rowOff>124689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107632500"/>
          <a:ext cx="1466022" cy="2501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447261</xdr:colOff>
      <xdr:row>372</xdr:row>
      <xdr:rowOff>265036</xdr:rowOff>
    </xdr:from>
    <xdr:to>
      <xdr:col>5</xdr:col>
      <xdr:colOff>1432892</xdr:colOff>
      <xdr:row>378</xdr:row>
      <xdr:rowOff>57971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2" y="111384514"/>
          <a:ext cx="1681370" cy="1681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373</xdr:row>
      <xdr:rowOff>115949</xdr:rowOff>
    </xdr:from>
    <xdr:to>
      <xdr:col>5</xdr:col>
      <xdr:colOff>977349</xdr:colOff>
      <xdr:row>376</xdr:row>
      <xdr:rowOff>215338</xdr:rowOff>
    </xdr:to>
    <xdr:grpSp>
      <xdr:nvGrpSpPr>
        <xdr:cNvPr id="77" name="Group 76"/>
        <xdr:cNvGrpSpPr/>
      </xdr:nvGrpSpPr>
      <xdr:grpSpPr>
        <a:xfrm>
          <a:off x="2973456" y="111550166"/>
          <a:ext cx="1051893" cy="1043607"/>
          <a:chOff x="3536674" y="35201087"/>
          <a:chExt cx="1076739" cy="927652"/>
        </a:xfrm>
      </xdr:grpSpPr>
      <xdr:sp macro="" textlink="">
        <xdr:nvSpPr>
          <xdr:cNvPr id="78" name="Rectangle 77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9" name="Straight Connector 78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Straight Connector 81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Straight Connector 82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Straight Connector 83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24847</xdr:colOff>
      <xdr:row>383</xdr:row>
      <xdr:rowOff>107674</xdr:rowOff>
    </xdr:from>
    <xdr:to>
      <xdr:col>5</xdr:col>
      <xdr:colOff>1731064</xdr:colOff>
      <xdr:row>388</xdr:row>
      <xdr:rowOff>240196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114540196"/>
          <a:ext cx="1706217" cy="1706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198781</xdr:colOff>
      <xdr:row>383</xdr:row>
      <xdr:rowOff>273326</xdr:rowOff>
    </xdr:from>
    <xdr:to>
      <xdr:col>5</xdr:col>
      <xdr:colOff>1250674</xdr:colOff>
      <xdr:row>387</xdr:row>
      <xdr:rowOff>57977</xdr:rowOff>
    </xdr:to>
    <xdr:grpSp>
      <xdr:nvGrpSpPr>
        <xdr:cNvPr id="86" name="Group 85"/>
        <xdr:cNvGrpSpPr/>
      </xdr:nvGrpSpPr>
      <xdr:grpSpPr>
        <a:xfrm>
          <a:off x="3246781" y="114705848"/>
          <a:ext cx="1051893" cy="1043607"/>
          <a:chOff x="3536674" y="35201087"/>
          <a:chExt cx="1076739" cy="927652"/>
        </a:xfrm>
      </xdr:grpSpPr>
      <xdr:sp macro="" textlink="">
        <xdr:nvSpPr>
          <xdr:cNvPr id="87" name="Rectangle 86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8" name="Straight Connector 87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Straight Connector 89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Straight Connector 90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Straight Connector 91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687456</xdr:colOff>
      <xdr:row>394</xdr:row>
      <xdr:rowOff>24848</xdr:rowOff>
    </xdr:from>
    <xdr:to>
      <xdr:col>5</xdr:col>
      <xdr:colOff>1449457</xdr:colOff>
      <xdr:row>400</xdr:row>
      <xdr:rowOff>164573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7" y="117770413"/>
          <a:ext cx="1457740" cy="202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182216</xdr:colOff>
      <xdr:row>404</xdr:row>
      <xdr:rowOff>198782</xdr:rowOff>
    </xdr:from>
    <xdr:to>
      <xdr:col>6</xdr:col>
      <xdr:colOff>124239</xdr:colOff>
      <xdr:row>412</xdr:row>
      <xdr:rowOff>110291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7" y="120942652"/>
          <a:ext cx="2617305" cy="242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157369</xdr:colOff>
      <xdr:row>416</xdr:row>
      <xdr:rowOff>0</xdr:rowOff>
    </xdr:from>
    <xdr:to>
      <xdr:col>8</xdr:col>
      <xdr:colOff>493727</xdr:colOff>
      <xdr:row>422</xdr:row>
      <xdr:rowOff>248478</xdr:rowOff>
    </xdr:to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565" y="124371652"/>
          <a:ext cx="4254032" cy="2136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132521</xdr:colOff>
      <xdr:row>426</xdr:row>
      <xdr:rowOff>182217</xdr:rowOff>
    </xdr:from>
    <xdr:to>
      <xdr:col>7</xdr:col>
      <xdr:colOff>165652</xdr:colOff>
      <xdr:row>433</xdr:row>
      <xdr:rowOff>287941</xdr:rowOff>
    </xdr:to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2" y="127552174"/>
          <a:ext cx="3097696" cy="2308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629476</xdr:colOff>
      <xdr:row>438</xdr:row>
      <xdr:rowOff>190500</xdr:rowOff>
    </xdr:from>
    <xdr:to>
      <xdr:col>5</xdr:col>
      <xdr:colOff>1800510</xdr:colOff>
      <xdr:row>443</xdr:row>
      <xdr:rowOff>265044</xdr:rowOff>
    </xdr:to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7" y="131188239"/>
          <a:ext cx="1866773" cy="1648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496956</xdr:colOff>
      <xdr:row>448</xdr:row>
      <xdr:rowOff>256760</xdr:rowOff>
    </xdr:from>
    <xdr:to>
      <xdr:col>6</xdr:col>
      <xdr:colOff>82964</xdr:colOff>
      <xdr:row>455</xdr:row>
      <xdr:rowOff>57978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7" y="134252803"/>
          <a:ext cx="2261290" cy="2004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563215</xdr:colOff>
      <xdr:row>460</xdr:row>
      <xdr:rowOff>74544</xdr:rowOff>
    </xdr:from>
    <xdr:to>
      <xdr:col>6</xdr:col>
      <xdr:colOff>92500</xdr:colOff>
      <xdr:row>466</xdr:row>
      <xdr:rowOff>107674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6" y="137698370"/>
          <a:ext cx="2204567" cy="1921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471</xdr:row>
      <xdr:rowOff>91108</xdr:rowOff>
    </xdr:from>
    <xdr:to>
      <xdr:col>5</xdr:col>
      <xdr:colOff>1905000</xdr:colOff>
      <xdr:row>477</xdr:row>
      <xdr:rowOff>184919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141027978"/>
          <a:ext cx="2236305" cy="1982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240194</xdr:colOff>
      <xdr:row>481</xdr:row>
      <xdr:rowOff>273327</xdr:rowOff>
    </xdr:from>
    <xdr:to>
      <xdr:col>6</xdr:col>
      <xdr:colOff>74543</xdr:colOff>
      <xdr:row>488</xdr:row>
      <xdr:rowOff>257620</xdr:rowOff>
    </xdr:to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5" y="144208501"/>
          <a:ext cx="2509631" cy="21874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289890</xdr:colOff>
      <xdr:row>492</xdr:row>
      <xdr:rowOff>231913</xdr:rowOff>
    </xdr:from>
    <xdr:to>
      <xdr:col>5</xdr:col>
      <xdr:colOff>1871869</xdr:colOff>
      <xdr:row>499</xdr:row>
      <xdr:rowOff>270744</xdr:rowOff>
    </xdr:to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1" y="147480130"/>
          <a:ext cx="2277718" cy="2242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504</xdr:row>
      <xdr:rowOff>149087</xdr:rowOff>
    </xdr:from>
    <xdr:to>
      <xdr:col>5</xdr:col>
      <xdr:colOff>1585450</xdr:colOff>
      <xdr:row>509</xdr:row>
      <xdr:rowOff>298173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151025087"/>
          <a:ext cx="1833929" cy="1722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637759</xdr:colOff>
      <xdr:row>505</xdr:row>
      <xdr:rowOff>1</xdr:rowOff>
    </xdr:from>
    <xdr:to>
      <xdr:col>5</xdr:col>
      <xdr:colOff>1101587</xdr:colOff>
      <xdr:row>508</xdr:row>
      <xdr:rowOff>99390</xdr:rowOff>
    </xdr:to>
    <xdr:grpSp>
      <xdr:nvGrpSpPr>
        <xdr:cNvPr id="105" name="Group 104"/>
        <xdr:cNvGrpSpPr/>
      </xdr:nvGrpSpPr>
      <xdr:grpSpPr>
        <a:xfrm>
          <a:off x="2990020" y="151190740"/>
          <a:ext cx="1159567" cy="1043607"/>
          <a:chOff x="3536674" y="35201087"/>
          <a:chExt cx="1076739" cy="927652"/>
        </a:xfrm>
      </xdr:grpSpPr>
      <xdr:sp macro="" textlink="">
        <xdr:nvSpPr>
          <xdr:cNvPr id="106" name="Rectangle 105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7" name="Straight Connector 106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Straight Connector 107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Straight Connector 108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0" name="Straight Connector 109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1" name="Straight Connector 110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Straight Connector 111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182217</xdr:colOff>
      <xdr:row>515</xdr:row>
      <xdr:rowOff>215347</xdr:rowOff>
    </xdr:from>
    <xdr:to>
      <xdr:col>5</xdr:col>
      <xdr:colOff>1714500</xdr:colOff>
      <xdr:row>520</xdr:row>
      <xdr:rowOff>124506</xdr:rowOff>
    </xdr:to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54404390"/>
          <a:ext cx="1532283" cy="1482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314740</xdr:colOff>
      <xdr:row>516</xdr:row>
      <xdr:rowOff>66261</xdr:rowOff>
    </xdr:from>
    <xdr:to>
      <xdr:col>5</xdr:col>
      <xdr:colOff>1292088</xdr:colOff>
      <xdr:row>518</xdr:row>
      <xdr:rowOff>289892</xdr:rowOff>
    </xdr:to>
    <xdr:grpSp>
      <xdr:nvGrpSpPr>
        <xdr:cNvPr id="114" name="Group 113"/>
        <xdr:cNvGrpSpPr/>
      </xdr:nvGrpSpPr>
      <xdr:grpSpPr>
        <a:xfrm>
          <a:off x="3362740" y="154570044"/>
          <a:ext cx="977348" cy="853109"/>
          <a:chOff x="3536674" y="35201087"/>
          <a:chExt cx="1076739" cy="927652"/>
        </a:xfrm>
      </xdr:grpSpPr>
      <xdr:sp macro="" textlink="">
        <xdr:nvSpPr>
          <xdr:cNvPr id="115" name="Rectangle 114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6" name="Straight Connector 115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7" name="Straight Connector 116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8" name="Straight Connector 117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9" name="Straight Connector 118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Straight Connector 119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356152</xdr:colOff>
      <xdr:row>526</xdr:row>
      <xdr:rowOff>0</xdr:rowOff>
    </xdr:from>
    <xdr:to>
      <xdr:col>6</xdr:col>
      <xdr:colOff>323023</xdr:colOff>
      <xdr:row>532</xdr:row>
      <xdr:rowOff>94016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413" y="157502087"/>
          <a:ext cx="2642153" cy="1982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554934</xdr:colOff>
      <xdr:row>536</xdr:row>
      <xdr:rowOff>190500</xdr:rowOff>
    </xdr:from>
    <xdr:to>
      <xdr:col>6</xdr:col>
      <xdr:colOff>331305</xdr:colOff>
      <xdr:row>543</xdr:row>
      <xdr:rowOff>283186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130" y="160690891"/>
          <a:ext cx="3039718" cy="2295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240195</xdr:colOff>
      <xdr:row>547</xdr:row>
      <xdr:rowOff>223629</xdr:rowOff>
    </xdr:from>
    <xdr:to>
      <xdr:col>5</xdr:col>
      <xdr:colOff>1938130</xdr:colOff>
      <xdr:row>555</xdr:row>
      <xdr:rowOff>18761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6" y="164037064"/>
          <a:ext cx="2393674" cy="2313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480391</xdr:colOff>
      <xdr:row>558</xdr:row>
      <xdr:rowOff>173934</xdr:rowOff>
    </xdr:from>
    <xdr:to>
      <xdr:col>5</xdr:col>
      <xdr:colOff>1772478</xdr:colOff>
      <xdr:row>565</xdr:row>
      <xdr:rowOff>227015</xdr:rowOff>
    </xdr:to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8391" y="167300412"/>
          <a:ext cx="1292087" cy="2256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687455</xdr:colOff>
      <xdr:row>570</xdr:row>
      <xdr:rowOff>223630</xdr:rowOff>
    </xdr:from>
    <xdr:to>
      <xdr:col>5</xdr:col>
      <xdr:colOff>1557129</xdr:colOff>
      <xdr:row>575</xdr:row>
      <xdr:rowOff>215347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6" y="170977891"/>
          <a:ext cx="1565413" cy="15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173933</xdr:colOff>
      <xdr:row>571</xdr:row>
      <xdr:rowOff>82824</xdr:rowOff>
    </xdr:from>
    <xdr:to>
      <xdr:col>5</xdr:col>
      <xdr:colOff>1068457</xdr:colOff>
      <xdr:row>574</xdr:row>
      <xdr:rowOff>57979</xdr:rowOff>
    </xdr:to>
    <xdr:grpSp>
      <xdr:nvGrpSpPr>
        <xdr:cNvPr id="127" name="Group 126"/>
        <xdr:cNvGrpSpPr/>
      </xdr:nvGrpSpPr>
      <xdr:grpSpPr>
        <a:xfrm>
          <a:off x="3221933" y="171151824"/>
          <a:ext cx="894524" cy="919372"/>
          <a:chOff x="3536674" y="35201087"/>
          <a:chExt cx="1076739" cy="927652"/>
        </a:xfrm>
      </xdr:grpSpPr>
      <xdr:sp macro="" textlink="">
        <xdr:nvSpPr>
          <xdr:cNvPr id="128" name="Rectangle 127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9" name="Straight Connector 128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Straight Connector 129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Straight Connector 130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Straight Connector 131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Straight Connector 132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" name="Straight Connector 133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198782</xdr:colOff>
      <xdr:row>581</xdr:row>
      <xdr:rowOff>190499</xdr:rowOff>
    </xdr:from>
    <xdr:to>
      <xdr:col>5</xdr:col>
      <xdr:colOff>1822174</xdr:colOff>
      <xdr:row>586</xdr:row>
      <xdr:rowOff>187828</xdr:rowOff>
    </xdr:to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174257803"/>
          <a:ext cx="1623392" cy="157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582</xdr:row>
      <xdr:rowOff>57977</xdr:rowOff>
    </xdr:from>
    <xdr:to>
      <xdr:col>5</xdr:col>
      <xdr:colOff>1325216</xdr:colOff>
      <xdr:row>585</xdr:row>
      <xdr:rowOff>33131</xdr:rowOff>
    </xdr:to>
    <xdr:grpSp>
      <xdr:nvGrpSpPr>
        <xdr:cNvPr id="136" name="Group 135"/>
        <xdr:cNvGrpSpPr/>
      </xdr:nvGrpSpPr>
      <xdr:grpSpPr>
        <a:xfrm>
          <a:off x="3428999" y="174440020"/>
          <a:ext cx="944217" cy="919372"/>
          <a:chOff x="3536674" y="35201087"/>
          <a:chExt cx="1076739" cy="927652"/>
        </a:xfrm>
      </xdr:grpSpPr>
      <xdr:sp macro="" textlink="">
        <xdr:nvSpPr>
          <xdr:cNvPr id="137" name="Rectangle 136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8" name="Straight Connector 137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" name="Straight Connector 138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" name="Straight Connector 139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" name="Straight Connector 140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" name="Straight Connector 141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Straight Connector 142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165651</xdr:colOff>
      <xdr:row>592</xdr:row>
      <xdr:rowOff>107674</xdr:rowOff>
    </xdr:from>
    <xdr:to>
      <xdr:col>5</xdr:col>
      <xdr:colOff>1565412</xdr:colOff>
      <xdr:row>598</xdr:row>
      <xdr:rowOff>120363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1" y="177488022"/>
          <a:ext cx="1399761" cy="1901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438978</xdr:colOff>
      <xdr:row>603</xdr:row>
      <xdr:rowOff>49695</xdr:rowOff>
    </xdr:from>
    <xdr:to>
      <xdr:col>5</xdr:col>
      <xdr:colOff>1875874</xdr:colOff>
      <xdr:row>609</xdr:row>
      <xdr:rowOff>140804</xdr:rowOff>
    </xdr:to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9" y="180743086"/>
          <a:ext cx="2132635" cy="1979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496955</xdr:colOff>
      <xdr:row>614</xdr:row>
      <xdr:rowOff>0</xdr:rowOff>
    </xdr:from>
    <xdr:to>
      <xdr:col>8</xdr:col>
      <xdr:colOff>480390</xdr:colOff>
      <xdr:row>620</xdr:row>
      <xdr:rowOff>71196</xdr:rowOff>
    </xdr:to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151" y="184006435"/>
          <a:ext cx="3901109" cy="1959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624</xdr:row>
      <xdr:rowOff>198783</xdr:rowOff>
    </xdr:from>
    <xdr:to>
      <xdr:col>8</xdr:col>
      <xdr:colOff>91108</xdr:colOff>
      <xdr:row>631</xdr:row>
      <xdr:rowOff>304506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187203522"/>
          <a:ext cx="3097696" cy="2308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670890</xdr:colOff>
      <xdr:row>636</xdr:row>
      <xdr:rowOff>41412</xdr:rowOff>
    </xdr:from>
    <xdr:to>
      <xdr:col>6</xdr:col>
      <xdr:colOff>57978</xdr:colOff>
      <xdr:row>641</xdr:row>
      <xdr:rowOff>261372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1" y="190673934"/>
          <a:ext cx="2062370" cy="1793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647</xdr:row>
      <xdr:rowOff>8281</xdr:rowOff>
    </xdr:from>
    <xdr:to>
      <xdr:col>6</xdr:col>
      <xdr:colOff>356153</xdr:colOff>
      <xdr:row>653</xdr:row>
      <xdr:rowOff>87405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193953846"/>
          <a:ext cx="2219740" cy="1967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658</xdr:row>
      <xdr:rowOff>8283</xdr:rowOff>
    </xdr:from>
    <xdr:to>
      <xdr:col>6</xdr:col>
      <xdr:colOff>255007</xdr:colOff>
      <xdr:row>664</xdr:row>
      <xdr:rowOff>132522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197266892"/>
          <a:ext cx="2309094" cy="2012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668</xdr:row>
      <xdr:rowOff>231913</xdr:rowOff>
    </xdr:from>
    <xdr:to>
      <xdr:col>6</xdr:col>
      <xdr:colOff>82827</xdr:colOff>
      <xdr:row>675</xdr:row>
      <xdr:rowOff>165155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200488826"/>
          <a:ext cx="2410240" cy="213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347868</xdr:colOff>
      <xdr:row>680</xdr:row>
      <xdr:rowOff>132522</xdr:rowOff>
    </xdr:from>
    <xdr:to>
      <xdr:col>5</xdr:col>
      <xdr:colOff>1780760</xdr:colOff>
      <xdr:row>686</xdr:row>
      <xdr:rowOff>99465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29" y="204017218"/>
          <a:ext cx="2128631" cy="1855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115955</xdr:colOff>
      <xdr:row>690</xdr:row>
      <xdr:rowOff>207065</xdr:rowOff>
    </xdr:from>
    <xdr:to>
      <xdr:col>7</xdr:col>
      <xdr:colOff>132521</xdr:colOff>
      <xdr:row>697</xdr:row>
      <xdr:rowOff>308153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216" y="207090065"/>
          <a:ext cx="3081131" cy="2304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702</xdr:row>
      <xdr:rowOff>190499</xdr:rowOff>
    </xdr:from>
    <xdr:to>
      <xdr:col>5</xdr:col>
      <xdr:colOff>1706218</xdr:colOff>
      <xdr:row>708</xdr:row>
      <xdr:rowOff>5246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210701282"/>
          <a:ext cx="1648240" cy="1703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231913</xdr:colOff>
      <xdr:row>703</xdr:row>
      <xdr:rowOff>57977</xdr:rowOff>
    </xdr:from>
    <xdr:to>
      <xdr:col>5</xdr:col>
      <xdr:colOff>1217543</xdr:colOff>
      <xdr:row>706</xdr:row>
      <xdr:rowOff>115956</xdr:rowOff>
    </xdr:to>
    <xdr:grpSp>
      <xdr:nvGrpSpPr>
        <xdr:cNvPr id="155" name="Group 154"/>
        <xdr:cNvGrpSpPr/>
      </xdr:nvGrpSpPr>
      <xdr:grpSpPr>
        <a:xfrm>
          <a:off x="3279913" y="210883499"/>
          <a:ext cx="985630" cy="1002196"/>
          <a:chOff x="3536674" y="35201087"/>
          <a:chExt cx="1076739" cy="927652"/>
        </a:xfrm>
      </xdr:grpSpPr>
      <xdr:sp macro="" textlink="">
        <xdr:nvSpPr>
          <xdr:cNvPr id="156" name="Rectangle 155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7" name="Straight Connector 156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" name="Straight Connector 157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" name="Straight Connector 158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Straight Connector 159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Straight Connector 160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Straight Connector 161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265043</xdr:colOff>
      <xdr:row>712</xdr:row>
      <xdr:rowOff>215347</xdr:rowOff>
    </xdr:from>
    <xdr:to>
      <xdr:col>7</xdr:col>
      <xdr:colOff>207065</xdr:colOff>
      <xdr:row>719</xdr:row>
      <xdr:rowOff>238801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213724434"/>
          <a:ext cx="3006587" cy="2226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414129</xdr:colOff>
      <xdr:row>724</xdr:row>
      <xdr:rowOff>99391</xdr:rowOff>
    </xdr:from>
    <xdr:to>
      <xdr:col>6</xdr:col>
      <xdr:colOff>298174</xdr:colOff>
      <xdr:row>730</xdr:row>
      <xdr:rowOff>106354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0" y="217236261"/>
          <a:ext cx="2559327" cy="1895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546653</xdr:colOff>
      <xdr:row>734</xdr:row>
      <xdr:rowOff>140804</xdr:rowOff>
    </xdr:from>
    <xdr:to>
      <xdr:col>6</xdr:col>
      <xdr:colOff>182219</xdr:colOff>
      <xdr:row>741</xdr:row>
      <xdr:rowOff>170639</xdr:rowOff>
    </xdr:to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4" y="220275978"/>
          <a:ext cx="2310848" cy="223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157368</xdr:colOff>
      <xdr:row>745</xdr:row>
      <xdr:rowOff>140805</xdr:rowOff>
    </xdr:from>
    <xdr:to>
      <xdr:col>5</xdr:col>
      <xdr:colOff>1656521</xdr:colOff>
      <xdr:row>753</xdr:row>
      <xdr:rowOff>181232</xdr:rowOff>
    </xdr:to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8" y="223589022"/>
          <a:ext cx="1499153" cy="2558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612913</xdr:colOff>
      <xdr:row>757</xdr:row>
      <xdr:rowOff>273326</xdr:rowOff>
    </xdr:from>
    <xdr:to>
      <xdr:col>5</xdr:col>
      <xdr:colOff>1482587</xdr:colOff>
      <xdr:row>762</xdr:row>
      <xdr:rowOff>214546</xdr:rowOff>
    </xdr:to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4" y="227349326"/>
          <a:ext cx="1565413" cy="1514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91108</xdr:colOff>
      <xdr:row>758</xdr:row>
      <xdr:rowOff>124239</xdr:rowOff>
    </xdr:from>
    <xdr:to>
      <xdr:col>5</xdr:col>
      <xdr:colOff>1018760</xdr:colOff>
      <xdr:row>761</xdr:row>
      <xdr:rowOff>66260</xdr:rowOff>
    </xdr:to>
    <xdr:grpSp>
      <xdr:nvGrpSpPr>
        <xdr:cNvPr id="168" name="Group 167"/>
        <xdr:cNvGrpSpPr/>
      </xdr:nvGrpSpPr>
      <xdr:grpSpPr>
        <a:xfrm>
          <a:off x="3139108" y="227514978"/>
          <a:ext cx="927652" cy="886239"/>
          <a:chOff x="3536674" y="35201087"/>
          <a:chExt cx="1076739" cy="927652"/>
        </a:xfrm>
      </xdr:grpSpPr>
      <xdr:sp macro="" textlink="">
        <xdr:nvSpPr>
          <xdr:cNvPr id="169" name="Rectangle 168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0" name="Straight Connector 169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" name="Straight Connector 170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Straight Connector 171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Straight Connector 172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Straight Connector 173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Straight Connector 174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505239</xdr:colOff>
      <xdr:row>768</xdr:row>
      <xdr:rowOff>223630</xdr:rowOff>
    </xdr:from>
    <xdr:to>
      <xdr:col>5</xdr:col>
      <xdr:colOff>1432892</xdr:colOff>
      <xdr:row>773</xdr:row>
      <xdr:rowOff>220959</xdr:rowOff>
    </xdr:to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30612673"/>
          <a:ext cx="1623392" cy="157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8292</xdr:colOff>
      <xdr:row>769</xdr:row>
      <xdr:rowOff>82833</xdr:rowOff>
    </xdr:from>
    <xdr:to>
      <xdr:col>5</xdr:col>
      <xdr:colOff>935944</xdr:colOff>
      <xdr:row>772</xdr:row>
      <xdr:rowOff>66261</xdr:rowOff>
    </xdr:to>
    <xdr:grpSp>
      <xdr:nvGrpSpPr>
        <xdr:cNvPr id="177" name="Group 176"/>
        <xdr:cNvGrpSpPr/>
      </xdr:nvGrpSpPr>
      <xdr:grpSpPr>
        <a:xfrm>
          <a:off x="3056292" y="230786616"/>
          <a:ext cx="927652" cy="927645"/>
          <a:chOff x="3536674" y="35201087"/>
          <a:chExt cx="1076739" cy="927652"/>
        </a:xfrm>
      </xdr:grpSpPr>
      <xdr:sp macro="" textlink="">
        <xdr:nvSpPr>
          <xdr:cNvPr id="178" name="Rectangle 177"/>
          <xdr:cNvSpPr/>
        </xdr:nvSpPr>
        <xdr:spPr>
          <a:xfrm>
            <a:off x="3536674" y="35201087"/>
            <a:ext cx="1068456" cy="927652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9" name="Straight Connector 178"/>
          <xdr:cNvCxnSpPr/>
        </xdr:nvCxnSpPr>
        <xdr:spPr>
          <a:xfrm>
            <a:off x="3544957" y="353170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Straight Connector 179"/>
          <xdr:cNvCxnSpPr/>
        </xdr:nvCxnSpPr>
        <xdr:spPr>
          <a:xfrm>
            <a:off x="3544957" y="35466130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Straight Connector 180"/>
          <xdr:cNvCxnSpPr/>
        </xdr:nvCxnSpPr>
        <xdr:spPr>
          <a:xfrm>
            <a:off x="3544957" y="35606934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" name="Straight Connector 181"/>
          <xdr:cNvCxnSpPr/>
        </xdr:nvCxnSpPr>
        <xdr:spPr>
          <a:xfrm>
            <a:off x="3544957" y="35756021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" name="Straight Connector 182"/>
          <xdr:cNvCxnSpPr/>
        </xdr:nvCxnSpPr>
        <xdr:spPr>
          <a:xfrm>
            <a:off x="3544957" y="35888543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" name="Straight Connector 183"/>
          <xdr:cNvCxnSpPr/>
        </xdr:nvCxnSpPr>
        <xdr:spPr>
          <a:xfrm>
            <a:off x="3544957" y="36029347"/>
            <a:ext cx="1068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198781</xdr:colOff>
      <xdr:row>779</xdr:row>
      <xdr:rowOff>8282</xdr:rowOff>
    </xdr:from>
    <xdr:to>
      <xdr:col>5</xdr:col>
      <xdr:colOff>1686772</xdr:colOff>
      <xdr:row>785</xdr:row>
      <xdr:rowOff>140803</xdr:rowOff>
    </xdr:to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1" y="233710369"/>
          <a:ext cx="1487991" cy="2020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356151</xdr:colOff>
      <xdr:row>789</xdr:row>
      <xdr:rowOff>157369</xdr:rowOff>
    </xdr:from>
    <xdr:to>
      <xdr:col>6</xdr:col>
      <xdr:colOff>165652</xdr:colOff>
      <xdr:row>796</xdr:row>
      <xdr:rowOff>197497</xdr:rowOff>
    </xdr:to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412" y="236857760"/>
          <a:ext cx="2484783" cy="2243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679172</xdr:colOff>
      <xdr:row>801</xdr:row>
      <xdr:rowOff>24848</xdr:rowOff>
    </xdr:from>
    <xdr:to>
      <xdr:col>5</xdr:col>
      <xdr:colOff>1764194</xdr:colOff>
      <xdr:row>806</xdr:row>
      <xdr:rowOff>148958</xdr:rowOff>
    </xdr:to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3" y="240353022"/>
          <a:ext cx="1780761" cy="1697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231912</xdr:colOff>
      <xdr:row>812</xdr:row>
      <xdr:rowOff>24848</xdr:rowOff>
    </xdr:from>
    <xdr:to>
      <xdr:col>6</xdr:col>
      <xdr:colOff>275375</xdr:colOff>
      <xdr:row>818</xdr:row>
      <xdr:rowOff>157370</xdr:rowOff>
    </xdr:to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173" y="243666065"/>
          <a:ext cx="2718745" cy="2020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2.5</v>
      </c>
      <c r="E23" s="175"/>
      <c r="F23" s="159">
        <f>'Final Summary'!E35</f>
        <v>1656.9340779084671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8" sqref="R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ABPL-DE-19.20-2169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Ravi Varma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43701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43701</v>
      </c>
    </row>
    <row r="5" spans="2:16">
      <c r="B5" s="218"/>
      <c r="C5" s="539" t="s">
        <v>168</v>
      </c>
      <c r="D5" s="539"/>
      <c r="E5" s="539"/>
      <c r="F5" s="540" t="str">
        <f>QUOTATION!F9</f>
        <v xml:space="preserve">Mr. Jagadish : 8008103070 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Pradeep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White Powder Coating</v>
      </c>
      <c r="G6" s="539"/>
      <c r="H6" s="539"/>
      <c r="I6" s="541" t="s">
        <v>177</v>
      </c>
      <c r="J6" s="541"/>
      <c r="K6" s="540" t="str">
        <f>QUOTATION!I10</f>
        <v>White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FG</v>
      </c>
      <c r="F8" s="288" t="s">
        <v>254</v>
      </c>
      <c r="G8" s="540" t="str">
        <f>'BD Team'!D9</f>
        <v>FIXED GLASS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 - SERVANT 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White 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White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861 X 1270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M940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20MM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SW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 - STAIRCASE STILT MID LANDING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White 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White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1803 X 1292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20MM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SW1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FF - RECEPTION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White 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White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3743 X 1295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20MM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SW2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FF - CONFERENCE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White 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White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2443 X 1295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20MM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FG1</v>
      </c>
      <c r="F52" s="288" t="s">
        <v>254</v>
      </c>
      <c r="G52" s="540" t="str">
        <f>'BD Team'!D13</f>
        <v>FIXED GLASS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FF - CONFERENCE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White 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White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1527 X 1291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M940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20MM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NO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FG2</v>
      </c>
      <c r="F63" s="288" t="s">
        <v>254</v>
      </c>
      <c r="G63" s="540" t="str">
        <f>'BD Team'!D14</f>
        <v>FIXED GLASS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FF - HALL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White 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White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1561 X 1328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M940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20MM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FG3</v>
      </c>
      <c r="F74" s="288" t="s">
        <v>254</v>
      </c>
      <c r="G74" s="540" t="str">
        <f>'BD Team'!D15</f>
        <v>FIXED GLASS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FF - HALL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White 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White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1565 X 1340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M940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20MM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FG4</v>
      </c>
      <c r="F85" s="288" t="s">
        <v>254</v>
      </c>
      <c r="G85" s="540" t="str">
        <f>'BD Team'!D16</f>
        <v>FIXED GLASS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FF - DINING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White 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White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1560 X 1334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M940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20MM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FG5</v>
      </c>
      <c r="F96" s="288" t="s">
        <v>254</v>
      </c>
      <c r="G96" s="540" t="str">
        <f>'BD Team'!D17</f>
        <v>FIXED GLASS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FF - KITCHEN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White 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White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1556 X 1327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M940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20MM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SW3</v>
      </c>
      <c r="F107" s="288" t="s">
        <v>254</v>
      </c>
      <c r="G107" s="540" t="str">
        <f>'BD Team'!D18</f>
        <v>3 TRACK 2 SHUTTER SLIDING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FF - KITCHEN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White 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White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1377 X 904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M900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20MM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V</v>
      </c>
      <c r="F118" s="288" t="s">
        <v>254</v>
      </c>
      <c r="G118" s="540" t="str">
        <f>'BD Team'!D19</f>
        <v>Z LOUVERS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FF - STORE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White 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White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653 X 590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M940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NA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V1</v>
      </c>
      <c r="F129" s="288" t="s">
        <v>254</v>
      </c>
      <c r="G129" s="540" t="str">
        <f>'BD Team'!D20</f>
        <v>Z LOUVERS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FF - MD TOILET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White 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White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573 X 563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M940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NA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NO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SW4</v>
      </c>
      <c r="F140" s="288" t="s">
        <v>254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FF - MD ROOM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White 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White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2477 X 1333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20MM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SW5</v>
      </c>
      <c r="F151" s="288" t="s">
        <v>254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FF - MD ROOM 2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White 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White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2477 X 1324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M900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20MM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SW6</v>
      </c>
      <c r="F162" s="288" t="s">
        <v>254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FF - MD ROOM 3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White 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White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1861 X 1333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M900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20MM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SS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SW7</v>
      </c>
      <c r="F173" s="288" t="s">
        <v>254</v>
      </c>
      <c r="G173" s="540" t="str">
        <f>'BD Team'!D24</f>
        <v>3 TRACK 2 SHUTTER SLIDING WINDOW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FF - 4TH ROOM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White 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White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917 X 1299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M900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20MM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SS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V2</v>
      </c>
      <c r="F184" s="288" t="s">
        <v>254</v>
      </c>
      <c r="G184" s="540" t="str">
        <f>'BD Team'!D25</f>
        <v>Z LOUVERS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FF - TOILET 1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White 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White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571 X 561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M940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NA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NO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V3</v>
      </c>
      <c r="F195" s="288" t="s">
        <v>254</v>
      </c>
      <c r="G195" s="540" t="str">
        <f>'BD Team'!D26</f>
        <v>Z LOUVERS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FF - TOILET 2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White 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White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573 X 563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M940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NA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FG6</v>
      </c>
      <c r="F206" s="288" t="s">
        <v>254</v>
      </c>
      <c r="G206" s="540" t="str">
        <f>'BD Team'!D27</f>
        <v>FIXED GLASS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FF - SERVANT ROOM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White 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White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864 X 1270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M940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20MM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SW8</v>
      </c>
      <c r="F217" s="288" t="s">
        <v>254</v>
      </c>
      <c r="G217" s="540" t="str">
        <f>'BD Team'!D28</f>
        <v>3 TRACK 2 SHUTTER SLIDING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FF - STAIRCASE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White 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White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1841 X 1249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M900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20MM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SS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SW9</v>
      </c>
      <c r="F228" s="288" t="s">
        <v>254</v>
      </c>
      <c r="G228" s="540" t="str">
        <f>'BD Team'!D29</f>
        <v>3 TRACK 2 SHUTTER SLIDING WINDOW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SF - RECEPTION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White 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White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3735 X 1296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M900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20MM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SS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SW10</v>
      </c>
      <c r="F239" s="288" t="s">
        <v>254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SF - CONFERENCE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White 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White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2442 X 1294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M900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20MM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FG7</v>
      </c>
      <c r="F250" s="288" t="s">
        <v>254</v>
      </c>
      <c r="G250" s="540" t="str">
        <f>'BD Team'!D31</f>
        <v>FIXED GLASS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SF - CONFERENCE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White 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White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1521 X 1295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M940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20MM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FG8</v>
      </c>
      <c r="F261" s="288" t="s">
        <v>254</v>
      </c>
      <c r="G261" s="540" t="str">
        <f>'BD Team'!D32</f>
        <v>FIXED GLASS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SF - HALL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White 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White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1557 X 1332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M940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20MM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NO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FG9</v>
      </c>
      <c r="F272" s="288" t="s">
        <v>254</v>
      </c>
      <c r="G272" s="540" t="str">
        <f>'BD Team'!D33</f>
        <v>FIXED GLASS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SF - HALL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White 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White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1558 X 1332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M940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20MM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FG10</v>
      </c>
      <c r="F283" s="288" t="s">
        <v>254</v>
      </c>
      <c r="G283" s="540" t="str">
        <f>'BD Team'!D34</f>
        <v>FIXED GLASS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SF - HALL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White 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White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1561 X 1334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M940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20MM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NO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 t="str">
        <f>'BD Team'!B35</f>
        <v>FG11</v>
      </c>
      <c r="F294" s="288" t="s">
        <v>254</v>
      </c>
      <c r="G294" s="540" t="str">
        <f>'BD Team'!D35</f>
        <v>FIXED GLASS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SF - KITCHEN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White 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White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>1553 X 1338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1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 t="str">
        <f>'BD Team'!C35</f>
        <v>M940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 t="str">
        <f>'BD Team'!E35</f>
        <v>20MM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 t="str">
        <f>'BD Team'!F35</f>
        <v>NO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 t="str">
        <f>'BD Team'!B36</f>
        <v>SW11</v>
      </c>
      <c r="F305" s="288" t="s">
        <v>254</v>
      </c>
      <c r="G305" s="540" t="str">
        <f>'BD Team'!D36</f>
        <v>3 TRACK 2 SHUTTER SLIDING WINDOW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SF - KITCHEN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White 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White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>2464 X 1323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1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 t="str">
        <f>'BD Team'!C36</f>
        <v>M900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 t="str">
        <f>'BD Team'!E36</f>
        <v>20MM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 t="str">
        <f>'BD Team'!F36</f>
        <v>SS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 t="str">
        <f>'BD Team'!B37</f>
        <v>V4</v>
      </c>
      <c r="F316" s="288" t="s">
        <v>254</v>
      </c>
      <c r="G316" s="540" t="str">
        <f>'BD Team'!D37</f>
        <v>Z LOUVERS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 t="str">
        <f>'BD Team'!G37</f>
        <v>FF - MD TOILET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White 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White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>564 X 567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1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 t="str">
        <f>'BD Team'!C37</f>
        <v>M940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 t="str">
        <f>'BD Team'!E37</f>
        <v>NA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 t="str">
        <f>'BD Team'!F37</f>
        <v>NO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 t="str">
        <f>'BD Team'!B38</f>
        <v>SW12</v>
      </c>
      <c r="F327" s="288" t="s">
        <v>254</v>
      </c>
      <c r="G327" s="540" t="str">
        <f>'BD Team'!D38</f>
        <v>3 TRACK 2 SHUTTER SLIDING WINDOW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 t="str">
        <f>'BD Team'!G38</f>
        <v>SF - MD ROOM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White 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White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>2471 X 1334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1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 t="str">
        <f>'BD Team'!C38</f>
        <v>M900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 t="str">
        <f>'BD Team'!E38</f>
        <v>20MM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 t="str">
        <f>'BD Team'!F38</f>
        <v>SS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 t="str">
        <f>'BD Team'!B39</f>
        <v>SW13</v>
      </c>
      <c r="F338" s="288" t="s">
        <v>254</v>
      </c>
      <c r="G338" s="540" t="str">
        <f>'BD Team'!D39</f>
        <v>3 TRACK 2 SHUTTER SLIDING WINDOW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 t="str">
        <f>'BD Team'!G39</f>
        <v>SF - MD ROOM 2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White 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White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>2479 X 1328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1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 t="str">
        <f>'BD Team'!C39</f>
        <v>M900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 t="str">
        <f>'BD Team'!E39</f>
        <v>20MM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 t="str">
        <f>'BD Team'!F39</f>
        <v>SS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 t="str">
        <f>'BD Team'!B40</f>
        <v>SW14</v>
      </c>
      <c r="F349" s="288" t="s">
        <v>254</v>
      </c>
      <c r="G349" s="540" t="str">
        <f>'BD Team'!D40</f>
        <v>3 TRACK 2 SHUTTER SLIDING WINDOW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 t="str">
        <f>'BD Team'!G40</f>
        <v>SF - MD ROOM 3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White 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White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>1865 X 1340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1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 t="str">
        <f>'BD Team'!C40</f>
        <v>M900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 t="str">
        <f>'BD Team'!E40</f>
        <v>20MM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 t="str">
        <f>'BD Team'!F40</f>
        <v>SS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 t="str">
        <f>'BD Team'!B41</f>
        <v>SW15</v>
      </c>
      <c r="F360" s="288" t="s">
        <v>254</v>
      </c>
      <c r="G360" s="540" t="str">
        <f>'BD Team'!D41</f>
        <v>3 TRACK 2 SHUTTER SLIDING WINDOW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 t="str">
        <f>'BD Team'!G41</f>
        <v>SF - SMALL ROOM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White 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White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>917 X 1295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1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 t="str">
        <f>'BD Team'!C41</f>
        <v>M900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 t="str">
        <f>'BD Team'!E41</f>
        <v>20MM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 t="str">
        <f>'BD Team'!F41</f>
        <v>SS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 t="str">
        <f>'BD Team'!B42</f>
        <v>V5</v>
      </c>
      <c r="F371" s="288" t="s">
        <v>254</v>
      </c>
      <c r="G371" s="540" t="str">
        <f>'BD Team'!D42</f>
        <v>Z LOUVERS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 t="str">
        <f>'BD Team'!G42</f>
        <v>SF - TOILET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White 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White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>572 X 580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1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 t="str">
        <f>'BD Team'!C42</f>
        <v>M940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 t="str">
        <f>'BD Team'!E42</f>
        <v>NA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 t="str">
        <f>'BD Team'!F42</f>
        <v>NO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 t="str">
        <f>'BD Team'!B43</f>
        <v>V6</v>
      </c>
      <c r="F382" s="288" t="s">
        <v>254</v>
      </c>
      <c r="G382" s="540" t="str">
        <f>'BD Team'!D43</f>
        <v>Z LOUVERS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 t="str">
        <f>'BD Team'!G43</f>
        <v>SF - TOILET 2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White 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White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>581 X 575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1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 t="str">
        <f>'BD Team'!C43</f>
        <v>M940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 t="str">
        <f>'BD Team'!E43</f>
        <v>NA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 t="str">
        <f>'BD Team'!F43</f>
        <v>NO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 t="str">
        <f>'BD Team'!B44</f>
        <v>FG12</v>
      </c>
      <c r="F393" s="288" t="s">
        <v>254</v>
      </c>
      <c r="G393" s="540" t="str">
        <f>'BD Team'!D44</f>
        <v>FIXED GLASS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 t="str">
        <f>'BD Team'!G44</f>
        <v>SF - SERVANT ROOM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White 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White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>860 X 1271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1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 t="str">
        <f>'BD Team'!C44</f>
        <v>M940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 t="str">
        <f>'BD Team'!E44</f>
        <v>20MM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 t="str">
        <f>'BD Team'!F44</f>
        <v>NO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 t="str">
        <f>'BD Team'!B45</f>
        <v>SW16</v>
      </c>
      <c r="F404" s="288" t="s">
        <v>254</v>
      </c>
      <c r="G404" s="540" t="str">
        <f>'BD Team'!D45</f>
        <v>3 TRACK 2 SHUTTER SLIDING WINDOW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 t="str">
        <f>'BD Team'!G45</f>
        <v>SF - STAIRCASE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White 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White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>1841 X 1249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1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 t="str">
        <f>'BD Team'!C45</f>
        <v>M900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 t="str">
        <f>'BD Team'!E45</f>
        <v>20MM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 t="str">
        <f>'BD Team'!F45</f>
        <v>SS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 t="str">
        <f>'BD Team'!B46</f>
        <v>SW17</v>
      </c>
      <c r="F415" s="288" t="s">
        <v>254</v>
      </c>
      <c r="G415" s="540" t="str">
        <f>'BD Team'!D46</f>
        <v>3 TRACK 2 SHUTTER SLIDING WINDOW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 t="str">
        <f>'BD Team'!G46</f>
        <v>3F - KITCHEN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White 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White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>3728 X 1301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1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 t="str">
        <f>'BD Team'!C46</f>
        <v>M900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 t="str">
        <f>'BD Team'!E46</f>
        <v>20MM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 t="str">
        <f>'BD Team'!F46</f>
        <v>SS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 t="str">
        <f>'BD Team'!B47</f>
        <v>SW18</v>
      </c>
      <c r="F426" s="288" t="s">
        <v>254</v>
      </c>
      <c r="G426" s="540" t="str">
        <f>'BD Team'!D47</f>
        <v>3 TRACK 2 SHUTTER SLIDING WINDOW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 t="str">
        <f>'BD Team'!G47</f>
        <v>3F - CONFERENCE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White 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White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>2439 X 1298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1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 t="str">
        <f>'BD Team'!C47</f>
        <v>M900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 t="str">
        <f>'BD Team'!E47</f>
        <v>20MM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 t="str">
        <f>'BD Team'!F47</f>
        <v>SS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 t="str">
        <f>'BD Team'!B48</f>
        <v>FG13</v>
      </c>
      <c r="F437" s="288" t="s">
        <v>254</v>
      </c>
      <c r="G437" s="540" t="str">
        <f>'BD Team'!D48</f>
        <v>FIXED GLASS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 t="str">
        <f>'BD Team'!G48</f>
        <v>3F - CONFERENCE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White 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White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>1519 X 1295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1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 t="str">
        <f>'BD Team'!C48</f>
        <v>M940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 t="str">
        <f>'BD Team'!E48</f>
        <v>20MM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 t="str">
        <f>'BD Team'!F48</f>
        <v>NO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 t="str">
        <f>'BD Team'!B49</f>
        <v>FG14</v>
      </c>
      <c r="F448" s="288" t="s">
        <v>254</v>
      </c>
      <c r="G448" s="540" t="str">
        <f>'BD Team'!D49</f>
        <v>FIXED GLASS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 t="str">
        <f>'BD Team'!G49</f>
        <v>3F - HALL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White 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White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>1559 X 1337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1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 t="str">
        <f>'BD Team'!C49</f>
        <v>M940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 t="str">
        <f>'BD Team'!E49</f>
        <v>20MM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 t="str">
        <f>'BD Team'!F49</f>
        <v>NO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 t="str">
        <f>'BD Team'!B50</f>
        <v>FG15</v>
      </c>
      <c r="F459" s="288" t="s">
        <v>254</v>
      </c>
      <c r="G459" s="540" t="str">
        <f>'BD Team'!D50</f>
        <v>FIXED GLASS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 t="str">
        <f>'BD Team'!G50</f>
        <v>3F - HALL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White 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White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>1564 X 1331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1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 t="str">
        <f>'BD Team'!C50</f>
        <v>M940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 t="str">
        <f>'BD Team'!E50</f>
        <v>20MM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 t="str">
        <f>'BD Team'!F50</f>
        <v>NO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 t="str">
        <f>'BD Team'!B51</f>
        <v>FG16</v>
      </c>
      <c r="F470" s="288" t="s">
        <v>254</v>
      </c>
      <c r="G470" s="540" t="str">
        <f>'BD Team'!D51</f>
        <v>FIXED GLASS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 t="str">
        <f>'BD Team'!G51</f>
        <v>3F - KITCHEN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White 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White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>1564 X 1337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1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 t="str">
        <f>'BD Team'!C51</f>
        <v>M940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 t="str">
        <f>'BD Team'!E51</f>
        <v>20MM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 t="str">
        <f>'BD Team'!F51</f>
        <v>NO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 t="str">
        <f>'BD Team'!B52</f>
        <v>FG17</v>
      </c>
      <c r="F481" s="288" t="s">
        <v>254</v>
      </c>
      <c r="G481" s="540" t="str">
        <f>'BD Team'!D52</f>
        <v>FIXED GLASS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 t="str">
        <f>'BD Team'!G52</f>
        <v>3F - KITCHEN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White 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White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>1562 X 1334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1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 t="str">
        <f>'BD Team'!C52</f>
        <v>M940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 t="str">
        <f>'BD Team'!E52</f>
        <v>20MM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 t="str">
        <f>'BD Team'!F52</f>
        <v>NO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 t="str">
        <f>'BD Team'!B53</f>
        <v>SW19</v>
      </c>
      <c r="F492" s="288" t="s">
        <v>254</v>
      </c>
      <c r="G492" s="540" t="str">
        <f>'BD Team'!D53</f>
        <v>3 TRACK 2 SHUTTER SLIDING WINDOW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 t="str">
        <f>'BD Team'!G53</f>
        <v>3F - KITCHEN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White 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White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>1380 X 897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1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 t="str">
        <f>'BD Team'!C53</f>
        <v>M900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 t="str">
        <f>'BD Team'!E53</f>
        <v>20MM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 t="str">
        <f>'BD Team'!F53</f>
        <v>SS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 t="str">
        <f>'BD Team'!B54</f>
        <v>V7</v>
      </c>
      <c r="F503" s="288" t="s">
        <v>254</v>
      </c>
      <c r="G503" s="540" t="str">
        <f>'BD Team'!D54</f>
        <v>Z LOUVERS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 t="str">
        <f>'BD Team'!G54</f>
        <v>3F - STORE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White 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White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>646 X 592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1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 t="str">
        <f>'BD Team'!C54</f>
        <v>M940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 t="str">
        <f>'BD Team'!E54</f>
        <v>NA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 t="str">
        <f>'BD Team'!F54</f>
        <v>NO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 t="str">
        <f>'BD Team'!B55</f>
        <v>V8</v>
      </c>
      <c r="F514" s="288" t="s">
        <v>254</v>
      </c>
      <c r="G514" s="540" t="str">
        <f>'BD Team'!D55</f>
        <v>Z LOUVERS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 t="str">
        <f>'BD Team'!G55</f>
        <v>3F - MD TOILET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White 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White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>573 X 567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1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 t="str">
        <f>'BD Team'!C55</f>
        <v>M940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 t="str">
        <f>'BD Team'!E55</f>
        <v>NA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 t="str">
        <f>'BD Team'!F55</f>
        <v>NO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 t="str">
        <f>'BD Team'!B56</f>
        <v>SW20</v>
      </c>
      <c r="F525" s="288" t="s">
        <v>254</v>
      </c>
      <c r="G525" s="540" t="str">
        <f>'BD Team'!D56</f>
        <v>3 TRACK 2 SHUTTER SLIDING WINDOW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 t="str">
        <f>'BD Team'!G56</f>
        <v>3F - MD ROOM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White 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White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>2475 X 1341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1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 t="str">
        <f>'BD Team'!C56</f>
        <v>M900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 t="str">
        <f>'BD Team'!E56</f>
        <v>20MM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 t="str">
        <f>'BD Team'!F56</f>
        <v>SS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 t="str">
        <f>'BD Team'!B57</f>
        <v>SW21</v>
      </c>
      <c r="F536" s="288" t="s">
        <v>254</v>
      </c>
      <c r="G536" s="540" t="str">
        <f>'BD Team'!D57</f>
        <v>3 TRACK 2 SHUTTER SLIDING WINDOW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 t="str">
        <f>'BD Team'!G57</f>
        <v>3F - MD ROOM 2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White 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White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>2447 X 1332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1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 t="str">
        <f>'BD Team'!C57</f>
        <v>M900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 t="str">
        <f>'BD Team'!E57</f>
        <v>20MM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 t="str">
        <f>'BD Team'!F57</f>
        <v>SS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 t="str">
        <f>'BD Team'!B58</f>
        <v>SW22</v>
      </c>
      <c r="F547" s="288" t="s">
        <v>254</v>
      </c>
      <c r="G547" s="540" t="str">
        <f>'BD Team'!D58</f>
        <v>3 TRACK 2 SHUTTER SLIDING WINDOW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 t="str">
        <f>'BD Team'!G58</f>
        <v>3F - MD ROOM 3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White 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White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>1858 X 1338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1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 t="str">
        <f>'BD Team'!C58</f>
        <v>M900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 t="str">
        <f>'BD Team'!E58</f>
        <v>20MM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 t="str">
        <f>'BD Team'!F58</f>
        <v>SS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 t="str">
        <f>'BD Team'!B59</f>
        <v>SW23</v>
      </c>
      <c r="F558" s="288" t="s">
        <v>254</v>
      </c>
      <c r="G558" s="543" t="str">
        <f>'BD Team'!D59</f>
        <v>3 TRACK 2 SHUTTER SLIDING WINDOW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 t="str">
        <f>'BD Team'!G59</f>
        <v>3F - SMALL ROOM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White 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White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>911 X 1295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1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 t="str">
        <f>'BD Team'!C59</f>
        <v>M900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 t="str">
        <f>'BD Team'!E59</f>
        <v>20MM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 t="str">
        <f>'BD Team'!F59</f>
        <v>SS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 t="str">
        <f>'BD Team'!B60</f>
        <v>V9</v>
      </c>
      <c r="F569" s="288" t="s">
        <v>254</v>
      </c>
      <c r="G569" s="543" t="str">
        <f>'BD Team'!D60</f>
        <v>Z LOUVERS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 t="str">
        <f>'BD Team'!G60</f>
        <v>3F - TOILET 1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White 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White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>566 X 566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1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 t="str">
        <f>'BD Team'!C60</f>
        <v>M940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 t="str">
        <f>'BD Team'!E60</f>
        <v>NA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 t="str">
        <f>'BD Team'!F60</f>
        <v>NO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 t="str">
        <f>'BD Team'!B61</f>
        <v>V10</v>
      </c>
      <c r="F580" s="288" t="s">
        <v>254</v>
      </c>
      <c r="G580" s="543" t="str">
        <f>'BD Team'!D61</f>
        <v>Z LOUVERS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 t="str">
        <f>'BD Team'!G61</f>
        <v>3F - TOILET 2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White 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White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>571 X 565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1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 t="str">
        <f>'BD Team'!C61</f>
        <v>M940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 t="str">
        <f>'BD Team'!E61</f>
        <v>NA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 t="str">
        <f>'BD Team'!F61</f>
        <v>NO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 t="str">
        <f>'BD Team'!B62</f>
        <v>FG18</v>
      </c>
      <c r="F591" s="288" t="s">
        <v>254</v>
      </c>
      <c r="G591" s="543" t="str">
        <f>'BD Team'!D62</f>
        <v>FIXED GLASS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 t="str">
        <f>'BD Team'!G62</f>
        <v>3F - SERVANT ROOM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White 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White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>865 X 1269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1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 t="str">
        <f>'BD Team'!C62</f>
        <v>M940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 t="str">
        <f>'BD Team'!E62</f>
        <v>20MM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 t="str">
        <f>'BD Team'!F62</f>
        <v>NO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 t="str">
        <f>'BD Team'!B63</f>
        <v>SW24</v>
      </c>
      <c r="F602" s="288" t="s">
        <v>254</v>
      </c>
      <c r="G602" s="543" t="str">
        <f>'BD Team'!D63</f>
        <v>3 TRACK 2 SHUTTER SLIDING WINDOW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 t="str">
        <f>'BD Team'!G63</f>
        <v>3F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White 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White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>1842 X 1253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1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 t="str">
        <f>'BD Team'!C63</f>
        <v>M900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 t="str">
        <f>'BD Team'!E63</f>
        <v>20MM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 t="str">
        <f>'BD Team'!F63</f>
        <v>SS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 t="str">
        <f>'BD Team'!B64</f>
        <v>SW25</v>
      </c>
      <c r="F613" s="288" t="s">
        <v>254</v>
      </c>
      <c r="G613" s="543" t="str">
        <f>'BD Team'!D64</f>
        <v>3 TRACK 2 SHUTTER SLIDING WINDOW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 t="str">
        <f>'BD Team'!G64</f>
        <v>4F - RECEPTION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White 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White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>3730 X 1295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1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 t="str">
        <f>'BD Team'!C64</f>
        <v>M900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 t="str">
        <f>'BD Team'!E64</f>
        <v>20MM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 t="str">
        <f>'BD Team'!F64</f>
        <v>SS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 t="str">
        <f>'BD Team'!B65</f>
        <v>SW26</v>
      </c>
      <c r="F624" s="288" t="s">
        <v>254</v>
      </c>
      <c r="G624" s="543" t="str">
        <f>'BD Team'!D65</f>
        <v>3 TRACK 2 SHUTTER SLIDING WINDOW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 t="str">
        <f>'BD Team'!G65</f>
        <v>4F - CONFERENCE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White 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White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>2441 X 1301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1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 t="str">
        <f>'BD Team'!C65</f>
        <v>M900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 t="str">
        <f>'BD Team'!E65</f>
        <v>20MM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 t="str">
        <f>'BD Team'!F65</f>
        <v>SS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 t="str">
        <f>'BD Team'!B66</f>
        <v>FG19</v>
      </c>
      <c r="F635" s="288" t="s">
        <v>254</v>
      </c>
      <c r="G635" s="543" t="str">
        <f>'BD Team'!D66</f>
        <v>FIXED GLASS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 t="str">
        <f>'BD Team'!G66</f>
        <v>4F - CONFERENCE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White 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White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>1524 X 1294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1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 t="str">
        <f>'BD Team'!C66</f>
        <v>M940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 t="str">
        <f>'BD Team'!E66</f>
        <v>20MM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 t="str">
        <f>'BD Team'!F66</f>
        <v>NO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 t="str">
        <f>'BD Team'!B67</f>
        <v>FG20</v>
      </c>
      <c r="F646" s="288" t="s">
        <v>254</v>
      </c>
      <c r="G646" s="543" t="str">
        <f>'BD Team'!D67</f>
        <v>FIXED GLASS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 t="str">
        <f>'BD Team'!G67</f>
        <v>4F - HALL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White 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White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>1564 X 1337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1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 t="str">
        <f>'BD Team'!C67</f>
        <v>M940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 t="str">
        <f>'BD Team'!E67</f>
        <v>20MM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 t="str">
        <f>'BD Team'!F67</f>
        <v>NO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 t="str">
        <f>'BD Team'!B68</f>
        <v>FG21</v>
      </c>
      <c r="F657" s="288" t="s">
        <v>254</v>
      </c>
      <c r="G657" s="543" t="str">
        <f>'BD Team'!D68</f>
        <v>FIXED GLASS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 t="str">
        <f>'BD Team'!G68</f>
        <v>4F - HALL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White 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White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>1564 X 1336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1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 t="str">
        <f>'BD Team'!C68</f>
        <v>M940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 t="str">
        <f>'BD Team'!E68</f>
        <v>20MM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 t="str">
        <f>'BD Team'!F68</f>
        <v>NO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 t="str">
        <f>'BD Team'!B69</f>
        <v>FG22</v>
      </c>
      <c r="F668" s="288" t="s">
        <v>254</v>
      </c>
      <c r="G668" s="543" t="str">
        <f>'BD Team'!D69</f>
        <v>FIXED GLASS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 t="str">
        <f>'BD Team'!G69</f>
        <v>4F - HALL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White 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White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>1563 X 1340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1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 t="str">
        <f>'BD Team'!C69</f>
        <v>M940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 t="str">
        <f>'BD Team'!E69</f>
        <v>20MM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 t="str">
        <f>'BD Team'!F69</f>
        <v>NO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 t="str">
        <f>'BD Team'!B70</f>
        <v>FG23</v>
      </c>
      <c r="F679" s="288" t="s">
        <v>254</v>
      </c>
      <c r="G679" s="543" t="str">
        <f>'BD Team'!D70</f>
        <v>FIXED GLASS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 t="str">
        <f>'BD Team'!G70</f>
        <v>4F - KITCHEN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White 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White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>1562 X 1336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1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 t="str">
        <f>'BD Team'!C70</f>
        <v>M940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 t="str">
        <f>'BD Team'!E70</f>
        <v>20MM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 t="str">
        <f>'BD Team'!F70</f>
        <v>NO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 t="str">
        <f>'BD Team'!B71</f>
        <v>SW27</v>
      </c>
      <c r="F690" s="288" t="s">
        <v>254</v>
      </c>
      <c r="G690" s="543" t="str">
        <f>'BD Team'!D71</f>
        <v>3 TRACK 2 SHUTTER SLIDING WINDOW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 t="str">
        <f>'BD Team'!G71</f>
        <v>4F - KITCHEN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White 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White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>2461 X 1326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1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 t="str">
        <f>'BD Team'!C71</f>
        <v>M900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 t="str">
        <f>'BD Team'!E71</f>
        <v>20MM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 t="str">
        <f>'BD Team'!F71</f>
        <v>SS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 t="str">
        <f>'BD Team'!B72</f>
        <v>V11</v>
      </c>
      <c r="F701" s="288" t="s">
        <v>254</v>
      </c>
      <c r="G701" s="543" t="str">
        <f>'BD Team'!D72</f>
        <v>Z LOUVERS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 t="str">
        <f>'BD Team'!G72</f>
        <v>4F - MD TOILET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White 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White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>568 X 576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1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 t="str">
        <f>'BD Team'!C72</f>
        <v>M940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 t="str">
        <f>'BD Team'!E72</f>
        <v>NA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 t="str">
        <f>'BD Team'!F72</f>
        <v>NO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 t="str">
        <f>'BD Team'!B73</f>
        <v>SW28</v>
      </c>
      <c r="F712" s="288" t="s">
        <v>254</v>
      </c>
      <c r="G712" s="543" t="str">
        <f>'BD Team'!D73</f>
        <v>3 TRACK 2 SHUTTER SLIDING WINDOW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 t="str">
        <f>'BD Team'!G73</f>
        <v>4F - MD ROOM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White 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White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>2483 X 1335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1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 t="str">
        <f>'BD Team'!C73</f>
        <v>M900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 t="str">
        <f>'BD Team'!E73</f>
        <v>20MM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 t="str">
        <f>'BD Team'!F73</f>
        <v>SS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 t="str">
        <f>'BD Team'!B74</f>
        <v>SW29</v>
      </c>
      <c r="F723" s="288" t="s">
        <v>254</v>
      </c>
      <c r="G723" s="543" t="str">
        <f>'BD Team'!D74</f>
        <v>3 TRACK 2 SHUTTER SLIDING WINDOW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 t="str">
        <f>'BD Team'!G74</f>
        <v>4F - MD ROOM 2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White 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White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>2481 X 1335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1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 t="str">
        <f>'BD Team'!C74</f>
        <v>M900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 t="str">
        <f>'BD Team'!E74</f>
        <v>20MM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 t="str">
        <f>'BD Team'!F74</f>
        <v>SS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 t="str">
        <f>'BD Team'!B75</f>
        <v>SW30</v>
      </c>
      <c r="F734" s="288" t="s">
        <v>254</v>
      </c>
      <c r="G734" s="543" t="str">
        <f>'BD Team'!D75</f>
        <v>3 TRACK 2 SHUTTER SLIDING WINDOW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 t="str">
        <f>'BD Team'!G75</f>
        <v>4F - MD ROOM 3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White 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White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>1865 X 1334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1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 t="str">
        <f>'BD Team'!C75</f>
        <v>M900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 t="str">
        <f>'BD Team'!E75</f>
        <v>20MM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 t="str">
        <f>'BD Team'!F75</f>
        <v>SS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 t="str">
        <f>'BD Team'!B76</f>
        <v>SW31</v>
      </c>
      <c r="F745" s="288" t="s">
        <v>254</v>
      </c>
      <c r="G745" s="543" t="str">
        <f>'BD Team'!D76</f>
        <v>3 TRACK 2 SHUTTER SLIDING WINDOW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 t="str">
        <f>'BD Team'!G76</f>
        <v>4F - SMALL ROOM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White 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White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>914 X 1295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1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 t="str">
        <f>'BD Team'!C76</f>
        <v>M900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 t="str">
        <f>'BD Team'!E76</f>
        <v>20MM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 t="str">
        <f>'BD Team'!F76</f>
        <v>SS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 t="str">
        <f>'BD Team'!B77</f>
        <v>V12</v>
      </c>
      <c r="F756" s="288" t="s">
        <v>254</v>
      </c>
      <c r="G756" s="543" t="str">
        <f>'BD Team'!D77</f>
        <v>Z LOUVERS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 t="str">
        <f>'BD Team'!G77</f>
        <v>4F - TOILET 1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White 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White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>570 X 569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1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 t="str">
        <f>'BD Team'!C77</f>
        <v>M940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 t="str">
        <f>'BD Team'!E77</f>
        <v>NA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 t="str">
        <f>'BD Team'!F77</f>
        <v>NO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 t="str">
        <f>'BD Team'!B78</f>
        <v>V13</v>
      </c>
      <c r="F767" s="288" t="s">
        <v>254</v>
      </c>
      <c r="G767" s="543" t="str">
        <f>'BD Team'!D78</f>
        <v>Z LOUVERS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 t="str">
        <f>'BD Team'!G78</f>
        <v>4F - TOILET 2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White 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White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>572 X 568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1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 t="str">
        <f>'BD Team'!C78</f>
        <v>M940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 t="str">
        <f>'BD Team'!E78</f>
        <v>NA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 t="str">
        <f>'BD Team'!F78</f>
        <v>NO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 t="str">
        <f>'BD Team'!B79</f>
        <v>FG24</v>
      </c>
      <c r="F778" s="288" t="s">
        <v>254</v>
      </c>
      <c r="G778" s="543" t="str">
        <f>'BD Team'!D79</f>
        <v>FIXED GLASS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 t="str">
        <f>'BD Team'!G79</f>
        <v>4F - SERVANT ROOM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White 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White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>865 X 1267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1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 t="str">
        <f>'BD Team'!C79</f>
        <v>M940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 t="str">
        <f>'BD Team'!E79</f>
        <v>20MM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 t="str">
        <f>'BD Team'!F79</f>
        <v>NO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 t="str">
        <f>'BD Team'!B80</f>
        <v>SW32</v>
      </c>
      <c r="F789" s="288" t="s">
        <v>254</v>
      </c>
      <c r="G789" s="543" t="str">
        <f>'BD Team'!D80</f>
        <v>3 TRACK 2 SHUTTER SLIDING WINDOW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 t="str">
        <f>'BD Team'!G80</f>
        <v>4F - STAIRCASE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White 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White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>1844 X 1201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1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 t="str">
        <f>'BD Team'!C80</f>
        <v>M900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 t="str">
        <f>'BD Team'!E80</f>
        <v>20MM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 t="str">
        <f>'BD Team'!F80</f>
        <v>SS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 t="str">
        <f>'BD Team'!B81</f>
        <v>FG25</v>
      </c>
      <c r="F800" s="288" t="s">
        <v>254</v>
      </c>
      <c r="G800" s="543" t="str">
        <f>'BD Team'!D81</f>
        <v>FIXED GLASS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 t="str">
        <f>'BD Team'!G81</f>
        <v>BF - SERVANT ROOM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White 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White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>866 X 816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1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 t="str">
        <f>'BD Team'!C81</f>
        <v>M940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 t="str">
        <f>'BD Team'!E81</f>
        <v>20MM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 t="str">
        <f>'BD Team'!F81</f>
        <v>NO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 t="str">
        <f>'BD Team'!B82</f>
        <v>SW33</v>
      </c>
      <c r="F811" s="288" t="s">
        <v>254</v>
      </c>
      <c r="G811" s="543" t="str">
        <f>'BD Team'!D82</f>
        <v>3 TRACK 2 SHUTTER SLIDING WINDOW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 t="str">
        <f>'BD Team'!G82</f>
        <v>BF - STAIRCASE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White 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White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>1809 X 819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1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 t="str">
        <f>'BD Team'!C82</f>
        <v>M900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 t="str">
        <f>'BD Team'!E82</f>
        <v>20MM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 t="str">
        <f>'BD Team'!F82</f>
        <v>SS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White 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White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White 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White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White 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White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White 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White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White 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White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White 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White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White 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White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White 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White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White 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White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White 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White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White 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White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White 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White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White 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White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White 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White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White 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White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White 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White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White 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White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White 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White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White 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White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White 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White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White 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White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White 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White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White 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White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White 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White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White 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White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White 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White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1356</v>
      </c>
    </row>
    <row r="5" spans="3:5">
      <c r="C5" s="236" t="s">
        <v>395</v>
      </c>
      <c r="D5" s="236" t="s">
        <v>393</v>
      </c>
      <c r="E5" s="309">
        <f>ROUND(Pricing!U104,0.1)/40</f>
        <v>40.674999999999997</v>
      </c>
    </row>
    <row r="6" spans="3:5">
      <c r="C6" s="236" t="s">
        <v>83</v>
      </c>
      <c r="D6" s="236" t="s">
        <v>392</v>
      </c>
      <c r="E6" s="309">
        <f>ROUND(Pricing!V104,0.1)</f>
        <v>85</v>
      </c>
    </row>
    <row r="7" spans="3:5">
      <c r="C7" s="236" t="s">
        <v>399</v>
      </c>
      <c r="D7" s="236" t="s">
        <v>391</v>
      </c>
      <c r="E7" s="309">
        <f>ROUND(Pricing!W104,0.1)</f>
        <v>1356</v>
      </c>
    </row>
    <row r="8" spans="3:5">
      <c r="C8" s="236" t="s">
        <v>396</v>
      </c>
      <c r="D8" s="236" t="s">
        <v>391</v>
      </c>
      <c r="E8" s="309">
        <f>ROUND(Pricing!X104,0.1)</f>
        <v>2712</v>
      </c>
    </row>
    <row r="9" spans="3:5">
      <c r="C9" t="s">
        <v>222</v>
      </c>
      <c r="D9" s="236" t="s">
        <v>394</v>
      </c>
      <c r="E9" s="309">
        <f>ROUND(Pricing!Y104,0.1)</f>
        <v>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5"/>
  <sheetViews>
    <sheetView topLeftCell="A60" workbookViewId="0">
      <selection activeCell="A217" sqref="A76:XFD217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FG</v>
      </c>
      <c r="B2" s="318" t="str">
        <f>'BD Team'!C9</f>
        <v>M940</v>
      </c>
      <c r="C2" s="318" t="str">
        <f>'BD Team'!D9</f>
        <v>FIXED GLASS</v>
      </c>
      <c r="D2" s="318" t="str">
        <f>'BD Team'!E9</f>
        <v>20MM</v>
      </c>
      <c r="E2" s="318" t="str">
        <f>'BD Team'!G9</f>
        <v>GF - SERVANT ROOM</v>
      </c>
      <c r="F2" s="318" t="str">
        <f>'BD Team'!F9</f>
        <v>NO</v>
      </c>
      <c r="I2" s="318">
        <f>'BD Team'!H9</f>
        <v>861</v>
      </c>
      <c r="J2" s="318">
        <f>'BD Team'!I9</f>
        <v>1270</v>
      </c>
      <c r="K2" s="318">
        <f>'BD Team'!J9</f>
        <v>1</v>
      </c>
      <c r="L2" s="319">
        <f>'BD Team'!K9</f>
        <v>23.28</v>
      </c>
      <c r="M2" s="318">
        <f>Pricing!O4</f>
        <v>2538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SW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20MM</v>
      </c>
      <c r="E3" s="318" t="str">
        <f>'BD Team'!G10</f>
        <v>GF - STAIRCASE STILT MID LANDING</v>
      </c>
      <c r="F3" s="318" t="str">
        <f>'BD Team'!F10</f>
        <v>SS</v>
      </c>
      <c r="I3" s="318">
        <f>'BD Team'!H10</f>
        <v>1803</v>
      </c>
      <c r="J3" s="318">
        <f>'BD Team'!I10</f>
        <v>1292</v>
      </c>
      <c r="K3" s="318">
        <f>'BD Team'!J10</f>
        <v>1</v>
      </c>
      <c r="L3" s="319">
        <f>'BD Team'!K10</f>
        <v>93.77</v>
      </c>
      <c r="M3" s="318">
        <f>Pricing!O5</f>
        <v>2538</v>
      </c>
      <c r="N3" s="318">
        <f>Pricing!Q5</f>
        <v>376.73999999999995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SW1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FF - RECEPTION</v>
      </c>
      <c r="F4" s="318" t="str">
        <f>'BD Team'!F11</f>
        <v>SS</v>
      </c>
      <c r="I4" s="318">
        <f>'BD Team'!H11</f>
        <v>3743</v>
      </c>
      <c r="J4" s="318">
        <f>'BD Team'!I11</f>
        <v>1295</v>
      </c>
      <c r="K4" s="318">
        <f>'BD Team'!J11</f>
        <v>1</v>
      </c>
      <c r="L4" s="319">
        <f>'BD Team'!K11</f>
        <v>151.25</v>
      </c>
      <c r="M4" s="318">
        <f>Pricing!O6</f>
        <v>2538</v>
      </c>
      <c r="N4" s="318">
        <f>Pricing!Q6</f>
        <v>376.73999999999995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SW2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20MM</v>
      </c>
      <c r="E5" s="318" t="str">
        <f>'BD Team'!G12</f>
        <v>FF - CONFERENCE</v>
      </c>
      <c r="F5" s="318" t="str">
        <f>'BD Team'!F12</f>
        <v>SS</v>
      </c>
      <c r="I5" s="318">
        <f>'BD Team'!H12</f>
        <v>2443</v>
      </c>
      <c r="J5" s="318">
        <f>'BD Team'!I12</f>
        <v>1295</v>
      </c>
      <c r="K5" s="318">
        <f>'BD Team'!J12</f>
        <v>1</v>
      </c>
      <c r="L5" s="319">
        <f>'BD Team'!K12</f>
        <v>105.45</v>
      </c>
      <c r="M5" s="318">
        <f>Pricing!O7</f>
        <v>2538</v>
      </c>
      <c r="N5" s="318">
        <f>Pricing!Q7</f>
        <v>376.73999999999995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FG1</v>
      </c>
      <c r="B6" s="318" t="str">
        <f>'BD Team'!C13</f>
        <v>M940</v>
      </c>
      <c r="C6" s="318" t="str">
        <f>'BD Team'!D13</f>
        <v>FIXED GLASS</v>
      </c>
      <c r="D6" s="318" t="str">
        <f>'BD Team'!E13</f>
        <v>20MM</v>
      </c>
      <c r="E6" s="318" t="str">
        <f>'BD Team'!G13</f>
        <v>FF - CONFERENCE</v>
      </c>
      <c r="F6" s="318" t="str">
        <f>'BD Team'!F13</f>
        <v>NO</v>
      </c>
      <c r="I6" s="318">
        <f>'BD Team'!H13</f>
        <v>1527</v>
      </c>
      <c r="J6" s="318">
        <f>'BD Team'!I13</f>
        <v>1291</v>
      </c>
      <c r="K6" s="318">
        <f>'BD Team'!J13</f>
        <v>1</v>
      </c>
      <c r="L6" s="319">
        <f>'BD Team'!K13</f>
        <v>30.54</v>
      </c>
      <c r="M6" s="318">
        <f>Pricing!O8</f>
        <v>2538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FG2</v>
      </c>
      <c r="B7" s="318" t="str">
        <f>'BD Team'!C14</f>
        <v>M940</v>
      </c>
      <c r="C7" s="318" t="str">
        <f>'BD Team'!D14</f>
        <v>FIXED GLASS</v>
      </c>
      <c r="D7" s="318" t="str">
        <f>'BD Team'!E14</f>
        <v>20MM</v>
      </c>
      <c r="E7" s="318" t="str">
        <f>'BD Team'!G14</f>
        <v>FF - HALL</v>
      </c>
      <c r="F7" s="318" t="str">
        <f>'BD Team'!F14</f>
        <v>NO</v>
      </c>
      <c r="I7" s="318">
        <f>'BD Team'!H14</f>
        <v>1561</v>
      </c>
      <c r="J7" s="318">
        <f>'BD Team'!I14</f>
        <v>1328</v>
      </c>
      <c r="K7" s="318">
        <f>'BD Team'!J14</f>
        <v>1</v>
      </c>
      <c r="L7" s="319">
        <f>'BD Team'!K14</f>
        <v>31.28</v>
      </c>
      <c r="M7" s="318">
        <f>Pricing!O9</f>
        <v>2538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FG3</v>
      </c>
      <c r="B8" s="318" t="str">
        <f>'BD Team'!C15</f>
        <v>M940</v>
      </c>
      <c r="C8" s="318" t="str">
        <f>'BD Team'!D15</f>
        <v>FIXED GLASS</v>
      </c>
      <c r="D8" s="318" t="str">
        <f>'BD Team'!E15</f>
        <v>20MM</v>
      </c>
      <c r="E8" s="318" t="str">
        <f>'BD Team'!G15</f>
        <v>FF - HALL</v>
      </c>
      <c r="F8" s="318" t="str">
        <f>'BD Team'!F15</f>
        <v>NO</v>
      </c>
      <c r="I8" s="318">
        <f>'BD Team'!H15</f>
        <v>1565</v>
      </c>
      <c r="J8" s="318">
        <f>'BD Team'!I15</f>
        <v>1340</v>
      </c>
      <c r="K8" s="318">
        <f>'BD Team'!J15</f>
        <v>1</v>
      </c>
      <c r="L8" s="319">
        <f>'BD Team'!K15</f>
        <v>31.45</v>
      </c>
      <c r="M8" s="318">
        <f>Pricing!O10</f>
        <v>2538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FG4</v>
      </c>
      <c r="B9" s="318" t="str">
        <f>'BD Team'!C16</f>
        <v>M940</v>
      </c>
      <c r="C9" s="318" t="str">
        <f>'BD Team'!D16</f>
        <v>FIXED GLASS</v>
      </c>
      <c r="D9" s="318" t="str">
        <f>'BD Team'!E16</f>
        <v>20MM</v>
      </c>
      <c r="E9" s="318" t="str">
        <f>'BD Team'!G16</f>
        <v>FF - DINING</v>
      </c>
      <c r="F9" s="318" t="str">
        <f>'BD Team'!F16</f>
        <v>NO</v>
      </c>
      <c r="I9" s="318">
        <f>'BD Team'!H16</f>
        <v>1560</v>
      </c>
      <c r="J9" s="318">
        <f>'BD Team'!I16</f>
        <v>1334</v>
      </c>
      <c r="K9" s="318">
        <f>'BD Team'!J16</f>
        <v>1</v>
      </c>
      <c r="L9" s="319">
        <f>'BD Team'!K16</f>
        <v>31.34</v>
      </c>
      <c r="M9" s="318">
        <f>Pricing!O11</f>
        <v>2538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FG5</v>
      </c>
      <c r="B10" s="318" t="str">
        <f>'BD Team'!C17</f>
        <v>M940</v>
      </c>
      <c r="C10" s="318" t="str">
        <f>'BD Team'!D17</f>
        <v>FIXED GLASS</v>
      </c>
      <c r="D10" s="318" t="str">
        <f>'BD Team'!E17</f>
        <v>20MM</v>
      </c>
      <c r="E10" s="318" t="str">
        <f>'BD Team'!G17</f>
        <v>FF - KITCHEN</v>
      </c>
      <c r="F10" s="318" t="str">
        <f>'BD Team'!F17</f>
        <v>NO</v>
      </c>
      <c r="I10" s="318">
        <f>'BD Team'!H17</f>
        <v>1556</v>
      </c>
      <c r="J10" s="318">
        <f>'BD Team'!I17</f>
        <v>1327</v>
      </c>
      <c r="K10" s="318">
        <f>'BD Team'!J17</f>
        <v>1</v>
      </c>
      <c r="L10" s="319">
        <f>'BD Team'!K17</f>
        <v>31.22</v>
      </c>
      <c r="M10" s="318">
        <f>Pricing!O12</f>
        <v>2538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SW3</v>
      </c>
      <c r="B11" s="318" t="str">
        <f>'BD Team'!C18</f>
        <v>M900</v>
      </c>
      <c r="C11" s="318" t="str">
        <f>'BD Team'!D18</f>
        <v>3 TRACK 2 SHUTTER SLIDING WINDOW</v>
      </c>
      <c r="D11" s="318" t="str">
        <f>'BD Team'!E18</f>
        <v>20MM</v>
      </c>
      <c r="E11" s="318" t="str">
        <f>'BD Team'!G18</f>
        <v>FF - KITCHEN</v>
      </c>
      <c r="F11" s="318" t="str">
        <f>'BD Team'!F18</f>
        <v>SS</v>
      </c>
      <c r="I11" s="318">
        <f>'BD Team'!H18</f>
        <v>1377</v>
      </c>
      <c r="J11" s="318">
        <f>'BD Team'!I18</f>
        <v>904</v>
      </c>
      <c r="K11" s="318">
        <f>'BD Team'!J18</f>
        <v>1</v>
      </c>
      <c r="L11" s="319">
        <f>'BD Team'!K18</f>
        <v>74.14</v>
      </c>
      <c r="M11" s="318">
        <f>Pricing!O13</f>
        <v>2538</v>
      </c>
      <c r="N11" s="318">
        <f>Pricing!Q13</f>
        <v>376.73999999999995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</v>
      </c>
      <c r="B12" s="318" t="str">
        <f>'BD Team'!C19</f>
        <v>M940</v>
      </c>
      <c r="C12" s="318" t="str">
        <f>'BD Team'!D19</f>
        <v>Z LOUVERS</v>
      </c>
      <c r="D12" s="318" t="str">
        <f>'BD Team'!E19</f>
        <v>NA</v>
      </c>
      <c r="E12" s="318" t="str">
        <f>'BD Team'!G19</f>
        <v>FF - STORE</v>
      </c>
      <c r="F12" s="318" t="str">
        <f>'BD Team'!F19</f>
        <v>NO</v>
      </c>
      <c r="I12" s="318">
        <f>'BD Team'!H19</f>
        <v>653</v>
      </c>
      <c r="J12" s="318">
        <f>'BD Team'!I19</f>
        <v>590</v>
      </c>
      <c r="K12" s="318">
        <f>'BD Team'!J19</f>
        <v>1</v>
      </c>
      <c r="L12" s="319">
        <f>'BD Team'!K19</f>
        <v>28.96</v>
      </c>
      <c r="M12" s="318">
        <f>Pricing!O14</f>
        <v>0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V1</v>
      </c>
      <c r="B13" s="318" t="str">
        <f>'BD Team'!C20</f>
        <v>M940</v>
      </c>
      <c r="C13" s="318" t="str">
        <f>'BD Team'!D20</f>
        <v>Z LOUVERS</v>
      </c>
      <c r="D13" s="318" t="str">
        <f>'BD Team'!E20</f>
        <v>NA</v>
      </c>
      <c r="E13" s="318" t="str">
        <f>'BD Team'!G20</f>
        <v>FF - MD TOILET</v>
      </c>
      <c r="F13" s="318" t="str">
        <f>'BD Team'!F20</f>
        <v>NO</v>
      </c>
      <c r="I13" s="318">
        <f>'BD Team'!H20</f>
        <v>573</v>
      </c>
      <c r="J13" s="318">
        <f>'BD Team'!I20</f>
        <v>563</v>
      </c>
      <c r="K13" s="318">
        <f>'BD Team'!J20</f>
        <v>1</v>
      </c>
      <c r="L13" s="319">
        <f>'BD Team'!K20</f>
        <v>27.83</v>
      </c>
      <c r="M13" s="318">
        <f>Pricing!O15</f>
        <v>0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SW4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20MM</v>
      </c>
      <c r="E14" s="318" t="str">
        <f>'BD Team'!G21</f>
        <v>FF - MD ROOM</v>
      </c>
      <c r="F14" s="318" t="str">
        <f>'BD Team'!F21</f>
        <v>SS</v>
      </c>
      <c r="I14" s="318">
        <f>'BD Team'!H21</f>
        <v>2477</v>
      </c>
      <c r="J14" s="318">
        <f>'BD Team'!I21</f>
        <v>1333</v>
      </c>
      <c r="K14" s="318">
        <f>'BD Team'!J21</f>
        <v>1</v>
      </c>
      <c r="L14" s="319">
        <f>'BD Team'!K21</f>
        <v>107.22999999999999</v>
      </c>
      <c r="M14" s="318">
        <f>Pricing!O16</f>
        <v>2538</v>
      </c>
      <c r="N14" s="318">
        <f>Pricing!Q16</f>
        <v>376.73999999999995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SW5</v>
      </c>
      <c r="B15" s="318" t="str">
        <f>'BD Team'!C22</f>
        <v>M900</v>
      </c>
      <c r="C15" s="318" t="str">
        <f>'BD Team'!D22</f>
        <v>3 TRACK 2 SHUTTER SLIDING WINDOW</v>
      </c>
      <c r="D15" s="318" t="str">
        <f>'BD Team'!E22</f>
        <v>20MM</v>
      </c>
      <c r="E15" s="318" t="str">
        <f>'BD Team'!G22</f>
        <v>FF - MD ROOM 2</v>
      </c>
      <c r="F15" s="318" t="str">
        <f>'BD Team'!F22</f>
        <v>SS</v>
      </c>
      <c r="I15" s="318">
        <f>'BD Team'!H22</f>
        <v>2477</v>
      </c>
      <c r="J15" s="318">
        <f>'BD Team'!I22</f>
        <v>1324</v>
      </c>
      <c r="K15" s="318">
        <f>'BD Team'!J22</f>
        <v>1</v>
      </c>
      <c r="L15" s="319">
        <f>'BD Team'!K22</f>
        <v>106.96000000000001</v>
      </c>
      <c r="M15" s="318">
        <f>Pricing!O17</f>
        <v>2538</v>
      </c>
      <c r="N15" s="318">
        <f>Pricing!Q17</f>
        <v>376.73999999999995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SW6</v>
      </c>
      <c r="B16" s="318" t="str">
        <f>'BD Team'!C23</f>
        <v>M900</v>
      </c>
      <c r="C16" s="318" t="str">
        <f>'BD Team'!D23</f>
        <v>3 TRACK 2 SHUTTER SLIDING WINDOW</v>
      </c>
      <c r="D16" s="318" t="str">
        <f>'BD Team'!E23</f>
        <v>20MM</v>
      </c>
      <c r="E16" s="318" t="str">
        <f>'BD Team'!G23</f>
        <v>FF - MD ROOM 3</v>
      </c>
      <c r="F16" s="318" t="str">
        <f>'BD Team'!F23</f>
        <v>SS</v>
      </c>
      <c r="I16" s="318">
        <f>'BD Team'!H23</f>
        <v>1861</v>
      </c>
      <c r="J16" s="318">
        <f>'BD Team'!I23</f>
        <v>1333</v>
      </c>
      <c r="K16" s="318">
        <f>'BD Team'!J23</f>
        <v>1</v>
      </c>
      <c r="L16" s="319">
        <f>'BD Team'!K23</f>
        <v>96.08</v>
      </c>
      <c r="M16" s="318">
        <f>Pricing!O18</f>
        <v>2538</v>
      </c>
      <c r="N16" s="318">
        <f>Pricing!Q18</f>
        <v>376.73999999999995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SW7</v>
      </c>
      <c r="B17" s="318" t="str">
        <f>'BD Team'!C24</f>
        <v>M900</v>
      </c>
      <c r="C17" s="318" t="str">
        <f>'BD Team'!D24</f>
        <v>3 TRACK 2 SHUTTER SLIDING WINDOW</v>
      </c>
      <c r="D17" s="318" t="str">
        <f>'BD Team'!E24</f>
        <v>20MM</v>
      </c>
      <c r="E17" s="318" t="str">
        <f>'BD Team'!G24</f>
        <v>FF - 4TH ROOM</v>
      </c>
      <c r="F17" s="318" t="str">
        <f>'BD Team'!F24</f>
        <v>SS</v>
      </c>
      <c r="I17" s="318">
        <f>'BD Team'!H24</f>
        <v>917</v>
      </c>
      <c r="J17" s="318">
        <f>'BD Team'!I24</f>
        <v>1299</v>
      </c>
      <c r="K17" s="318">
        <f>'BD Team'!J24</f>
        <v>1</v>
      </c>
      <c r="L17" s="319">
        <f>'BD Team'!K24</f>
        <v>77.930000000000007</v>
      </c>
      <c r="M17" s="318">
        <f>Pricing!O19</f>
        <v>2538</v>
      </c>
      <c r="N17" s="318">
        <f>Pricing!Q19</f>
        <v>376.73999999999995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V2</v>
      </c>
      <c r="B18" s="318" t="str">
        <f>'BD Team'!C25</f>
        <v>M940</v>
      </c>
      <c r="C18" s="318" t="str">
        <f>'BD Team'!D25</f>
        <v>Z LOUVERS</v>
      </c>
      <c r="D18" s="318" t="str">
        <f>'BD Team'!E25</f>
        <v>NA</v>
      </c>
      <c r="E18" s="318" t="str">
        <f>'BD Team'!G25</f>
        <v>FF - TOILET 1</v>
      </c>
      <c r="F18" s="318" t="str">
        <f>'BD Team'!F25</f>
        <v>NO</v>
      </c>
      <c r="I18" s="318">
        <f>'BD Team'!H25</f>
        <v>571</v>
      </c>
      <c r="J18" s="318">
        <f>'BD Team'!I25</f>
        <v>561</v>
      </c>
      <c r="K18" s="318">
        <f>'BD Team'!J25</f>
        <v>1</v>
      </c>
      <c r="L18" s="319">
        <f>'BD Team'!K25</f>
        <v>27.79</v>
      </c>
      <c r="M18" s="318">
        <f>Pricing!O20</f>
        <v>0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V3</v>
      </c>
      <c r="B19" s="318" t="str">
        <f>'BD Team'!C26</f>
        <v>M940</v>
      </c>
      <c r="C19" s="318" t="str">
        <f>'BD Team'!D26</f>
        <v>Z LOUVERS</v>
      </c>
      <c r="D19" s="318" t="str">
        <f>'BD Team'!E26</f>
        <v>NA</v>
      </c>
      <c r="E19" s="318" t="str">
        <f>'BD Team'!G26</f>
        <v>FF - TOILET 2</v>
      </c>
      <c r="F19" s="318" t="str">
        <f>'BD Team'!F26</f>
        <v>NO</v>
      </c>
      <c r="I19" s="318">
        <f>'BD Team'!H26</f>
        <v>573</v>
      </c>
      <c r="J19" s="318">
        <f>'BD Team'!I26</f>
        <v>563</v>
      </c>
      <c r="K19" s="318">
        <f>'BD Team'!J26</f>
        <v>1</v>
      </c>
      <c r="L19" s="319">
        <f>'BD Team'!K26</f>
        <v>27.83</v>
      </c>
      <c r="M19" s="318">
        <f>Pricing!O21</f>
        <v>0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FG6</v>
      </c>
      <c r="B20" s="318" t="str">
        <f>'BD Team'!C27</f>
        <v>M940</v>
      </c>
      <c r="C20" s="318" t="str">
        <f>'BD Team'!D27</f>
        <v>FIXED GLASS</v>
      </c>
      <c r="D20" s="318" t="str">
        <f>'BD Team'!E27</f>
        <v>20MM</v>
      </c>
      <c r="E20" s="318" t="str">
        <f>'BD Team'!G27</f>
        <v>FF - SERVANT ROOM</v>
      </c>
      <c r="F20" s="318" t="str">
        <f>'BD Team'!F27</f>
        <v>NO</v>
      </c>
      <c r="I20" s="318">
        <f>'BD Team'!H27</f>
        <v>864</v>
      </c>
      <c r="J20" s="318">
        <f>'BD Team'!I27</f>
        <v>1270</v>
      </c>
      <c r="K20" s="318">
        <f>'BD Team'!J27</f>
        <v>1</v>
      </c>
      <c r="L20" s="319">
        <f>'BD Team'!K27</f>
        <v>23.31</v>
      </c>
      <c r="M20" s="318">
        <f>Pricing!O22</f>
        <v>2538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SW8</v>
      </c>
      <c r="B21" s="318" t="str">
        <f>'BD Team'!C28</f>
        <v>M900</v>
      </c>
      <c r="C21" s="318" t="str">
        <f>'BD Team'!D28</f>
        <v>3 TRACK 2 SHUTTER SLIDING WINDOW</v>
      </c>
      <c r="D21" s="318" t="str">
        <f>'BD Team'!E28</f>
        <v>20MM</v>
      </c>
      <c r="E21" s="318" t="str">
        <f>'BD Team'!G28</f>
        <v>FF - STAIRCASE</v>
      </c>
      <c r="F21" s="318" t="str">
        <f>'BD Team'!F28</f>
        <v>SS</v>
      </c>
      <c r="I21" s="318">
        <f>'BD Team'!H28</f>
        <v>1841</v>
      </c>
      <c r="J21" s="318">
        <f>'BD Team'!I28</f>
        <v>1249</v>
      </c>
      <c r="K21" s="318">
        <f>'BD Team'!J28</f>
        <v>1</v>
      </c>
      <c r="L21" s="319">
        <f>'BD Team'!K28</f>
        <v>93.13</v>
      </c>
      <c r="M21" s="318">
        <f>Pricing!O23</f>
        <v>2538</v>
      </c>
      <c r="N21" s="318">
        <f>Pricing!Q23</f>
        <v>376.73999999999995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SW9</v>
      </c>
      <c r="B22" s="318" t="str">
        <f>'BD Team'!C29</f>
        <v>M900</v>
      </c>
      <c r="C22" s="318" t="str">
        <f>'BD Team'!D29</f>
        <v>3 TRACK 2 SHUTTER SLIDING WINDOW</v>
      </c>
      <c r="D22" s="318" t="str">
        <f>'BD Team'!E29</f>
        <v>20MM</v>
      </c>
      <c r="E22" s="318" t="str">
        <f>'BD Team'!G29</f>
        <v>SF - RECEPTION</v>
      </c>
      <c r="F22" s="318" t="str">
        <f>'BD Team'!F29</f>
        <v>SS</v>
      </c>
      <c r="I22" s="318">
        <f>'BD Team'!H29</f>
        <v>3735</v>
      </c>
      <c r="J22" s="318">
        <f>'BD Team'!I29</f>
        <v>1296</v>
      </c>
      <c r="K22" s="318">
        <f>'BD Team'!J29</f>
        <v>1</v>
      </c>
      <c r="L22" s="319">
        <f>'BD Team'!K29</f>
        <v>128.88</v>
      </c>
      <c r="M22" s="318">
        <f>Pricing!O24</f>
        <v>2538</v>
      </c>
      <c r="N22" s="318">
        <f>Pricing!Q24</f>
        <v>376.73999999999995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SW10</v>
      </c>
      <c r="B23" s="318" t="str">
        <f>'BD Team'!C30</f>
        <v>M900</v>
      </c>
      <c r="C23" s="318" t="str">
        <f>'BD Team'!D30</f>
        <v>3 TRACK 2 SHUTTER SLIDING WINDOW</v>
      </c>
      <c r="D23" s="318" t="str">
        <f>'BD Team'!E30</f>
        <v>20MM</v>
      </c>
      <c r="E23" s="318" t="str">
        <f>'BD Team'!G30</f>
        <v>SF - CONFERENCE</v>
      </c>
      <c r="F23" s="318" t="str">
        <f>'BD Team'!F30</f>
        <v>SS</v>
      </c>
      <c r="I23" s="318">
        <f>'BD Team'!H30</f>
        <v>2442</v>
      </c>
      <c r="J23" s="318">
        <f>'BD Team'!I30</f>
        <v>1294</v>
      </c>
      <c r="K23" s="318">
        <f>'BD Team'!J30</f>
        <v>1</v>
      </c>
      <c r="L23" s="319">
        <f>'BD Team'!K30</f>
        <v>105.41</v>
      </c>
      <c r="M23" s="318">
        <f>Pricing!O25</f>
        <v>2538</v>
      </c>
      <c r="N23" s="318">
        <f>Pricing!Q25</f>
        <v>376.73999999999995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FG7</v>
      </c>
      <c r="B24" s="318" t="str">
        <f>'BD Team'!C31</f>
        <v>M940</v>
      </c>
      <c r="C24" s="318" t="str">
        <f>'BD Team'!D31</f>
        <v>FIXED GLASS</v>
      </c>
      <c r="D24" s="318" t="str">
        <f>'BD Team'!E31</f>
        <v>20MM</v>
      </c>
      <c r="E24" s="318" t="str">
        <f>'BD Team'!G31</f>
        <v>SF - CONFERENCE</v>
      </c>
      <c r="F24" s="318" t="str">
        <f>'BD Team'!F31</f>
        <v>NO</v>
      </c>
      <c r="I24" s="318">
        <f>'BD Team'!H31</f>
        <v>1521</v>
      </c>
      <c r="J24" s="318">
        <f>'BD Team'!I31</f>
        <v>1295</v>
      </c>
      <c r="K24" s="318">
        <f>'BD Team'!J31</f>
        <v>1</v>
      </c>
      <c r="L24" s="319">
        <f>'BD Team'!K31</f>
        <v>30.52</v>
      </c>
      <c r="M24" s="318">
        <f>Pricing!O26</f>
        <v>2538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FG8</v>
      </c>
      <c r="B25" s="318" t="str">
        <f>'BD Team'!C32</f>
        <v>M940</v>
      </c>
      <c r="C25" s="318" t="str">
        <f>'BD Team'!D32</f>
        <v>FIXED GLASS</v>
      </c>
      <c r="D25" s="318" t="str">
        <f>'BD Team'!E32</f>
        <v>20MM</v>
      </c>
      <c r="E25" s="318" t="str">
        <f>'BD Team'!G32</f>
        <v>SF - HALL</v>
      </c>
      <c r="F25" s="318" t="str">
        <f>'BD Team'!F32</f>
        <v>NO</v>
      </c>
      <c r="I25" s="318">
        <f>'BD Team'!H32</f>
        <v>1557</v>
      </c>
      <c r="J25" s="318">
        <f>'BD Team'!I32</f>
        <v>1332</v>
      </c>
      <c r="K25" s="318">
        <f>'BD Team'!J32</f>
        <v>1</v>
      </c>
      <c r="L25" s="319">
        <f>'BD Team'!K32</f>
        <v>31.28</v>
      </c>
      <c r="M25" s="318">
        <f>Pricing!O27</f>
        <v>2538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FG9</v>
      </c>
      <c r="B26" s="318" t="str">
        <f>'BD Team'!C33</f>
        <v>M940</v>
      </c>
      <c r="C26" s="318" t="str">
        <f>'BD Team'!D33</f>
        <v>FIXED GLASS</v>
      </c>
      <c r="D26" s="318" t="str">
        <f>'BD Team'!E33</f>
        <v>20MM</v>
      </c>
      <c r="E26" s="318" t="str">
        <f>'BD Team'!G33</f>
        <v>SF - HALL</v>
      </c>
      <c r="F26" s="318" t="str">
        <f>'BD Team'!F33</f>
        <v>NO</v>
      </c>
      <c r="I26" s="318">
        <f>'BD Team'!H33</f>
        <v>1558</v>
      </c>
      <c r="J26" s="318">
        <f>'BD Team'!I33</f>
        <v>1332</v>
      </c>
      <c r="K26" s="318">
        <f>'BD Team'!J33</f>
        <v>1</v>
      </c>
      <c r="L26" s="319">
        <f>'BD Team'!K33</f>
        <v>31.3</v>
      </c>
      <c r="M26" s="318">
        <f>Pricing!O28</f>
        <v>2538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FG10</v>
      </c>
      <c r="B27" s="318" t="str">
        <f>'BD Team'!C34</f>
        <v>M940</v>
      </c>
      <c r="C27" s="318" t="str">
        <f>'BD Team'!D34</f>
        <v>FIXED GLASS</v>
      </c>
      <c r="D27" s="318" t="str">
        <f>'BD Team'!E34</f>
        <v>20MM</v>
      </c>
      <c r="E27" s="318" t="str">
        <f>'BD Team'!G34</f>
        <v>SF - HALL</v>
      </c>
      <c r="F27" s="318" t="str">
        <f>'BD Team'!F34</f>
        <v>NO</v>
      </c>
      <c r="I27" s="318">
        <f>'BD Team'!H34</f>
        <v>1561</v>
      </c>
      <c r="J27" s="318">
        <f>'BD Team'!I34</f>
        <v>1334</v>
      </c>
      <c r="K27" s="318">
        <f>'BD Team'!J34</f>
        <v>1</v>
      </c>
      <c r="L27" s="319">
        <f>'BD Team'!K34</f>
        <v>31.35</v>
      </c>
      <c r="M27" s="318">
        <f>Pricing!O29</f>
        <v>2538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FG11</v>
      </c>
      <c r="B28" s="318" t="str">
        <f>'BD Team'!C35</f>
        <v>M940</v>
      </c>
      <c r="C28" s="318" t="str">
        <f>'BD Team'!D35</f>
        <v>FIXED GLASS</v>
      </c>
      <c r="D28" s="318" t="str">
        <f>'BD Team'!E35</f>
        <v>20MM</v>
      </c>
      <c r="E28" s="318" t="str">
        <f>'BD Team'!G35</f>
        <v>SF - KITCHEN</v>
      </c>
      <c r="F28" s="318" t="str">
        <f>'BD Team'!F35</f>
        <v>NO</v>
      </c>
      <c r="I28" s="318">
        <f>'BD Team'!H35</f>
        <v>1553</v>
      </c>
      <c r="J28" s="318">
        <f>'BD Team'!I35</f>
        <v>1338</v>
      </c>
      <c r="K28" s="318">
        <f>'BD Team'!J35</f>
        <v>1</v>
      </c>
      <c r="L28" s="319">
        <f>'BD Team'!K35</f>
        <v>31.31</v>
      </c>
      <c r="M28" s="318">
        <f>Pricing!O30</f>
        <v>2538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SW11</v>
      </c>
      <c r="B29" s="318" t="str">
        <f>'BD Team'!C36</f>
        <v>M900</v>
      </c>
      <c r="C29" s="318" t="str">
        <f>'BD Team'!D36</f>
        <v>3 TRACK 2 SHUTTER SLIDING WINDOW</v>
      </c>
      <c r="D29" s="318" t="str">
        <f>'BD Team'!E36</f>
        <v>20MM</v>
      </c>
      <c r="E29" s="318" t="str">
        <f>'BD Team'!G36</f>
        <v>SF - KITCHEN</v>
      </c>
      <c r="F29" s="318" t="str">
        <f>'BD Team'!F36</f>
        <v>SS</v>
      </c>
      <c r="I29" s="318">
        <f>'BD Team'!H36</f>
        <v>2464</v>
      </c>
      <c r="J29" s="318">
        <f>'BD Team'!I36</f>
        <v>1323</v>
      </c>
      <c r="K29" s="318">
        <f>'BD Team'!J36</f>
        <v>1</v>
      </c>
      <c r="L29" s="319">
        <f>'BD Team'!K36</f>
        <v>128.95000000000002</v>
      </c>
      <c r="M29" s="318">
        <f>Pricing!O31</f>
        <v>2538</v>
      </c>
      <c r="N29" s="318">
        <f>Pricing!Q31</f>
        <v>376.73999999999995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V4</v>
      </c>
      <c r="B30" s="318" t="str">
        <f>'BD Team'!C37</f>
        <v>M940</v>
      </c>
      <c r="C30" s="318" t="str">
        <f>'BD Team'!D37</f>
        <v>Z LOUVERS</v>
      </c>
      <c r="D30" s="318" t="str">
        <f>'BD Team'!E37</f>
        <v>NA</v>
      </c>
      <c r="E30" s="318" t="str">
        <f>'BD Team'!G37</f>
        <v>FF - MD TOILET</v>
      </c>
      <c r="F30" s="318" t="str">
        <f>'BD Team'!F37</f>
        <v>NO</v>
      </c>
      <c r="I30" s="318">
        <f>'BD Team'!H37</f>
        <v>564</v>
      </c>
      <c r="J30" s="318">
        <f>'BD Team'!I37</f>
        <v>567</v>
      </c>
      <c r="K30" s="318">
        <f>'BD Team'!J37</f>
        <v>1</v>
      </c>
      <c r="L30" s="319">
        <f>'BD Team'!K37</f>
        <v>27.78</v>
      </c>
      <c r="M30" s="318">
        <f>Pricing!O32</f>
        <v>0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SW12</v>
      </c>
      <c r="B31" s="318" t="str">
        <f>'BD Team'!C38</f>
        <v>M900</v>
      </c>
      <c r="C31" s="318" t="str">
        <f>'BD Team'!D38</f>
        <v>3 TRACK 2 SHUTTER SLIDING WINDOW</v>
      </c>
      <c r="D31" s="318" t="str">
        <f>'BD Team'!E38</f>
        <v>20MM</v>
      </c>
      <c r="E31" s="318" t="str">
        <f>'BD Team'!G38</f>
        <v>SF - MD ROOM</v>
      </c>
      <c r="F31" s="318" t="str">
        <f>'BD Team'!F38</f>
        <v>SS</v>
      </c>
      <c r="I31" s="318">
        <f>'BD Team'!H38</f>
        <v>2471</v>
      </c>
      <c r="J31" s="318">
        <f>'BD Team'!I38</f>
        <v>1334</v>
      </c>
      <c r="K31" s="318">
        <f>'BD Team'!J38</f>
        <v>1</v>
      </c>
      <c r="L31" s="319">
        <f>'BD Team'!K38</f>
        <v>129.41</v>
      </c>
      <c r="M31" s="318">
        <f>Pricing!O33</f>
        <v>2538</v>
      </c>
      <c r="N31" s="318">
        <f>Pricing!Q33</f>
        <v>376.73999999999995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SW13</v>
      </c>
      <c r="B32" s="318" t="str">
        <f>'BD Team'!C39</f>
        <v>M900</v>
      </c>
      <c r="C32" s="318" t="str">
        <f>'BD Team'!D39</f>
        <v>3 TRACK 2 SHUTTER SLIDING WINDOW</v>
      </c>
      <c r="D32" s="318" t="str">
        <f>'BD Team'!E39</f>
        <v>20MM</v>
      </c>
      <c r="E32" s="318" t="str">
        <f>'BD Team'!G39</f>
        <v>SF - MD ROOM 2</v>
      </c>
      <c r="F32" s="318" t="str">
        <f>'BD Team'!F39</f>
        <v>SS</v>
      </c>
      <c r="I32" s="318">
        <f>'BD Team'!H39</f>
        <v>2479</v>
      </c>
      <c r="J32" s="318">
        <f>'BD Team'!I39</f>
        <v>1328</v>
      </c>
      <c r="K32" s="318">
        <f>'BD Team'!J39</f>
        <v>1</v>
      </c>
      <c r="L32" s="319">
        <f>'BD Team'!K39</f>
        <v>107.11999999999999</v>
      </c>
      <c r="M32" s="318">
        <f>Pricing!O34</f>
        <v>2538</v>
      </c>
      <c r="N32" s="318">
        <f>Pricing!Q34</f>
        <v>376.73999999999995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SW14</v>
      </c>
      <c r="B33" s="318" t="str">
        <f>'BD Team'!C40</f>
        <v>M900</v>
      </c>
      <c r="C33" s="318" t="str">
        <f>'BD Team'!D40</f>
        <v>3 TRACK 2 SHUTTER SLIDING WINDOW</v>
      </c>
      <c r="D33" s="318" t="str">
        <f>'BD Team'!E40</f>
        <v>20MM</v>
      </c>
      <c r="E33" s="318" t="str">
        <f>'BD Team'!G40</f>
        <v>SF - MD ROOM 3</v>
      </c>
      <c r="F33" s="318" t="str">
        <f>'BD Team'!F40</f>
        <v>SS</v>
      </c>
      <c r="I33" s="318">
        <f>'BD Team'!H40</f>
        <v>1865</v>
      </c>
      <c r="J33" s="318">
        <f>'BD Team'!I40</f>
        <v>1340</v>
      </c>
      <c r="K33" s="318">
        <f>'BD Team'!J40</f>
        <v>1</v>
      </c>
      <c r="L33" s="319">
        <f>'BD Team'!K40</f>
        <v>96.37</v>
      </c>
      <c r="M33" s="318">
        <f>Pricing!O35</f>
        <v>2538</v>
      </c>
      <c r="N33" s="318">
        <f>Pricing!Q35</f>
        <v>376.73999999999995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SW15</v>
      </c>
      <c r="B34" s="318" t="str">
        <f>'BD Team'!C41</f>
        <v>M900</v>
      </c>
      <c r="C34" s="318" t="str">
        <f>'BD Team'!D41</f>
        <v>3 TRACK 2 SHUTTER SLIDING WINDOW</v>
      </c>
      <c r="D34" s="318" t="str">
        <f>'BD Team'!E41</f>
        <v>20MM</v>
      </c>
      <c r="E34" s="318" t="str">
        <f>'BD Team'!G41</f>
        <v>SF - SMALL ROOM</v>
      </c>
      <c r="F34" s="318" t="str">
        <f>'BD Team'!F41</f>
        <v>SS</v>
      </c>
      <c r="I34" s="318">
        <f>'BD Team'!H41</f>
        <v>917</v>
      </c>
      <c r="J34" s="318">
        <f>'BD Team'!I41</f>
        <v>1295</v>
      </c>
      <c r="K34" s="318">
        <f>'BD Team'!J41</f>
        <v>1</v>
      </c>
      <c r="L34" s="319">
        <f>'BD Team'!K41</f>
        <v>77.81</v>
      </c>
      <c r="M34" s="318">
        <f>Pricing!O36</f>
        <v>2538</v>
      </c>
      <c r="N34" s="318">
        <f>Pricing!Q36</f>
        <v>376.73999999999995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V5</v>
      </c>
      <c r="B35" s="318" t="str">
        <f>'BD Team'!C42</f>
        <v>M940</v>
      </c>
      <c r="C35" s="318" t="str">
        <f>'BD Team'!D42</f>
        <v>Z LOUVERS</v>
      </c>
      <c r="D35" s="318" t="str">
        <f>'BD Team'!E42</f>
        <v>NA</v>
      </c>
      <c r="E35" s="318" t="str">
        <f>'BD Team'!G42</f>
        <v>SF - TOILET</v>
      </c>
      <c r="F35" s="318" t="str">
        <f>'BD Team'!F42</f>
        <v>NO</v>
      </c>
      <c r="I35" s="318">
        <f>'BD Team'!H42</f>
        <v>572</v>
      </c>
      <c r="J35" s="318">
        <f>'BD Team'!I42</f>
        <v>580</v>
      </c>
      <c r="K35" s="318">
        <f>'BD Team'!J42</f>
        <v>1</v>
      </c>
      <c r="L35" s="319">
        <f>'BD Team'!K42</f>
        <v>28</v>
      </c>
      <c r="M35" s="318">
        <f>Pricing!O37</f>
        <v>0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V6</v>
      </c>
      <c r="B36" s="318" t="str">
        <f>'BD Team'!C43</f>
        <v>M940</v>
      </c>
      <c r="C36" s="318" t="str">
        <f>'BD Team'!D43</f>
        <v>Z LOUVERS</v>
      </c>
      <c r="D36" s="318" t="str">
        <f>'BD Team'!E43</f>
        <v>NA</v>
      </c>
      <c r="E36" s="318" t="str">
        <f>'BD Team'!G43</f>
        <v>SF - TOILET 2</v>
      </c>
      <c r="F36" s="318" t="str">
        <f>'BD Team'!F43</f>
        <v>NO</v>
      </c>
      <c r="I36" s="318">
        <f>'BD Team'!H43</f>
        <v>581</v>
      </c>
      <c r="J36" s="318">
        <f>'BD Team'!I43</f>
        <v>575</v>
      </c>
      <c r="K36" s="318">
        <f>'BD Team'!J43</f>
        <v>1</v>
      </c>
      <c r="L36" s="319">
        <f>'BD Team'!K43</f>
        <v>28.04</v>
      </c>
      <c r="M36" s="318">
        <f>Pricing!O38</f>
        <v>0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FG12</v>
      </c>
      <c r="B37" s="318" t="str">
        <f>'BD Team'!C44</f>
        <v>M940</v>
      </c>
      <c r="C37" s="318" t="str">
        <f>'BD Team'!D44</f>
        <v>FIXED GLASS</v>
      </c>
      <c r="D37" s="318" t="str">
        <f>'BD Team'!E44</f>
        <v>20MM</v>
      </c>
      <c r="E37" s="318" t="str">
        <f>'BD Team'!G44</f>
        <v>SF - SERVANT ROOM</v>
      </c>
      <c r="F37" s="318" t="str">
        <f>'BD Team'!F44</f>
        <v>NO</v>
      </c>
      <c r="I37" s="318">
        <f>'BD Team'!H44</f>
        <v>860</v>
      </c>
      <c r="J37" s="318">
        <f>'BD Team'!I44</f>
        <v>1271</v>
      </c>
      <c r="K37" s="318">
        <f>'BD Team'!J44</f>
        <v>1</v>
      </c>
      <c r="L37" s="319">
        <f>'BD Team'!K44</f>
        <v>23.28</v>
      </c>
      <c r="M37" s="318">
        <f>Pricing!O39</f>
        <v>2538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SW16</v>
      </c>
      <c r="B38" s="318" t="str">
        <f>'BD Team'!C45</f>
        <v>M900</v>
      </c>
      <c r="C38" s="318" t="str">
        <f>'BD Team'!D45</f>
        <v>3 TRACK 2 SHUTTER SLIDING WINDOW</v>
      </c>
      <c r="D38" s="318" t="str">
        <f>'BD Team'!E45</f>
        <v>20MM</v>
      </c>
      <c r="E38" s="318" t="str">
        <f>'BD Team'!G45</f>
        <v>SF - STAIRCASE</v>
      </c>
      <c r="F38" s="318" t="str">
        <f>'BD Team'!F45</f>
        <v>SS</v>
      </c>
      <c r="I38" s="318">
        <f>'BD Team'!H45</f>
        <v>1841</v>
      </c>
      <c r="J38" s="318">
        <f>'BD Team'!I45</f>
        <v>1249</v>
      </c>
      <c r="K38" s="318">
        <f>'BD Team'!J45</f>
        <v>1</v>
      </c>
      <c r="L38" s="319">
        <f>'BD Team'!K45</f>
        <v>93.13</v>
      </c>
      <c r="M38" s="318">
        <f>Pricing!O40</f>
        <v>2538</v>
      </c>
      <c r="N38" s="318">
        <f>Pricing!Q40</f>
        <v>376.73999999999995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SW17</v>
      </c>
      <c r="B39" s="318" t="str">
        <f>'BD Team'!C46</f>
        <v>M900</v>
      </c>
      <c r="C39" s="318" t="str">
        <f>'BD Team'!D46</f>
        <v>3 TRACK 2 SHUTTER SLIDING WINDOW</v>
      </c>
      <c r="D39" s="318" t="str">
        <f>'BD Team'!E46</f>
        <v>20MM</v>
      </c>
      <c r="E39" s="318" t="str">
        <f>'BD Team'!G46</f>
        <v>3F - KITCHEN</v>
      </c>
      <c r="F39" s="318" t="str">
        <f>'BD Team'!F46</f>
        <v>SS</v>
      </c>
      <c r="I39" s="318">
        <f>'BD Team'!H46</f>
        <v>3728</v>
      </c>
      <c r="J39" s="318">
        <f>'BD Team'!I46</f>
        <v>1301</v>
      </c>
      <c r="K39" s="318">
        <f>'BD Team'!J46</f>
        <v>1</v>
      </c>
      <c r="L39" s="319">
        <f>'BD Team'!K46</f>
        <v>128.91</v>
      </c>
      <c r="M39" s="318">
        <f>Pricing!O41</f>
        <v>2538</v>
      </c>
      <c r="N39" s="318">
        <f>Pricing!Q41</f>
        <v>376.73999999999995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SW18</v>
      </c>
      <c r="B40" s="318" t="str">
        <f>'BD Team'!C47</f>
        <v>M900</v>
      </c>
      <c r="C40" s="318" t="str">
        <f>'BD Team'!D47</f>
        <v>3 TRACK 2 SHUTTER SLIDING WINDOW</v>
      </c>
      <c r="D40" s="318" t="str">
        <f>'BD Team'!E47</f>
        <v>20MM</v>
      </c>
      <c r="E40" s="318" t="str">
        <f>'BD Team'!G47</f>
        <v>3F - CONFERENCE</v>
      </c>
      <c r="F40" s="318" t="str">
        <f>'BD Team'!F47</f>
        <v>SS</v>
      </c>
      <c r="I40" s="318">
        <f>'BD Team'!H47</f>
        <v>2439</v>
      </c>
      <c r="J40" s="318">
        <f>'BD Team'!I47</f>
        <v>1298</v>
      </c>
      <c r="K40" s="318">
        <f>'BD Team'!J47</f>
        <v>1</v>
      </c>
      <c r="L40" s="319">
        <f>'BD Team'!K47</f>
        <v>105.47</v>
      </c>
      <c r="M40" s="318">
        <f>Pricing!O42</f>
        <v>2538</v>
      </c>
      <c r="N40" s="318">
        <f>Pricing!Q42</f>
        <v>376.73999999999995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FG13</v>
      </c>
      <c r="B41" s="318" t="str">
        <f>'BD Team'!C48</f>
        <v>M940</v>
      </c>
      <c r="C41" s="318" t="str">
        <f>'BD Team'!D48</f>
        <v>FIXED GLASS</v>
      </c>
      <c r="D41" s="318" t="str">
        <f>'BD Team'!E48</f>
        <v>20MM</v>
      </c>
      <c r="E41" s="318" t="str">
        <f>'BD Team'!G48</f>
        <v>3F - CONFERENCE</v>
      </c>
      <c r="F41" s="318" t="str">
        <f>'BD Team'!F48</f>
        <v>NO</v>
      </c>
      <c r="I41" s="318">
        <f>'BD Team'!H48</f>
        <v>1519</v>
      </c>
      <c r="J41" s="318">
        <f>'BD Team'!I48</f>
        <v>1295</v>
      </c>
      <c r="K41" s="318">
        <f>'BD Team'!J48</f>
        <v>1</v>
      </c>
      <c r="L41" s="319">
        <f>'BD Team'!K48</f>
        <v>30.5</v>
      </c>
      <c r="M41" s="318">
        <f>Pricing!O43</f>
        <v>2538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FG14</v>
      </c>
      <c r="B42" s="318" t="str">
        <f>'BD Team'!C49</f>
        <v>M940</v>
      </c>
      <c r="C42" s="318" t="str">
        <f>'BD Team'!D49</f>
        <v>FIXED GLASS</v>
      </c>
      <c r="D42" s="318" t="str">
        <f>'BD Team'!E49</f>
        <v>20MM</v>
      </c>
      <c r="E42" s="318" t="str">
        <f>'BD Team'!G49</f>
        <v>3F - HALL</v>
      </c>
      <c r="F42" s="318" t="str">
        <f>'BD Team'!F49</f>
        <v>NO</v>
      </c>
      <c r="I42" s="318">
        <f>'BD Team'!H49</f>
        <v>1559</v>
      </c>
      <c r="J42" s="318">
        <f>'BD Team'!I49</f>
        <v>1337</v>
      </c>
      <c r="K42" s="318">
        <f>'BD Team'!J49</f>
        <v>1</v>
      </c>
      <c r="L42" s="319">
        <f>'BD Team'!K49</f>
        <v>31.36</v>
      </c>
      <c r="M42" s="318">
        <f>Pricing!O44</f>
        <v>2538</v>
      </c>
      <c r="N42" s="318">
        <f>Pricing!Q44</f>
        <v>0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FG15</v>
      </c>
      <c r="B43" s="318" t="str">
        <f>'BD Team'!C50</f>
        <v>M940</v>
      </c>
      <c r="C43" s="318" t="str">
        <f>'BD Team'!D50</f>
        <v>FIXED GLASS</v>
      </c>
      <c r="D43" s="318" t="str">
        <f>'BD Team'!E50</f>
        <v>20MM</v>
      </c>
      <c r="E43" s="318" t="str">
        <f>'BD Team'!G50</f>
        <v>3F - HALL</v>
      </c>
      <c r="F43" s="318" t="str">
        <f>'BD Team'!F50</f>
        <v>NO</v>
      </c>
      <c r="I43" s="318">
        <f>'BD Team'!H50</f>
        <v>1564</v>
      </c>
      <c r="J43" s="318">
        <f>'BD Team'!I50</f>
        <v>1331</v>
      </c>
      <c r="K43" s="318">
        <f>'BD Team'!J50</f>
        <v>1</v>
      </c>
      <c r="L43" s="319">
        <f>'BD Team'!K50</f>
        <v>31.35</v>
      </c>
      <c r="M43" s="318">
        <f>Pricing!O45</f>
        <v>2538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FG16</v>
      </c>
      <c r="B44" s="318" t="str">
        <f>'BD Team'!C51</f>
        <v>M940</v>
      </c>
      <c r="C44" s="318" t="str">
        <f>'BD Team'!D51</f>
        <v>FIXED GLASS</v>
      </c>
      <c r="D44" s="318" t="str">
        <f>'BD Team'!E51</f>
        <v>20MM</v>
      </c>
      <c r="E44" s="318" t="str">
        <f>'BD Team'!G51</f>
        <v>3F - KITCHEN</v>
      </c>
      <c r="F44" s="318" t="str">
        <f>'BD Team'!F51</f>
        <v>NO</v>
      </c>
      <c r="I44" s="318">
        <f>'BD Team'!H51</f>
        <v>1564</v>
      </c>
      <c r="J44" s="318">
        <f>'BD Team'!I51</f>
        <v>1337</v>
      </c>
      <c r="K44" s="318">
        <f>'BD Team'!J51</f>
        <v>1</v>
      </c>
      <c r="L44" s="319">
        <f>'BD Team'!K51</f>
        <v>31.41</v>
      </c>
      <c r="M44" s="318">
        <f>Pricing!O46</f>
        <v>2538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FG17</v>
      </c>
      <c r="B45" s="318" t="str">
        <f>'BD Team'!C52</f>
        <v>M940</v>
      </c>
      <c r="C45" s="318" t="str">
        <f>'BD Team'!D52</f>
        <v>FIXED GLASS</v>
      </c>
      <c r="D45" s="318" t="str">
        <f>'BD Team'!E52</f>
        <v>20MM</v>
      </c>
      <c r="E45" s="318" t="str">
        <f>'BD Team'!G52</f>
        <v>3F - KITCHEN</v>
      </c>
      <c r="F45" s="318" t="str">
        <f>'BD Team'!F52</f>
        <v>NO</v>
      </c>
      <c r="I45" s="318">
        <f>'BD Team'!H52</f>
        <v>1562</v>
      </c>
      <c r="J45" s="318">
        <f>'BD Team'!I52</f>
        <v>1334</v>
      </c>
      <c r="K45" s="318">
        <f>'BD Team'!J52</f>
        <v>1</v>
      </c>
      <c r="L45" s="319">
        <f>'BD Team'!K52</f>
        <v>31.36</v>
      </c>
      <c r="M45" s="318">
        <f>Pricing!O47</f>
        <v>2538</v>
      </c>
      <c r="N45" s="318">
        <f>Pricing!Q47</f>
        <v>0</v>
      </c>
      <c r="O45" s="318">
        <f>Pricing!R47</f>
        <v>0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SW19</v>
      </c>
      <c r="B46" s="318" t="str">
        <f>'BD Team'!C53</f>
        <v>M900</v>
      </c>
      <c r="C46" s="318" t="str">
        <f>'BD Team'!D53</f>
        <v>3 TRACK 2 SHUTTER SLIDING WINDOW</v>
      </c>
      <c r="D46" s="318" t="str">
        <f>'BD Team'!E53</f>
        <v>20MM</v>
      </c>
      <c r="E46" s="318" t="str">
        <f>'BD Team'!G53</f>
        <v>3F - KITCHEN</v>
      </c>
      <c r="F46" s="318" t="str">
        <f>'BD Team'!F53</f>
        <v>SS</v>
      </c>
      <c r="I46" s="318">
        <f>'BD Team'!H53</f>
        <v>1380</v>
      </c>
      <c r="J46" s="318">
        <f>'BD Team'!I53</f>
        <v>897</v>
      </c>
      <c r="K46" s="318">
        <f>'BD Team'!J53</f>
        <v>1</v>
      </c>
      <c r="L46" s="319">
        <f>'BD Team'!K53</f>
        <v>73.98</v>
      </c>
      <c r="M46" s="318">
        <f>Pricing!O48</f>
        <v>2538</v>
      </c>
      <c r="N46" s="318">
        <f>Pricing!Q48</f>
        <v>376.73999999999995</v>
      </c>
      <c r="O46" s="318">
        <f>Pricing!R48</f>
        <v>0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V7</v>
      </c>
      <c r="B47" s="318" t="str">
        <f>'BD Team'!C54</f>
        <v>M940</v>
      </c>
      <c r="C47" s="318" t="str">
        <f>'BD Team'!D54</f>
        <v>Z LOUVERS</v>
      </c>
      <c r="D47" s="318" t="str">
        <f>'BD Team'!E54</f>
        <v>NA</v>
      </c>
      <c r="E47" s="318" t="str">
        <f>'BD Team'!G54</f>
        <v>3F - STORE</v>
      </c>
      <c r="F47" s="318" t="str">
        <f>'BD Team'!F54</f>
        <v>NO</v>
      </c>
      <c r="I47" s="318">
        <f>'BD Team'!H54</f>
        <v>646</v>
      </c>
      <c r="J47" s="318">
        <f>'BD Team'!I54</f>
        <v>592</v>
      </c>
      <c r="K47" s="318">
        <f>'BD Team'!J54</f>
        <v>1</v>
      </c>
      <c r="L47" s="319">
        <f>'BD Team'!K54</f>
        <v>28.91</v>
      </c>
      <c r="M47" s="318">
        <f>Pricing!O49</f>
        <v>0</v>
      </c>
      <c r="N47" s="318">
        <f>Pricing!Q49</f>
        <v>0</v>
      </c>
      <c r="O47" s="318">
        <f>Pricing!R49</f>
        <v>0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  <row r="48" spans="1:21">
      <c r="A48" s="318" t="str">
        <f>'BD Team'!B55</f>
        <v>V8</v>
      </c>
      <c r="B48" s="318" t="str">
        <f>'BD Team'!C55</f>
        <v>M940</v>
      </c>
      <c r="C48" s="318" t="str">
        <f>'BD Team'!D55</f>
        <v>Z LOUVERS</v>
      </c>
      <c r="D48" s="318" t="str">
        <f>'BD Team'!E55</f>
        <v>NA</v>
      </c>
      <c r="E48" s="318" t="str">
        <f>'BD Team'!G55</f>
        <v>3F - MD TOILET</v>
      </c>
      <c r="F48" s="318" t="str">
        <f>'BD Team'!F55</f>
        <v>NO</v>
      </c>
      <c r="I48" s="318">
        <f>'BD Team'!H55</f>
        <v>573</v>
      </c>
      <c r="J48" s="318">
        <f>'BD Team'!I55</f>
        <v>567</v>
      </c>
      <c r="K48" s="318">
        <f>'BD Team'!J55</f>
        <v>1</v>
      </c>
      <c r="L48" s="319">
        <f>'BD Team'!K55</f>
        <v>27.880000000000003</v>
      </c>
      <c r="M48" s="318">
        <f>Pricing!O50</f>
        <v>0</v>
      </c>
      <c r="N48" s="318">
        <f>Pricing!Q50</f>
        <v>0</v>
      </c>
      <c r="O48" s="318">
        <f>Pricing!R50</f>
        <v>0</v>
      </c>
      <c r="P48" s="318">
        <f>Pricing!S50</f>
        <v>0</v>
      </c>
      <c r="Q48" s="319">
        <f>'Cost Calculation'!L54</f>
        <v>0</v>
      </c>
      <c r="R48" s="319">
        <f>'Cost Calculation'!M54</f>
        <v>0</v>
      </c>
      <c r="S48" s="319">
        <f>'Cost Calculation'!N54</f>
        <v>0</v>
      </c>
      <c r="T48" s="318">
        <f>Pricing!P50</f>
        <v>0</v>
      </c>
      <c r="U48" s="317">
        <f>'Cost Calculation'!AC54</f>
        <v>0</v>
      </c>
    </row>
    <row r="49" spans="1:21">
      <c r="A49" s="318" t="str">
        <f>'BD Team'!B56</f>
        <v>SW20</v>
      </c>
      <c r="B49" s="318" t="str">
        <f>'BD Team'!C56</f>
        <v>M900</v>
      </c>
      <c r="C49" s="318" t="str">
        <f>'BD Team'!D56</f>
        <v>3 TRACK 2 SHUTTER SLIDING WINDOW</v>
      </c>
      <c r="D49" s="318" t="str">
        <f>'BD Team'!E56</f>
        <v>20MM</v>
      </c>
      <c r="E49" s="318" t="str">
        <f>'BD Team'!G56</f>
        <v>3F - MD ROOM</v>
      </c>
      <c r="F49" s="318" t="str">
        <f>'BD Team'!F56</f>
        <v>SS</v>
      </c>
      <c r="I49" s="318">
        <f>'BD Team'!H56</f>
        <v>2475</v>
      </c>
      <c r="J49" s="318">
        <f>'BD Team'!I56</f>
        <v>1341</v>
      </c>
      <c r="K49" s="318">
        <f>'BD Team'!J56</f>
        <v>1</v>
      </c>
      <c r="L49" s="319">
        <f>'BD Team'!K56</f>
        <v>107.44</v>
      </c>
      <c r="M49" s="318">
        <f>Pricing!O51</f>
        <v>2538</v>
      </c>
      <c r="N49" s="318">
        <f>Pricing!Q51</f>
        <v>376.73999999999995</v>
      </c>
      <c r="O49" s="318">
        <f>Pricing!R51</f>
        <v>0</v>
      </c>
      <c r="P49" s="318">
        <f>Pricing!S51</f>
        <v>0</v>
      </c>
      <c r="Q49" s="319">
        <f>'Cost Calculation'!L55</f>
        <v>0</v>
      </c>
      <c r="R49" s="319">
        <f>'Cost Calculation'!M55</f>
        <v>0</v>
      </c>
      <c r="S49" s="319">
        <f>'Cost Calculation'!N55</f>
        <v>0</v>
      </c>
      <c r="T49" s="318">
        <f>Pricing!P51</f>
        <v>0</v>
      </c>
      <c r="U49" s="317">
        <f>'Cost Calculation'!AC55</f>
        <v>0</v>
      </c>
    </row>
    <row r="50" spans="1:21">
      <c r="A50" s="318" t="str">
        <f>'BD Team'!B57</f>
        <v>SW21</v>
      </c>
      <c r="B50" s="318" t="str">
        <f>'BD Team'!C57</f>
        <v>M900</v>
      </c>
      <c r="C50" s="318" t="str">
        <f>'BD Team'!D57</f>
        <v>3 TRACK 2 SHUTTER SLIDING WINDOW</v>
      </c>
      <c r="D50" s="318" t="str">
        <f>'BD Team'!E57</f>
        <v>20MM</v>
      </c>
      <c r="E50" s="318" t="str">
        <f>'BD Team'!G57</f>
        <v>3F - MD ROOM 2</v>
      </c>
      <c r="F50" s="318" t="str">
        <f>'BD Team'!F57</f>
        <v>SS</v>
      </c>
      <c r="I50" s="318">
        <f>'BD Team'!H57</f>
        <v>2447</v>
      </c>
      <c r="J50" s="318">
        <f>'BD Team'!I57</f>
        <v>1332</v>
      </c>
      <c r="K50" s="318">
        <f>'BD Team'!J57</f>
        <v>1</v>
      </c>
      <c r="L50" s="319">
        <f>'BD Team'!K57</f>
        <v>106.66</v>
      </c>
      <c r="M50" s="318">
        <f>Pricing!O52</f>
        <v>2538</v>
      </c>
      <c r="N50" s="318">
        <f>Pricing!Q52</f>
        <v>376.73999999999995</v>
      </c>
      <c r="O50" s="318">
        <f>Pricing!R52</f>
        <v>0</v>
      </c>
      <c r="P50" s="318">
        <f>Pricing!S52</f>
        <v>0</v>
      </c>
      <c r="Q50" s="319">
        <f>'Cost Calculation'!L56</f>
        <v>0</v>
      </c>
      <c r="R50" s="319">
        <f>'Cost Calculation'!M56</f>
        <v>0</v>
      </c>
      <c r="S50" s="319">
        <f>'Cost Calculation'!N56</f>
        <v>0</v>
      </c>
      <c r="T50" s="318">
        <f>Pricing!P52</f>
        <v>0</v>
      </c>
      <c r="U50" s="317">
        <f>'Cost Calculation'!AC56</f>
        <v>0</v>
      </c>
    </row>
    <row r="51" spans="1:21">
      <c r="A51" s="318" t="str">
        <f>'BD Team'!B58</f>
        <v>SW22</v>
      </c>
      <c r="B51" s="318" t="str">
        <f>'BD Team'!C58</f>
        <v>M900</v>
      </c>
      <c r="C51" s="318" t="str">
        <f>'BD Team'!D58</f>
        <v>3 TRACK 2 SHUTTER SLIDING WINDOW</v>
      </c>
      <c r="D51" s="318" t="str">
        <f>'BD Team'!E58</f>
        <v>20MM</v>
      </c>
      <c r="E51" s="318" t="str">
        <f>'BD Team'!G58</f>
        <v>3F - MD ROOM 3</v>
      </c>
      <c r="F51" s="318" t="str">
        <f>'BD Team'!F58</f>
        <v>SS</v>
      </c>
      <c r="I51" s="318">
        <f>'BD Team'!H58</f>
        <v>1858</v>
      </c>
      <c r="J51" s="318">
        <f>'BD Team'!I58</f>
        <v>1338</v>
      </c>
      <c r="K51" s="318">
        <f>'BD Team'!J58</f>
        <v>1</v>
      </c>
      <c r="L51" s="319">
        <f>'BD Team'!K58</f>
        <v>96.18</v>
      </c>
      <c r="M51" s="318">
        <f>Pricing!O53</f>
        <v>2538</v>
      </c>
      <c r="N51" s="318">
        <f>Pricing!Q53</f>
        <v>376.73999999999995</v>
      </c>
      <c r="O51" s="318">
        <f>Pricing!R53</f>
        <v>0</v>
      </c>
      <c r="P51" s="318">
        <f>Pricing!S53</f>
        <v>0</v>
      </c>
      <c r="Q51" s="319">
        <f>'Cost Calculation'!L57</f>
        <v>0</v>
      </c>
      <c r="R51" s="319">
        <f>'Cost Calculation'!M57</f>
        <v>0</v>
      </c>
      <c r="S51" s="319">
        <f>'Cost Calculation'!N57</f>
        <v>0</v>
      </c>
      <c r="T51" s="318">
        <f>Pricing!P53</f>
        <v>0</v>
      </c>
      <c r="U51" s="317">
        <f>'Cost Calculation'!AC57</f>
        <v>0</v>
      </c>
    </row>
    <row r="52" spans="1:21">
      <c r="A52" s="318" t="str">
        <f>'BD Team'!B59</f>
        <v>SW23</v>
      </c>
      <c r="B52" s="318" t="str">
        <f>'BD Team'!C59</f>
        <v>M900</v>
      </c>
      <c r="C52" s="318" t="str">
        <f>'BD Team'!D59</f>
        <v>3 TRACK 2 SHUTTER SLIDING WINDOW</v>
      </c>
      <c r="D52" s="318" t="str">
        <f>'BD Team'!E59</f>
        <v>20MM</v>
      </c>
      <c r="E52" s="318" t="str">
        <f>'BD Team'!G59</f>
        <v>3F - SMALL ROOM</v>
      </c>
      <c r="F52" s="318" t="str">
        <f>'BD Team'!F59</f>
        <v>SS</v>
      </c>
      <c r="I52" s="318">
        <f>'BD Team'!H59</f>
        <v>911</v>
      </c>
      <c r="J52" s="318">
        <f>'BD Team'!I59</f>
        <v>1295</v>
      </c>
      <c r="K52" s="318">
        <f>'BD Team'!J59</f>
        <v>1</v>
      </c>
      <c r="L52" s="319">
        <f>'BD Team'!K59</f>
        <v>77.709999999999994</v>
      </c>
      <c r="M52" s="318">
        <f>Pricing!O54</f>
        <v>2538</v>
      </c>
      <c r="N52" s="318">
        <f>Pricing!Q54</f>
        <v>376.73999999999995</v>
      </c>
      <c r="O52" s="318">
        <f>Pricing!R54</f>
        <v>0</v>
      </c>
      <c r="P52" s="318">
        <f>Pricing!S54</f>
        <v>0</v>
      </c>
      <c r="Q52" s="319">
        <f>'Cost Calculation'!L58</f>
        <v>0</v>
      </c>
      <c r="R52" s="319">
        <f>'Cost Calculation'!M58</f>
        <v>0</v>
      </c>
      <c r="S52" s="319">
        <f>'Cost Calculation'!N58</f>
        <v>0</v>
      </c>
      <c r="T52" s="318">
        <f>Pricing!P54</f>
        <v>0</v>
      </c>
      <c r="U52" s="317">
        <f>'Cost Calculation'!AC58</f>
        <v>0</v>
      </c>
    </row>
    <row r="53" spans="1:21">
      <c r="A53" s="318" t="str">
        <f>'BD Team'!B60</f>
        <v>V9</v>
      </c>
      <c r="B53" s="318" t="str">
        <f>'BD Team'!C60</f>
        <v>M940</v>
      </c>
      <c r="C53" s="318" t="str">
        <f>'BD Team'!D60</f>
        <v>Z LOUVERS</v>
      </c>
      <c r="D53" s="318" t="str">
        <f>'BD Team'!E60</f>
        <v>NA</v>
      </c>
      <c r="E53" s="318" t="str">
        <f>'BD Team'!G60</f>
        <v>3F - TOILET 1</v>
      </c>
      <c r="F53" s="318" t="str">
        <f>'BD Team'!F60</f>
        <v>NO</v>
      </c>
      <c r="I53" s="318">
        <f>'BD Team'!H60</f>
        <v>566</v>
      </c>
      <c r="J53" s="318">
        <f>'BD Team'!I60</f>
        <v>566</v>
      </c>
      <c r="K53" s="318">
        <f>'BD Team'!J60</f>
        <v>1</v>
      </c>
      <c r="L53" s="319">
        <f>'BD Team'!K60</f>
        <v>27.79</v>
      </c>
      <c r="M53" s="318">
        <f>Pricing!O55</f>
        <v>0</v>
      </c>
      <c r="N53" s="318">
        <f>Pricing!Q55</f>
        <v>0</v>
      </c>
      <c r="O53" s="318">
        <f>Pricing!R55</f>
        <v>0</v>
      </c>
      <c r="P53" s="318">
        <f>Pricing!S55</f>
        <v>0</v>
      </c>
      <c r="Q53" s="319">
        <f>'Cost Calculation'!L59</f>
        <v>0</v>
      </c>
      <c r="R53" s="319">
        <f>'Cost Calculation'!M59</f>
        <v>0</v>
      </c>
      <c r="S53" s="319">
        <f>'Cost Calculation'!N59</f>
        <v>0</v>
      </c>
      <c r="T53" s="318">
        <f>Pricing!P55</f>
        <v>0</v>
      </c>
      <c r="U53" s="317">
        <f>'Cost Calculation'!AC59</f>
        <v>0</v>
      </c>
    </row>
    <row r="54" spans="1:21">
      <c r="A54" s="318" t="str">
        <f>'BD Team'!B61</f>
        <v>V10</v>
      </c>
      <c r="B54" s="318" t="str">
        <f>'BD Team'!C61</f>
        <v>M940</v>
      </c>
      <c r="C54" s="318" t="str">
        <f>'BD Team'!D61</f>
        <v>Z LOUVERS</v>
      </c>
      <c r="D54" s="318" t="str">
        <f>'BD Team'!E61</f>
        <v>NA</v>
      </c>
      <c r="E54" s="318" t="str">
        <f>'BD Team'!G61</f>
        <v>3F - TOILET 2</v>
      </c>
      <c r="F54" s="318" t="str">
        <f>'BD Team'!F61</f>
        <v>NO</v>
      </c>
      <c r="I54" s="318">
        <f>'BD Team'!H61</f>
        <v>571</v>
      </c>
      <c r="J54" s="318">
        <f>'BD Team'!I61</f>
        <v>565</v>
      </c>
      <c r="K54" s="318">
        <f>'BD Team'!J61</f>
        <v>1</v>
      </c>
      <c r="L54" s="319">
        <f>'BD Team'!K61</f>
        <v>27.83</v>
      </c>
      <c r="M54" s="318">
        <f>Pricing!O56</f>
        <v>0</v>
      </c>
      <c r="N54" s="318">
        <f>Pricing!Q56</f>
        <v>0</v>
      </c>
      <c r="O54" s="318">
        <f>Pricing!R56</f>
        <v>0</v>
      </c>
      <c r="P54" s="318">
        <f>Pricing!S56</f>
        <v>0</v>
      </c>
      <c r="Q54" s="319">
        <f>'Cost Calculation'!L60</f>
        <v>0</v>
      </c>
      <c r="R54" s="319">
        <f>'Cost Calculation'!M60</f>
        <v>0</v>
      </c>
      <c r="S54" s="319">
        <f>'Cost Calculation'!N60</f>
        <v>0</v>
      </c>
      <c r="T54" s="318">
        <f>Pricing!P56</f>
        <v>0</v>
      </c>
      <c r="U54" s="317">
        <f>'Cost Calculation'!AC60</f>
        <v>0</v>
      </c>
    </row>
    <row r="55" spans="1:21">
      <c r="A55" s="318" t="str">
        <f>'BD Team'!B62</f>
        <v>FG18</v>
      </c>
      <c r="B55" s="318" t="str">
        <f>'BD Team'!C62</f>
        <v>M940</v>
      </c>
      <c r="C55" s="318" t="str">
        <f>'BD Team'!D62</f>
        <v>FIXED GLASS</v>
      </c>
      <c r="D55" s="318" t="str">
        <f>'BD Team'!E62</f>
        <v>20MM</v>
      </c>
      <c r="E55" s="318" t="str">
        <f>'BD Team'!G62</f>
        <v>3F - SERVANT ROOM</v>
      </c>
      <c r="F55" s="318" t="str">
        <f>'BD Team'!F62</f>
        <v>NO</v>
      </c>
      <c r="I55" s="318">
        <f>'BD Team'!H62</f>
        <v>865</v>
      </c>
      <c r="J55" s="318">
        <f>'BD Team'!I62</f>
        <v>1269</v>
      </c>
      <c r="K55" s="318">
        <f>'BD Team'!J62</f>
        <v>1</v>
      </c>
      <c r="L55" s="319">
        <f>'BD Team'!K62</f>
        <v>23.31</v>
      </c>
      <c r="M55" s="318">
        <f>Pricing!O57</f>
        <v>2538</v>
      </c>
      <c r="N55" s="318">
        <f>Pricing!Q57</f>
        <v>0</v>
      </c>
      <c r="O55" s="318">
        <f>Pricing!R57</f>
        <v>0</v>
      </c>
      <c r="P55" s="318">
        <f>Pricing!S57</f>
        <v>0</v>
      </c>
      <c r="Q55" s="319">
        <f>'Cost Calculation'!L61</f>
        <v>0</v>
      </c>
      <c r="R55" s="319">
        <f>'Cost Calculation'!M61</f>
        <v>0</v>
      </c>
      <c r="S55" s="319">
        <f>'Cost Calculation'!N61</f>
        <v>0</v>
      </c>
      <c r="T55" s="318">
        <f>Pricing!P57</f>
        <v>0</v>
      </c>
      <c r="U55" s="317">
        <f>'Cost Calculation'!AC61</f>
        <v>0</v>
      </c>
    </row>
    <row r="56" spans="1:21">
      <c r="A56" s="318" t="str">
        <f>'BD Team'!B63</f>
        <v>SW24</v>
      </c>
      <c r="B56" s="318" t="str">
        <f>'BD Team'!C63</f>
        <v>M900</v>
      </c>
      <c r="C56" s="318" t="str">
        <f>'BD Team'!D63</f>
        <v>3 TRACK 2 SHUTTER SLIDING WINDOW</v>
      </c>
      <c r="D56" s="318" t="str">
        <f>'BD Team'!E63</f>
        <v>20MM</v>
      </c>
      <c r="E56" s="318" t="str">
        <f>'BD Team'!G63</f>
        <v>3F</v>
      </c>
      <c r="F56" s="318" t="str">
        <f>'BD Team'!F63</f>
        <v>SS</v>
      </c>
      <c r="I56" s="318">
        <f>'BD Team'!H63</f>
        <v>1842</v>
      </c>
      <c r="J56" s="318">
        <f>'BD Team'!I63</f>
        <v>1253</v>
      </c>
      <c r="K56" s="318">
        <f>'BD Team'!J63</f>
        <v>1</v>
      </c>
      <c r="L56" s="319">
        <f>'BD Team'!K63</f>
        <v>93.28</v>
      </c>
      <c r="M56" s="318">
        <f>Pricing!O58</f>
        <v>2538</v>
      </c>
      <c r="N56" s="318">
        <f>Pricing!Q58</f>
        <v>376.73999999999995</v>
      </c>
      <c r="O56" s="318">
        <f>Pricing!R58</f>
        <v>0</v>
      </c>
      <c r="P56" s="318">
        <f>Pricing!S58</f>
        <v>0</v>
      </c>
      <c r="Q56" s="319">
        <f>'Cost Calculation'!L62</f>
        <v>0</v>
      </c>
      <c r="R56" s="319">
        <f>'Cost Calculation'!M62</f>
        <v>0</v>
      </c>
      <c r="S56" s="319">
        <f>'Cost Calculation'!N62</f>
        <v>0</v>
      </c>
      <c r="T56" s="318">
        <f>Pricing!P58</f>
        <v>0</v>
      </c>
      <c r="U56" s="317">
        <f>'Cost Calculation'!AC62</f>
        <v>0</v>
      </c>
    </row>
    <row r="57" spans="1:21">
      <c r="A57" s="318" t="str">
        <f>'BD Team'!B64</f>
        <v>SW25</v>
      </c>
      <c r="B57" s="318" t="str">
        <f>'BD Team'!C64</f>
        <v>M900</v>
      </c>
      <c r="C57" s="318" t="str">
        <f>'BD Team'!D64</f>
        <v>3 TRACK 2 SHUTTER SLIDING WINDOW</v>
      </c>
      <c r="D57" s="318" t="str">
        <f>'BD Team'!E64</f>
        <v>20MM</v>
      </c>
      <c r="E57" s="318" t="str">
        <f>'BD Team'!G64</f>
        <v>4F - RECEPTION</v>
      </c>
      <c r="F57" s="318" t="str">
        <f>'BD Team'!F64</f>
        <v>SS</v>
      </c>
      <c r="I57" s="318">
        <f>'BD Team'!H64</f>
        <v>3730</v>
      </c>
      <c r="J57" s="318">
        <f>'BD Team'!I64</f>
        <v>1295</v>
      </c>
      <c r="K57" s="318">
        <f>'BD Team'!J64</f>
        <v>1</v>
      </c>
      <c r="L57" s="319">
        <f>'BD Team'!K64</f>
        <v>128.76</v>
      </c>
      <c r="M57" s="318">
        <f>Pricing!O59</f>
        <v>2538</v>
      </c>
      <c r="N57" s="318">
        <f>Pricing!Q59</f>
        <v>376.73999999999995</v>
      </c>
      <c r="O57" s="318">
        <f>Pricing!R59</f>
        <v>0</v>
      </c>
      <c r="P57" s="318">
        <f>Pricing!S59</f>
        <v>0</v>
      </c>
      <c r="Q57" s="319">
        <f>'Cost Calculation'!L63</f>
        <v>0</v>
      </c>
      <c r="R57" s="319">
        <f>'Cost Calculation'!M63</f>
        <v>0</v>
      </c>
      <c r="S57" s="319">
        <f>'Cost Calculation'!N63</f>
        <v>0</v>
      </c>
      <c r="T57" s="318">
        <f>Pricing!P59</f>
        <v>0</v>
      </c>
      <c r="U57" s="317">
        <f>'Cost Calculation'!AC63</f>
        <v>0</v>
      </c>
    </row>
    <row r="58" spans="1:21">
      <c r="A58" s="318" t="str">
        <f>'BD Team'!B65</f>
        <v>SW26</v>
      </c>
      <c r="B58" s="318" t="str">
        <f>'BD Team'!C65</f>
        <v>M900</v>
      </c>
      <c r="C58" s="318" t="str">
        <f>'BD Team'!D65</f>
        <v>3 TRACK 2 SHUTTER SLIDING WINDOW</v>
      </c>
      <c r="D58" s="318" t="str">
        <f>'BD Team'!E65</f>
        <v>20MM</v>
      </c>
      <c r="E58" s="318" t="str">
        <f>'BD Team'!G65</f>
        <v>4F - CONFERENCE</v>
      </c>
      <c r="F58" s="318" t="str">
        <f>'BD Team'!F65</f>
        <v>SS</v>
      </c>
      <c r="I58" s="318">
        <f>'BD Team'!H65</f>
        <v>2441</v>
      </c>
      <c r="J58" s="318">
        <f>'BD Team'!I65</f>
        <v>1301</v>
      </c>
      <c r="K58" s="318">
        <f>'BD Team'!J65</f>
        <v>1</v>
      </c>
      <c r="L58" s="319">
        <f>'BD Team'!K65</f>
        <v>105.61</v>
      </c>
      <c r="M58" s="318">
        <f>Pricing!O60</f>
        <v>2538</v>
      </c>
      <c r="N58" s="318">
        <f>Pricing!Q60</f>
        <v>376.73999999999995</v>
      </c>
      <c r="O58" s="318">
        <f>Pricing!R60</f>
        <v>0</v>
      </c>
      <c r="P58" s="318">
        <f>Pricing!S60</f>
        <v>0</v>
      </c>
      <c r="Q58" s="319">
        <f>'Cost Calculation'!L64</f>
        <v>0</v>
      </c>
      <c r="R58" s="319">
        <f>'Cost Calculation'!M64</f>
        <v>0</v>
      </c>
      <c r="S58" s="319">
        <f>'Cost Calculation'!N64</f>
        <v>0</v>
      </c>
      <c r="T58" s="318">
        <f>Pricing!P60</f>
        <v>0</v>
      </c>
      <c r="U58" s="317">
        <f>'Cost Calculation'!AC64</f>
        <v>0</v>
      </c>
    </row>
    <row r="59" spans="1:21">
      <c r="A59" s="318" t="str">
        <f>'BD Team'!B66</f>
        <v>FG19</v>
      </c>
      <c r="B59" s="318" t="str">
        <f>'BD Team'!C66</f>
        <v>M940</v>
      </c>
      <c r="C59" s="318" t="str">
        <f>'BD Team'!D66</f>
        <v>FIXED GLASS</v>
      </c>
      <c r="D59" s="318" t="str">
        <f>'BD Team'!E66</f>
        <v>20MM</v>
      </c>
      <c r="E59" s="318" t="str">
        <f>'BD Team'!G66</f>
        <v>4F - CONFERENCE</v>
      </c>
      <c r="F59" s="318" t="str">
        <f>'BD Team'!F66</f>
        <v>NO</v>
      </c>
      <c r="I59" s="318">
        <f>'BD Team'!H66</f>
        <v>1524</v>
      </c>
      <c r="J59" s="318">
        <f>'BD Team'!I66</f>
        <v>1294</v>
      </c>
      <c r="K59" s="318">
        <f>'BD Team'!J66</f>
        <v>1</v>
      </c>
      <c r="L59" s="319">
        <f>'BD Team'!K66</f>
        <v>30.54</v>
      </c>
      <c r="M59" s="318">
        <f>Pricing!O61</f>
        <v>2538</v>
      </c>
      <c r="N59" s="318">
        <f>Pricing!Q61</f>
        <v>0</v>
      </c>
      <c r="O59" s="318">
        <f>Pricing!R61</f>
        <v>0</v>
      </c>
      <c r="P59" s="318">
        <f>Pricing!S61</f>
        <v>0</v>
      </c>
      <c r="Q59" s="319">
        <f>'Cost Calculation'!L65</f>
        <v>0</v>
      </c>
      <c r="R59" s="319">
        <f>'Cost Calculation'!M65</f>
        <v>0</v>
      </c>
      <c r="S59" s="319">
        <f>'Cost Calculation'!N65</f>
        <v>0</v>
      </c>
      <c r="T59" s="318">
        <f>Pricing!P61</f>
        <v>0</v>
      </c>
      <c r="U59" s="317">
        <f>'Cost Calculation'!AC65</f>
        <v>0</v>
      </c>
    </row>
    <row r="60" spans="1:21">
      <c r="A60" s="318" t="str">
        <f>'BD Team'!B67</f>
        <v>FG20</v>
      </c>
      <c r="B60" s="318" t="str">
        <f>'BD Team'!C67</f>
        <v>M940</v>
      </c>
      <c r="C60" s="318" t="str">
        <f>'BD Team'!D67</f>
        <v>FIXED GLASS</v>
      </c>
      <c r="D60" s="318" t="str">
        <f>'BD Team'!E67</f>
        <v>20MM</v>
      </c>
      <c r="E60" s="318" t="str">
        <f>'BD Team'!G67</f>
        <v>4F - HALL</v>
      </c>
      <c r="F60" s="318" t="str">
        <f>'BD Team'!F67</f>
        <v>NO</v>
      </c>
      <c r="I60" s="318">
        <f>'BD Team'!H67</f>
        <v>1564</v>
      </c>
      <c r="J60" s="318">
        <f>'BD Team'!I67</f>
        <v>1337</v>
      </c>
      <c r="K60" s="318">
        <f>'BD Team'!J67</f>
        <v>1</v>
      </c>
      <c r="L60" s="319">
        <f>'BD Team'!K67</f>
        <v>31.41</v>
      </c>
      <c r="M60" s="318">
        <f>Pricing!O62</f>
        <v>2538</v>
      </c>
      <c r="N60" s="318">
        <f>Pricing!Q62</f>
        <v>0</v>
      </c>
      <c r="O60" s="318">
        <f>Pricing!R62</f>
        <v>0</v>
      </c>
      <c r="P60" s="318">
        <f>Pricing!S62</f>
        <v>0</v>
      </c>
      <c r="Q60" s="319">
        <f>'Cost Calculation'!L66</f>
        <v>0</v>
      </c>
      <c r="R60" s="319">
        <f>'Cost Calculation'!M66</f>
        <v>0</v>
      </c>
      <c r="S60" s="319">
        <f>'Cost Calculation'!N66</f>
        <v>0</v>
      </c>
      <c r="T60" s="318">
        <f>Pricing!P62</f>
        <v>0</v>
      </c>
      <c r="U60" s="317">
        <f>'Cost Calculation'!AC66</f>
        <v>0</v>
      </c>
    </row>
    <row r="61" spans="1:21">
      <c r="A61" s="318" t="str">
        <f>'BD Team'!B68</f>
        <v>FG21</v>
      </c>
      <c r="B61" s="318" t="str">
        <f>'BD Team'!C68</f>
        <v>M940</v>
      </c>
      <c r="C61" s="318" t="str">
        <f>'BD Team'!D68</f>
        <v>FIXED GLASS</v>
      </c>
      <c r="D61" s="318" t="str">
        <f>'BD Team'!E68</f>
        <v>20MM</v>
      </c>
      <c r="E61" s="318" t="str">
        <f>'BD Team'!G68</f>
        <v>4F - HALL</v>
      </c>
      <c r="F61" s="318" t="str">
        <f>'BD Team'!F68</f>
        <v>NO</v>
      </c>
      <c r="I61" s="318">
        <f>'BD Team'!H68</f>
        <v>1564</v>
      </c>
      <c r="J61" s="318">
        <f>'BD Team'!I68</f>
        <v>1336</v>
      </c>
      <c r="K61" s="318">
        <f>'BD Team'!J68</f>
        <v>1</v>
      </c>
      <c r="L61" s="319">
        <f>'BD Team'!K68</f>
        <v>31.4</v>
      </c>
      <c r="M61" s="318">
        <f>Pricing!O63</f>
        <v>2538</v>
      </c>
      <c r="N61" s="318">
        <f>Pricing!Q63</f>
        <v>0</v>
      </c>
      <c r="O61" s="318">
        <f>Pricing!R63</f>
        <v>0</v>
      </c>
      <c r="P61" s="318">
        <f>Pricing!S63</f>
        <v>0</v>
      </c>
      <c r="Q61" s="319">
        <f>'Cost Calculation'!L67</f>
        <v>0</v>
      </c>
      <c r="R61" s="319">
        <f>'Cost Calculation'!M67</f>
        <v>0</v>
      </c>
      <c r="S61" s="319">
        <f>'Cost Calculation'!N67</f>
        <v>0</v>
      </c>
      <c r="T61" s="318">
        <f>Pricing!P63</f>
        <v>0</v>
      </c>
      <c r="U61" s="317">
        <f>'Cost Calculation'!AC67</f>
        <v>0</v>
      </c>
    </row>
    <row r="62" spans="1:21">
      <c r="A62" s="318" t="str">
        <f>'BD Team'!B69</f>
        <v>FG22</v>
      </c>
      <c r="B62" s="318" t="str">
        <f>'BD Team'!C69</f>
        <v>M940</v>
      </c>
      <c r="C62" s="318" t="str">
        <f>'BD Team'!D69</f>
        <v>FIXED GLASS</v>
      </c>
      <c r="D62" s="318" t="str">
        <f>'BD Team'!E69</f>
        <v>20MM</v>
      </c>
      <c r="E62" s="318" t="str">
        <f>'BD Team'!G69</f>
        <v>4F - HALL</v>
      </c>
      <c r="F62" s="318" t="str">
        <f>'BD Team'!F69</f>
        <v>NO</v>
      </c>
      <c r="I62" s="318">
        <f>'BD Team'!H69</f>
        <v>1563</v>
      </c>
      <c r="J62" s="318">
        <f>'BD Team'!I69</f>
        <v>1340</v>
      </c>
      <c r="K62" s="318">
        <f>'BD Team'!J69</f>
        <v>1</v>
      </c>
      <c r="L62" s="319">
        <f>'BD Team'!K69</f>
        <v>31.43</v>
      </c>
      <c r="M62" s="318">
        <f>Pricing!O64</f>
        <v>2538</v>
      </c>
      <c r="N62" s="318">
        <f>Pricing!Q64</f>
        <v>0</v>
      </c>
      <c r="O62" s="318">
        <f>Pricing!R64</f>
        <v>0</v>
      </c>
      <c r="P62" s="318">
        <f>Pricing!S64</f>
        <v>0</v>
      </c>
      <c r="Q62" s="319">
        <f>'Cost Calculation'!L68</f>
        <v>0</v>
      </c>
      <c r="R62" s="319">
        <f>'Cost Calculation'!M68</f>
        <v>0</v>
      </c>
      <c r="S62" s="319">
        <f>'Cost Calculation'!N68</f>
        <v>0</v>
      </c>
      <c r="T62" s="318">
        <f>Pricing!P64</f>
        <v>0</v>
      </c>
      <c r="U62" s="317">
        <f>'Cost Calculation'!AC68</f>
        <v>0</v>
      </c>
    </row>
    <row r="63" spans="1:21">
      <c r="A63" s="318" t="str">
        <f>'BD Team'!B70</f>
        <v>FG23</v>
      </c>
      <c r="B63" s="318" t="str">
        <f>'BD Team'!C70</f>
        <v>M940</v>
      </c>
      <c r="C63" s="318" t="str">
        <f>'BD Team'!D70</f>
        <v>FIXED GLASS</v>
      </c>
      <c r="D63" s="318" t="str">
        <f>'BD Team'!E70</f>
        <v>20MM</v>
      </c>
      <c r="E63" s="318" t="str">
        <f>'BD Team'!G70</f>
        <v>4F - KITCHEN</v>
      </c>
      <c r="F63" s="318" t="str">
        <f>'BD Team'!F70</f>
        <v>NO</v>
      </c>
      <c r="I63" s="318">
        <f>'BD Team'!H70</f>
        <v>1562</v>
      </c>
      <c r="J63" s="318">
        <f>'BD Team'!I70</f>
        <v>1336</v>
      </c>
      <c r="K63" s="318">
        <f>'BD Team'!J70</f>
        <v>1</v>
      </c>
      <c r="L63" s="319">
        <f>'BD Team'!K70</f>
        <v>31.38</v>
      </c>
      <c r="M63" s="318">
        <f>Pricing!O65</f>
        <v>2538</v>
      </c>
      <c r="N63" s="318">
        <f>Pricing!Q65</f>
        <v>0</v>
      </c>
      <c r="O63" s="318">
        <f>Pricing!R65</f>
        <v>0</v>
      </c>
      <c r="P63" s="318">
        <f>Pricing!S65</f>
        <v>0</v>
      </c>
      <c r="Q63" s="319">
        <f>'Cost Calculation'!L69</f>
        <v>0</v>
      </c>
      <c r="R63" s="319">
        <f>'Cost Calculation'!M69</f>
        <v>0</v>
      </c>
      <c r="S63" s="319">
        <f>'Cost Calculation'!N69</f>
        <v>0</v>
      </c>
      <c r="T63" s="318">
        <f>Pricing!P65</f>
        <v>0</v>
      </c>
      <c r="U63" s="317">
        <f>'Cost Calculation'!AC69</f>
        <v>0</v>
      </c>
    </row>
    <row r="64" spans="1:21">
      <c r="A64" s="318" t="str">
        <f>'BD Team'!B71</f>
        <v>SW27</v>
      </c>
      <c r="B64" s="318" t="str">
        <f>'BD Team'!C71</f>
        <v>M900</v>
      </c>
      <c r="C64" s="318" t="str">
        <f>'BD Team'!D71</f>
        <v>3 TRACK 2 SHUTTER SLIDING WINDOW</v>
      </c>
      <c r="D64" s="318" t="str">
        <f>'BD Team'!E71</f>
        <v>20MM</v>
      </c>
      <c r="E64" s="318" t="str">
        <f>'BD Team'!G71</f>
        <v>4F - KITCHEN</v>
      </c>
      <c r="F64" s="318" t="str">
        <f>'BD Team'!F71</f>
        <v>SS</v>
      </c>
      <c r="I64" s="318">
        <f>'BD Team'!H71</f>
        <v>2461</v>
      </c>
      <c r="J64" s="318">
        <f>'BD Team'!I71</f>
        <v>1326</v>
      </c>
      <c r="K64" s="318">
        <f>'BD Team'!J71</f>
        <v>1</v>
      </c>
      <c r="L64" s="319">
        <f>'BD Team'!K71</f>
        <v>106.72999999999999</v>
      </c>
      <c r="M64" s="318">
        <f>Pricing!O66</f>
        <v>2538</v>
      </c>
      <c r="N64" s="318">
        <f>Pricing!Q66</f>
        <v>376.73999999999995</v>
      </c>
      <c r="O64" s="318">
        <f>Pricing!R66</f>
        <v>0</v>
      </c>
      <c r="P64" s="318">
        <f>Pricing!S66</f>
        <v>0</v>
      </c>
      <c r="Q64" s="319">
        <f>'Cost Calculation'!L70</f>
        <v>0</v>
      </c>
      <c r="R64" s="319">
        <f>'Cost Calculation'!M70</f>
        <v>0</v>
      </c>
      <c r="S64" s="319">
        <f>'Cost Calculation'!N70</f>
        <v>0</v>
      </c>
      <c r="T64" s="318">
        <f>Pricing!P66</f>
        <v>0</v>
      </c>
      <c r="U64" s="317">
        <f>'Cost Calculation'!AC70</f>
        <v>0</v>
      </c>
    </row>
    <row r="65" spans="1:21">
      <c r="A65" s="318" t="str">
        <f>'BD Team'!B72</f>
        <v>V11</v>
      </c>
      <c r="B65" s="318" t="str">
        <f>'BD Team'!C72</f>
        <v>M940</v>
      </c>
      <c r="C65" s="318" t="str">
        <f>'BD Team'!D72</f>
        <v>Z LOUVERS</v>
      </c>
      <c r="D65" s="318" t="str">
        <f>'BD Team'!E72</f>
        <v>NA</v>
      </c>
      <c r="E65" s="318" t="str">
        <f>'BD Team'!G72</f>
        <v>4F - MD TOILET</v>
      </c>
      <c r="F65" s="318" t="str">
        <f>'BD Team'!F72</f>
        <v>NO</v>
      </c>
      <c r="I65" s="318">
        <f>'BD Team'!H72</f>
        <v>568</v>
      </c>
      <c r="J65" s="318">
        <f>'BD Team'!I72</f>
        <v>576</v>
      </c>
      <c r="K65" s="318">
        <f>'BD Team'!J72</f>
        <v>1</v>
      </c>
      <c r="L65" s="319">
        <f>'BD Team'!K72</f>
        <v>27.92</v>
      </c>
      <c r="M65" s="318">
        <f>Pricing!O67</f>
        <v>0</v>
      </c>
      <c r="N65" s="318">
        <f>Pricing!Q67</f>
        <v>0</v>
      </c>
      <c r="O65" s="318">
        <f>Pricing!R67</f>
        <v>0</v>
      </c>
      <c r="P65" s="318">
        <f>Pricing!S67</f>
        <v>0</v>
      </c>
      <c r="Q65" s="319">
        <f>'Cost Calculation'!L71</f>
        <v>0</v>
      </c>
      <c r="R65" s="319">
        <f>'Cost Calculation'!M71</f>
        <v>0</v>
      </c>
      <c r="S65" s="319">
        <f>'Cost Calculation'!N71</f>
        <v>0</v>
      </c>
      <c r="T65" s="318">
        <f>Pricing!P67</f>
        <v>0</v>
      </c>
      <c r="U65" s="317">
        <f>'Cost Calculation'!AC71</f>
        <v>0</v>
      </c>
    </row>
    <row r="66" spans="1:21">
      <c r="A66" s="318" t="str">
        <f>'BD Team'!B73</f>
        <v>SW28</v>
      </c>
      <c r="B66" s="318" t="str">
        <f>'BD Team'!C73</f>
        <v>M900</v>
      </c>
      <c r="C66" s="318" t="str">
        <f>'BD Team'!D73</f>
        <v>3 TRACK 2 SHUTTER SLIDING WINDOW</v>
      </c>
      <c r="D66" s="318" t="str">
        <f>'BD Team'!E73</f>
        <v>20MM</v>
      </c>
      <c r="E66" s="318" t="str">
        <f>'BD Team'!G73</f>
        <v>4F - MD ROOM</v>
      </c>
      <c r="F66" s="318" t="str">
        <f>'BD Team'!F73</f>
        <v>SS</v>
      </c>
      <c r="I66" s="318">
        <f>'BD Team'!H73</f>
        <v>2483</v>
      </c>
      <c r="J66" s="318">
        <f>'BD Team'!I73</f>
        <v>1335</v>
      </c>
      <c r="K66" s="318">
        <f>'BD Team'!J73</f>
        <v>1</v>
      </c>
      <c r="L66" s="319">
        <f>'BD Team'!K73</f>
        <v>107.41</v>
      </c>
      <c r="M66" s="318">
        <f>Pricing!O68</f>
        <v>2538</v>
      </c>
      <c r="N66" s="318">
        <f>Pricing!Q68</f>
        <v>376.73999999999995</v>
      </c>
      <c r="O66" s="318">
        <f>Pricing!R68</f>
        <v>0</v>
      </c>
      <c r="P66" s="318">
        <f>Pricing!S68</f>
        <v>0</v>
      </c>
      <c r="Q66" s="319">
        <f>'Cost Calculation'!L72</f>
        <v>0</v>
      </c>
      <c r="R66" s="319">
        <f>'Cost Calculation'!M72</f>
        <v>0</v>
      </c>
      <c r="S66" s="319">
        <f>'Cost Calculation'!N72</f>
        <v>0</v>
      </c>
      <c r="T66" s="318">
        <f>Pricing!P68</f>
        <v>0</v>
      </c>
      <c r="U66" s="317">
        <f>'Cost Calculation'!AC72</f>
        <v>0</v>
      </c>
    </row>
    <row r="67" spans="1:21">
      <c r="A67" s="318" t="str">
        <f>'BD Team'!B74</f>
        <v>SW29</v>
      </c>
      <c r="B67" s="318" t="str">
        <f>'BD Team'!C74</f>
        <v>M900</v>
      </c>
      <c r="C67" s="318" t="str">
        <f>'BD Team'!D74</f>
        <v>3 TRACK 2 SHUTTER SLIDING WINDOW</v>
      </c>
      <c r="D67" s="318" t="str">
        <f>'BD Team'!E74</f>
        <v>20MM</v>
      </c>
      <c r="E67" s="318" t="str">
        <f>'BD Team'!G74</f>
        <v>4F - MD ROOM 2</v>
      </c>
      <c r="F67" s="318" t="str">
        <f>'BD Team'!F74</f>
        <v>SS</v>
      </c>
      <c r="I67" s="318">
        <f>'BD Team'!H74</f>
        <v>2481</v>
      </c>
      <c r="J67" s="318">
        <f>'BD Team'!I74</f>
        <v>1335</v>
      </c>
      <c r="K67" s="318">
        <f>'BD Team'!J74</f>
        <v>1</v>
      </c>
      <c r="L67" s="319">
        <f>'BD Team'!K74</f>
        <v>107.37</v>
      </c>
      <c r="M67" s="318">
        <f>Pricing!O69</f>
        <v>2538</v>
      </c>
      <c r="N67" s="318">
        <f>Pricing!Q69</f>
        <v>376.73999999999995</v>
      </c>
      <c r="O67" s="318">
        <f>Pricing!R69</f>
        <v>0</v>
      </c>
      <c r="P67" s="318">
        <f>Pricing!S69</f>
        <v>0</v>
      </c>
      <c r="Q67" s="319">
        <f>'Cost Calculation'!L73</f>
        <v>0</v>
      </c>
      <c r="R67" s="319">
        <f>'Cost Calculation'!M73</f>
        <v>0</v>
      </c>
      <c r="S67" s="319">
        <f>'Cost Calculation'!N73</f>
        <v>0</v>
      </c>
      <c r="T67" s="318">
        <f>Pricing!P69</f>
        <v>0</v>
      </c>
      <c r="U67" s="317">
        <f>'Cost Calculation'!AC73</f>
        <v>0</v>
      </c>
    </row>
    <row r="68" spans="1:21">
      <c r="A68" s="318" t="str">
        <f>'BD Team'!B75</f>
        <v>SW30</v>
      </c>
      <c r="B68" s="318" t="str">
        <f>'BD Team'!C75</f>
        <v>M900</v>
      </c>
      <c r="C68" s="318" t="str">
        <f>'BD Team'!D75</f>
        <v>3 TRACK 2 SHUTTER SLIDING WINDOW</v>
      </c>
      <c r="D68" s="318" t="str">
        <f>'BD Team'!E75</f>
        <v>20MM</v>
      </c>
      <c r="E68" s="318" t="str">
        <f>'BD Team'!G75</f>
        <v>4F - MD ROOM 3</v>
      </c>
      <c r="F68" s="318" t="str">
        <f>'BD Team'!F75</f>
        <v>SS</v>
      </c>
      <c r="I68" s="318">
        <f>'BD Team'!H75</f>
        <v>1865</v>
      </c>
      <c r="J68" s="318">
        <f>'BD Team'!I75</f>
        <v>1334</v>
      </c>
      <c r="K68" s="318">
        <f>'BD Team'!J75</f>
        <v>1</v>
      </c>
      <c r="L68" s="319">
        <f>'BD Team'!K75</f>
        <v>96.18</v>
      </c>
      <c r="M68" s="318">
        <f>Pricing!O70</f>
        <v>2538</v>
      </c>
      <c r="N68" s="318">
        <f>Pricing!Q70</f>
        <v>376.73999999999995</v>
      </c>
      <c r="O68" s="318">
        <f>Pricing!R70</f>
        <v>0</v>
      </c>
      <c r="P68" s="318">
        <f>Pricing!S70</f>
        <v>0</v>
      </c>
      <c r="Q68" s="319">
        <f>'Cost Calculation'!L74</f>
        <v>0</v>
      </c>
      <c r="R68" s="319">
        <f>'Cost Calculation'!M74</f>
        <v>0</v>
      </c>
      <c r="S68" s="319">
        <f>'Cost Calculation'!N74</f>
        <v>0</v>
      </c>
      <c r="T68" s="318">
        <f>Pricing!P70</f>
        <v>0</v>
      </c>
      <c r="U68" s="317">
        <f>'Cost Calculation'!AC74</f>
        <v>0</v>
      </c>
    </row>
    <row r="69" spans="1:21">
      <c r="A69" s="318" t="str">
        <f>'BD Team'!B76</f>
        <v>SW31</v>
      </c>
      <c r="B69" s="318" t="str">
        <f>'BD Team'!C76</f>
        <v>M900</v>
      </c>
      <c r="C69" s="318" t="str">
        <f>'BD Team'!D76</f>
        <v>3 TRACK 2 SHUTTER SLIDING WINDOW</v>
      </c>
      <c r="D69" s="318" t="str">
        <f>'BD Team'!E76</f>
        <v>20MM</v>
      </c>
      <c r="E69" s="318" t="str">
        <f>'BD Team'!G76</f>
        <v>4F - SMALL ROOM</v>
      </c>
      <c r="F69" s="318" t="str">
        <f>'BD Team'!F76</f>
        <v>SS</v>
      </c>
      <c r="I69" s="318">
        <f>'BD Team'!H76</f>
        <v>914</v>
      </c>
      <c r="J69" s="318">
        <f>'BD Team'!I76</f>
        <v>1295</v>
      </c>
      <c r="K69" s="318">
        <f>'BD Team'!J76</f>
        <v>1</v>
      </c>
      <c r="L69" s="319">
        <f>'BD Team'!K76</f>
        <v>77.759999999999991</v>
      </c>
      <c r="M69" s="318">
        <f>Pricing!O71</f>
        <v>2538</v>
      </c>
      <c r="N69" s="318">
        <f>Pricing!Q71</f>
        <v>376.73999999999995</v>
      </c>
      <c r="O69" s="318">
        <f>Pricing!R71</f>
        <v>0</v>
      </c>
      <c r="P69" s="318">
        <f>Pricing!S71</f>
        <v>0</v>
      </c>
      <c r="Q69" s="319">
        <f>'Cost Calculation'!L75</f>
        <v>0</v>
      </c>
      <c r="R69" s="319">
        <f>'Cost Calculation'!M75</f>
        <v>0</v>
      </c>
      <c r="S69" s="319">
        <f>'Cost Calculation'!N75</f>
        <v>0</v>
      </c>
      <c r="T69" s="318">
        <f>Pricing!P71</f>
        <v>0</v>
      </c>
      <c r="U69" s="317">
        <f>'Cost Calculation'!AC75</f>
        <v>0</v>
      </c>
    </row>
    <row r="70" spans="1:21">
      <c r="A70" s="318" t="str">
        <f>'BD Team'!B77</f>
        <v>V12</v>
      </c>
      <c r="B70" s="318" t="str">
        <f>'BD Team'!C77</f>
        <v>M940</v>
      </c>
      <c r="C70" s="318" t="str">
        <f>'BD Team'!D77</f>
        <v>Z LOUVERS</v>
      </c>
      <c r="D70" s="318" t="str">
        <f>'BD Team'!E77</f>
        <v>NA</v>
      </c>
      <c r="E70" s="318" t="str">
        <f>'BD Team'!G77</f>
        <v>4F - TOILET 1</v>
      </c>
      <c r="F70" s="318" t="str">
        <f>'BD Team'!F77</f>
        <v>NO</v>
      </c>
      <c r="I70" s="318">
        <f>'BD Team'!H77</f>
        <v>570</v>
      </c>
      <c r="J70" s="318">
        <f>'BD Team'!I77</f>
        <v>569</v>
      </c>
      <c r="K70" s="318">
        <f>'BD Team'!J77</f>
        <v>1</v>
      </c>
      <c r="L70" s="319">
        <f>'BD Team'!K77</f>
        <v>27.869999999999997</v>
      </c>
      <c r="M70" s="318">
        <f>Pricing!O72</f>
        <v>0</v>
      </c>
      <c r="N70" s="318">
        <f>Pricing!Q72</f>
        <v>0</v>
      </c>
      <c r="O70" s="318">
        <f>Pricing!R72</f>
        <v>0</v>
      </c>
      <c r="P70" s="318">
        <f>Pricing!S72</f>
        <v>0</v>
      </c>
      <c r="Q70" s="319">
        <f>'Cost Calculation'!L76</f>
        <v>0</v>
      </c>
      <c r="R70" s="319">
        <f>'Cost Calculation'!M76</f>
        <v>0</v>
      </c>
      <c r="S70" s="319">
        <f>'Cost Calculation'!N76</f>
        <v>0</v>
      </c>
      <c r="T70" s="318">
        <f>Pricing!P72</f>
        <v>0</v>
      </c>
      <c r="U70" s="317">
        <f>'Cost Calculation'!AC76</f>
        <v>0</v>
      </c>
    </row>
    <row r="71" spans="1:21">
      <c r="A71" s="318" t="str">
        <f>'BD Team'!B78</f>
        <v>V13</v>
      </c>
      <c r="B71" s="318" t="str">
        <f>'BD Team'!C78</f>
        <v>M940</v>
      </c>
      <c r="C71" s="318" t="str">
        <f>'BD Team'!D78</f>
        <v>Z LOUVERS</v>
      </c>
      <c r="D71" s="318" t="str">
        <f>'BD Team'!E78</f>
        <v>NA</v>
      </c>
      <c r="E71" s="318" t="str">
        <f>'BD Team'!G78</f>
        <v>4F - TOILET 2</v>
      </c>
      <c r="F71" s="318" t="str">
        <f>'BD Team'!F78</f>
        <v>NO</v>
      </c>
      <c r="I71" s="318">
        <f>'BD Team'!H78</f>
        <v>572</v>
      </c>
      <c r="J71" s="318">
        <f>'BD Team'!I78</f>
        <v>568</v>
      </c>
      <c r="K71" s="318">
        <f>'BD Team'!J78</f>
        <v>1</v>
      </c>
      <c r="L71" s="319">
        <f>'BD Team'!K78</f>
        <v>27.880000000000003</v>
      </c>
      <c r="M71" s="318">
        <f>Pricing!O73</f>
        <v>0</v>
      </c>
      <c r="N71" s="318">
        <f>Pricing!Q73</f>
        <v>0</v>
      </c>
      <c r="O71" s="318">
        <f>Pricing!R73</f>
        <v>0</v>
      </c>
      <c r="P71" s="318">
        <f>Pricing!S73</f>
        <v>0</v>
      </c>
      <c r="Q71" s="319">
        <f>'Cost Calculation'!L77</f>
        <v>0</v>
      </c>
      <c r="R71" s="319">
        <f>'Cost Calculation'!M77</f>
        <v>0</v>
      </c>
      <c r="S71" s="319">
        <f>'Cost Calculation'!N77</f>
        <v>0</v>
      </c>
      <c r="T71" s="318">
        <f>Pricing!P73</f>
        <v>0</v>
      </c>
      <c r="U71" s="317">
        <f>'Cost Calculation'!AC77</f>
        <v>0</v>
      </c>
    </row>
    <row r="72" spans="1:21">
      <c r="A72" s="318" t="str">
        <f>'BD Team'!B79</f>
        <v>FG24</v>
      </c>
      <c r="B72" s="318" t="str">
        <f>'BD Team'!C79</f>
        <v>M940</v>
      </c>
      <c r="C72" s="318" t="str">
        <f>'BD Team'!D79</f>
        <v>FIXED GLASS</v>
      </c>
      <c r="D72" s="318" t="str">
        <f>'BD Team'!E79</f>
        <v>20MM</v>
      </c>
      <c r="E72" s="318" t="str">
        <f>'BD Team'!G79</f>
        <v>4F - SERVANT ROOM</v>
      </c>
      <c r="F72" s="318" t="str">
        <f>'BD Team'!F79</f>
        <v>NO</v>
      </c>
      <c r="I72" s="318">
        <f>'BD Team'!H79</f>
        <v>865</v>
      </c>
      <c r="J72" s="318">
        <f>'BD Team'!I79</f>
        <v>1267</v>
      </c>
      <c r="K72" s="318">
        <f>'BD Team'!J79</f>
        <v>1</v>
      </c>
      <c r="L72" s="319">
        <f>'BD Team'!K79</f>
        <v>23.29</v>
      </c>
      <c r="M72" s="318">
        <f>Pricing!O74</f>
        <v>2538</v>
      </c>
      <c r="N72" s="318">
        <f>Pricing!Q74</f>
        <v>0</v>
      </c>
      <c r="O72" s="318">
        <f>Pricing!R74</f>
        <v>0</v>
      </c>
      <c r="P72" s="318">
        <f>Pricing!S74</f>
        <v>0</v>
      </c>
      <c r="Q72" s="319">
        <f>'Cost Calculation'!L78</f>
        <v>0</v>
      </c>
      <c r="R72" s="319">
        <f>'Cost Calculation'!M78</f>
        <v>0</v>
      </c>
      <c r="S72" s="319">
        <f>'Cost Calculation'!N78</f>
        <v>0</v>
      </c>
      <c r="T72" s="318">
        <f>Pricing!P74</f>
        <v>0</v>
      </c>
      <c r="U72" s="317">
        <f>'Cost Calculation'!AC78</f>
        <v>0</v>
      </c>
    </row>
    <row r="73" spans="1:21">
      <c r="A73" s="318" t="str">
        <f>'BD Team'!B80</f>
        <v>SW32</v>
      </c>
      <c r="B73" s="318" t="str">
        <f>'BD Team'!C80</f>
        <v>M900</v>
      </c>
      <c r="C73" s="318" t="str">
        <f>'BD Team'!D80</f>
        <v>3 TRACK 2 SHUTTER SLIDING WINDOW</v>
      </c>
      <c r="D73" s="318" t="str">
        <f>'BD Team'!E80</f>
        <v>20MM</v>
      </c>
      <c r="E73" s="318" t="str">
        <f>'BD Team'!G80</f>
        <v>4F - STAIRCASE</v>
      </c>
      <c r="F73" s="318" t="str">
        <f>'BD Team'!F80</f>
        <v>SS</v>
      </c>
      <c r="I73" s="318">
        <f>'BD Team'!H80</f>
        <v>1844</v>
      </c>
      <c r="J73" s="318">
        <f>'BD Team'!I80</f>
        <v>1201</v>
      </c>
      <c r="K73" s="318">
        <f>'BD Team'!J80</f>
        <v>1</v>
      </c>
      <c r="L73" s="319">
        <f>'BD Team'!K80</f>
        <v>91.72</v>
      </c>
      <c r="M73" s="318">
        <f>Pricing!O75</f>
        <v>2538</v>
      </c>
      <c r="N73" s="318">
        <f>Pricing!Q75</f>
        <v>376.73999999999995</v>
      </c>
      <c r="O73" s="318">
        <f>Pricing!R75</f>
        <v>0</v>
      </c>
      <c r="P73" s="318">
        <f>Pricing!S75</f>
        <v>0</v>
      </c>
      <c r="Q73" s="319">
        <f>'Cost Calculation'!L79</f>
        <v>0</v>
      </c>
      <c r="R73" s="319">
        <f>'Cost Calculation'!M79</f>
        <v>0</v>
      </c>
      <c r="S73" s="319">
        <f>'Cost Calculation'!N79</f>
        <v>0</v>
      </c>
      <c r="T73" s="318">
        <f>Pricing!P75</f>
        <v>0</v>
      </c>
      <c r="U73" s="317">
        <f>'Cost Calculation'!AC79</f>
        <v>0</v>
      </c>
    </row>
    <row r="74" spans="1:21">
      <c r="A74" s="318" t="str">
        <f>'BD Team'!B81</f>
        <v>FG25</v>
      </c>
      <c r="B74" s="318" t="str">
        <f>'BD Team'!C81</f>
        <v>M940</v>
      </c>
      <c r="C74" s="318" t="str">
        <f>'BD Team'!D81</f>
        <v>FIXED GLASS</v>
      </c>
      <c r="D74" s="318" t="str">
        <f>'BD Team'!E81</f>
        <v>20MM</v>
      </c>
      <c r="E74" s="318" t="str">
        <f>'BD Team'!G81</f>
        <v>BF - SERVANT ROOM</v>
      </c>
      <c r="F74" s="318" t="str">
        <f>'BD Team'!F81</f>
        <v>NO</v>
      </c>
      <c r="I74" s="318">
        <f>'BD Team'!H81</f>
        <v>866</v>
      </c>
      <c r="J74" s="318">
        <f>'BD Team'!I81</f>
        <v>816</v>
      </c>
      <c r="K74" s="318">
        <f>'BD Team'!J81</f>
        <v>1</v>
      </c>
      <c r="L74" s="319">
        <f>'BD Team'!K81</f>
        <v>18.57</v>
      </c>
      <c r="M74" s="318">
        <f>Pricing!O76</f>
        <v>2538</v>
      </c>
      <c r="N74" s="318">
        <f>Pricing!Q76</f>
        <v>0</v>
      </c>
      <c r="O74" s="318">
        <f>Pricing!R76</f>
        <v>0</v>
      </c>
      <c r="P74" s="318">
        <f>Pricing!S76</f>
        <v>0</v>
      </c>
      <c r="Q74" s="319">
        <f>'Cost Calculation'!L80</f>
        <v>0</v>
      </c>
      <c r="R74" s="319">
        <f>'Cost Calculation'!M80</f>
        <v>0</v>
      </c>
      <c r="S74" s="319">
        <f>'Cost Calculation'!N80</f>
        <v>0</v>
      </c>
      <c r="T74" s="318">
        <f>Pricing!P76</f>
        <v>0</v>
      </c>
      <c r="U74" s="317">
        <f>'Cost Calculation'!AC80</f>
        <v>0</v>
      </c>
    </row>
    <row r="75" spans="1:21">
      <c r="A75" s="318" t="str">
        <f>'BD Team'!B82</f>
        <v>SW33</v>
      </c>
      <c r="B75" s="318" t="str">
        <f>'BD Team'!C82</f>
        <v>M900</v>
      </c>
      <c r="C75" s="318" t="str">
        <f>'BD Team'!D82</f>
        <v>3 TRACK 2 SHUTTER SLIDING WINDOW</v>
      </c>
      <c r="D75" s="318" t="str">
        <f>'BD Team'!E82</f>
        <v>20MM</v>
      </c>
      <c r="E75" s="318" t="str">
        <f>'BD Team'!G82</f>
        <v>BF - STAIRCASE</v>
      </c>
      <c r="F75" s="318" t="str">
        <f>'BD Team'!F82</f>
        <v>SS</v>
      </c>
      <c r="I75" s="318">
        <f>'BD Team'!H82</f>
        <v>1809</v>
      </c>
      <c r="J75" s="318">
        <f>'BD Team'!I82</f>
        <v>819</v>
      </c>
      <c r="K75" s="318">
        <f>'BD Team'!J82</f>
        <v>1</v>
      </c>
      <c r="L75" s="319">
        <f>'BD Team'!K82</f>
        <v>79.36</v>
      </c>
      <c r="M75" s="318">
        <f>Pricing!O77</f>
        <v>2538</v>
      </c>
      <c r="N75" s="318">
        <f>Pricing!Q77</f>
        <v>376.73999999999995</v>
      </c>
      <c r="O75" s="318">
        <f>Pricing!R77</f>
        <v>0</v>
      </c>
      <c r="P75" s="318">
        <f>Pricing!S77</f>
        <v>0</v>
      </c>
      <c r="Q75" s="319">
        <f>'Cost Calculation'!L81</f>
        <v>0</v>
      </c>
      <c r="R75" s="319">
        <f>'Cost Calculation'!M81</f>
        <v>0</v>
      </c>
      <c r="S75" s="319">
        <f>'Cost Calculation'!N81</f>
        <v>0</v>
      </c>
      <c r="T75" s="318">
        <f>Pricing!P77</f>
        <v>0</v>
      </c>
      <c r="U75" s="317">
        <f>'Cost Calculation'!AC81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108"/>
  <sheetViews>
    <sheetView showGridLines="0" view="pageBreakPreview" topLeftCell="D58" zoomScale="75" zoomScaleNormal="75" zoomScaleSheetLayoutView="75" workbookViewId="0">
      <selection activeCell="S79" sqref="S7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hidden="1" customWidth="1"/>
    <col min="13" max="13" width="11.5703125" style="47" hidden="1" customWidth="1"/>
    <col min="14" max="14" width="10.5703125" style="47" bestFit="1" customWidth="1"/>
    <col min="15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6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6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380</v>
      </c>
    </row>
    <row r="3" spans="1:16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416</v>
      </c>
      <c r="H3" s="323" t="s">
        <v>185</v>
      </c>
      <c r="I3" s="324"/>
      <c r="J3" s="166">
        <v>43701</v>
      </c>
      <c r="K3" s="167"/>
      <c r="L3" s="104" t="s">
        <v>257</v>
      </c>
      <c r="M3" s="104" t="s">
        <v>381</v>
      </c>
    </row>
    <row r="4" spans="1:16" s="104" customFormat="1" ht="18">
      <c r="A4" s="322" t="s">
        <v>168</v>
      </c>
      <c r="B4" s="322"/>
      <c r="C4" s="322"/>
      <c r="D4" s="322"/>
      <c r="E4" s="162" t="s">
        <v>368</v>
      </c>
      <c r="F4" s="135"/>
      <c r="G4" s="164"/>
      <c r="H4" s="323" t="s">
        <v>186</v>
      </c>
      <c r="I4" s="324"/>
      <c r="J4" s="165" t="s">
        <v>382</v>
      </c>
      <c r="K4" s="167"/>
      <c r="L4" s="104" t="s">
        <v>258</v>
      </c>
      <c r="M4" s="104" t="s">
        <v>382</v>
      </c>
    </row>
    <row r="5" spans="1:16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261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6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6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6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  <c r="N8" s="47" t="s">
        <v>439</v>
      </c>
      <c r="O8" s="47" t="s">
        <v>208</v>
      </c>
      <c r="P8" s="47" t="s">
        <v>567</v>
      </c>
    </row>
    <row r="9" spans="1:16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861</v>
      </c>
      <c r="I9" s="113">
        <v>1270</v>
      </c>
      <c r="J9" s="113">
        <v>1</v>
      </c>
      <c r="K9" s="123">
        <f>N9+O9+P9</f>
        <v>23.28</v>
      </c>
      <c r="N9" s="47">
        <v>23.28</v>
      </c>
    </row>
    <row r="10" spans="1:16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429</v>
      </c>
      <c r="F10" s="113" t="s">
        <v>435</v>
      </c>
      <c r="G10" s="113" t="s">
        <v>436</v>
      </c>
      <c r="H10" s="113">
        <v>1803</v>
      </c>
      <c r="I10" s="113">
        <v>1292</v>
      </c>
      <c r="J10" s="113">
        <v>1</v>
      </c>
      <c r="K10" s="123">
        <f t="shared" ref="K10:K73" si="0">N10+O10+P10</f>
        <v>93.77</v>
      </c>
      <c r="L10" s="47" t="s">
        <v>282</v>
      </c>
      <c r="N10" s="47">
        <v>70.13</v>
      </c>
      <c r="O10" s="47">
        <v>23.64</v>
      </c>
    </row>
    <row r="11" spans="1:16" ht="20.100000000000001" customHeight="1">
      <c r="A11" s="113">
        <v>3</v>
      </c>
      <c r="B11" s="113" t="s">
        <v>437</v>
      </c>
      <c r="C11" s="113" t="s">
        <v>433</v>
      </c>
      <c r="D11" s="113" t="s">
        <v>434</v>
      </c>
      <c r="E11" s="113" t="s">
        <v>429</v>
      </c>
      <c r="F11" s="113" t="s">
        <v>435</v>
      </c>
      <c r="G11" s="113" t="s">
        <v>438</v>
      </c>
      <c r="H11" s="113">
        <v>3743</v>
      </c>
      <c r="I11" s="113">
        <v>1295</v>
      </c>
      <c r="J11" s="113">
        <v>1</v>
      </c>
      <c r="K11" s="123">
        <f t="shared" si="0"/>
        <v>151.25</v>
      </c>
      <c r="L11" s="47" t="s">
        <v>281</v>
      </c>
      <c r="N11" s="47">
        <v>117.65</v>
      </c>
      <c r="O11" s="47">
        <v>33.6</v>
      </c>
    </row>
    <row r="12" spans="1:16" ht="20.100000000000001" customHeight="1">
      <c r="A12" s="113">
        <v>4</v>
      </c>
      <c r="B12" s="113" t="s">
        <v>440</v>
      </c>
      <c r="C12" s="113" t="s">
        <v>433</v>
      </c>
      <c r="D12" s="113" t="s">
        <v>434</v>
      </c>
      <c r="E12" s="113" t="s">
        <v>429</v>
      </c>
      <c r="F12" s="113" t="s">
        <v>435</v>
      </c>
      <c r="G12" s="113" t="s">
        <v>441</v>
      </c>
      <c r="H12" s="113">
        <v>2443</v>
      </c>
      <c r="I12" s="113">
        <v>1295</v>
      </c>
      <c r="J12" s="113">
        <v>1</v>
      </c>
      <c r="K12" s="123">
        <f t="shared" si="0"/>
        <v>105.45</v>
      </c>
      <c r="L12" s="47" t="s">
        <v>365</v>
      </c>
      <c r="N12" s="47">
        <v>78.510000000000005</v>
      </c>
      <c r="O12" s="47">
        <v>26.94</v>
      </c>
    </row>
    <row r="13" spans="1:16" ht="20.100000000000001" customHeight="1">
      <c r="A13" s="113">
        <v>5</v>
      </c>
      <c r="B13" s="113" t="s">
        <v>442</v>
      </c>
      <c r="C13" s="113" t="s">
        <v>427</v>
      </c>
      <c r="D13" s="113" t="s">
        <v>428</v>
      </c>
      <c r="E13" s="113" t="s">
        <v>429</v>
      </c>
      <c r="F13" s="113" t="s">
        <v>430</v>
      </c>
      <c r="G13" s="113" t="s">
        <v>441</v>
      </c>
      <c r="H13" s="113">
        <v>1527</v>
      </c>
      <c r="I13" s="113">
        <v>1291</v>
      </c>
      <c r="J13" s="113">
        <v>1</v>
      </c>
      <c r="K13" s="123">
        <f t="shared" si="0"/>
        <v>30.54</v>
      </c>
      <c r="L13" s="47" t="s">
        <v>366</v>
      </c>
      <c r="N13" s="47">
        <v>30.54</v>
      </c>
    </row>
    <row r="14" spans="1:16">
      <c r="A14" s="113">
        <v>6</v>
      </c>
      <c r="B14" s="113" t="s">
        <v>443</v>
      </c>
      <c r="C14" s="113" t="s">
        <v>427</v>
      </c>
      <c r="D14" s="113" t="s">
        <v>428</v>
      </c>
      <c r="E14" s="113" t="s">
        <v>429</v>
      </c>
      <c r="F14" s="113" t="s">
        <v>430</v>
      </c>
      <c r="G14" s="113" t="s">
        <v>444</v>
      </c>
      <c r="H14" s="113">
        <v>1561</v>
      </c>
      <c r="I14" s="113">
        <v>1328</v>
      </c>
      <c r="J14" s="113">
        <v>1</v>
      </c>
      <c r="K14" s="123">
        <f t="shared" si="0"/>
        <v>31.28</v>
      </c>
      <c r="L14" s="47" t="s">
        <v>367</v>
      </c>
      <c r="N14" s="47">
        <v>31.28</v>
      </c>
    </row>
    <row r="15" spans="1:16" ht="20.100000000000001" customHeight="1">
      <c r="A15" s="113">
        <v>7</v>
      </c>
      <c r="B15" s="113" t="s">
        <v>445</v>
      </c>
      <c r="C15" s="113" t="s">
        <v>427</v>
      </c>
      <c r="D15" s="113" t="s">
        <v>428</v>
      </c>
      <c r="E15" s="113" t="s">
        <v>429</v>
      </c>
      <c r="F15" s="113" t="s">
        <v>430</v>
      </c>
      <c r="G15" s="113" t="s">
        <v>444</v>
      </c>
      <c r="H15" s="113">
        <v>1565</v>
      </c>
      <c r="I15" s="113">
        <v>1340</v>
      </c>
      <c r="J15" s="113">
        <v>1</v>
      </c>
      <c r="K15" s="123">
        <f t="shared" si="0"/>
        <v>31.45</v>
      </c>
      <c r="L15" s="47" t="s">
        <v>368</v>
      </c>
      <c r="N15" s="47">
        <v>31.45</v>
      </c>
    </row>
    <row r="16" spans="1:16" ht="20.100000000000001" customHeight="1">
      <c r="A16" s="113">
        <v>8</v>
      </c>
      <c r="B16" s="113" t="s">
        <v>446</v>
      </c>
      <c r="C16" s="113" t="s">
        <v>427</v>
      </c>
      <c r="D16" s="113" t="s">
        <v>428</v>
      </c>
      <c r="E16" s="113" t="s">
        <v>429</v>
      </c>
      <c r="F16" s="113" t="s">
        <v>430</v>
      </c>
      <c r="G16" s="113" t="s">
        <v>448</v>
      </c>
      <c r="H16" s="113">
        <v>1560</v>
      </c>
      <c r="I16" s="113">
        <v>1334</v>
      </c>
      <c r="J16" s="113">
        <v>1</v>
      </c>
      <c r="K16" s="123">
        <f t="shared" si="0"/>
        <v>31.34</v>
      </c>
      <c r="L16" s="47" t="s">
        <v>369</v>
      </c>
      <c r="N16" s="47">
        <v>31.34</v>
      </c>
    </row>
    <row r="17" spans="1:16" ht="20.100000000000001" customHeight="1">
      <c r="A17" s="113">
        <v>9</v>
      </c>
      <c r="B17" s="113" t="s">
        <v>447</v>
      </c>
      <c r="C17" s="113" t="s">
        <v>427</v>
      </c>
      <c r="D17" s="113" t="s">
        <v>428</v>
      </c>
      <c r="E17" s="113" t="s">
        <v>429</v>
      </c>
      <c r="F17" s="113" t="s">
        <v>430</v>
      </c>
      <c r="G17" s="113" t="s">
        <v>449</v>
      </c>
      <c r="H17" s="113">
        <v>1556</v>
      </c>
      <c r="I17" s="113">
        <v>1327</v>
      </c>
      <c r="J17" s="113">
        <v>1</v>
      </c>
      <c r="K17" s="123">
        <f t="shared" si="0"/>
        <v>31.22</v>
      </c>
      <c r="L17" s="47" t="s">
        <v>370</v>
      </c>
      <c r="N17" s="47">
        <v>31.22</v>
      </c>
    </row>
    <row r="18" spans="1:16" ht="20.100000000000001" customHeight="1">
      <c r="A18" s="113">
        <v>10</v>
      </c>
      <c r="B18" s="113" t="s">
        <v>450</v>
      </c>
      <c r="C18" s="113" t="s">
        <v>433</v>
      </c>
      <c r="D18" s="113" t="s">
        <v>434</v>
      </c>
      <c r="E18" s="113" t="s">
        <v>429</v>
      </c>
      <c r="F18" s="113" t="s">
        <v>435</v>
      </c>
      <c r="G18" s="113" t="s">
        <v>449</v>
      </c>
      <c r="H18" s="113">
        <v>1377</v>
      </c>
      <c r="I18" s="113">
        <v>904</v>
      </c>
      <c r="J18" s="113">
        <v>1</v>
      </c>
      <c r="K18" s="123">
        <f t="shared" si="0"/>
        <v>74.14</v>
      </c>
      <c r="L18" s="47" t="s">
        <v>371</v>
      </c>
      <c r="N18" s="47">
        <v>55.73</v>
      </c>
      <c r="O18" s="47">
        <v>18.41</v>
      </c>
    </row>
    <row r="19" spans="1:16" ht="20.100000000000001" customHeight="1">
      <c r="A19" s="113">
        <v>11</v>
      </c>
      <c r="B19" s="113" t="s">
        <v>451</v>
      </c>
      <c r="C19" s="113" t="s">
        <v>427</v>
      </c>
      <c r="D19" s="113" t="s">
        <v>452</v>
      </c>
      <c r="E19" s="113" t="s">
        <v>453</v>
      </c>
      <c r="F19" s="113" t="s">
        <v>430</v>
      </c>
      <c r="G19" s="113" t="s">
        <v>454</v>
      </c>
      <c r="H19" s="113">
        <v>653</v>
      </c>
      <c r="I19" s="113">
        <v>590</v>
      </c>
      <c r="J19" s="113">
        <v>1</v>
      </c>
      <c r="K19" s="123">
        <f t="shared" si="0"/>
        <v>28.96</v>
      </c>
      <c r="L19" s="47" t="s">
        <v>372</v>
      </c>
      <c r="N19" s="47">
        <v>13.96</v>
      </c>
      <c r="P19" s="47">
        <v>15</v>
      </c>
    </row>
    <row r="20" spans="1:16">
      <c r="A20" s="113">
        <v>12</v>
      </c>
      <c r="B20" s="113" t="s">
        <v>455</v>
      </c>
      <c r="C20" s="113" t="s">
        <v>427</v>
      </c>
      <c r="D20" s="113" t="s">
        <v>452</v>
      </c>
      <c r="E20" s="113" t="s">
        <v>453</v>
      </c>
      <c r="F20" s="113" t="s">
        <v>430</v>
      </c>
      <c r="G20" s="113" t="s">
        <v>456</v>
      </c>
      <c r="H20" s="113">
        <v>573</v>
      </c>
      <c r="I20" s="113">
        <v>563</v>
      </c>
      <c r="J20" s="113">
        <v>1</v>
      </c>
      <c r="K20" s="123">
        <f t="shared" si="0"/>
        <v>27.83</v>
      </c>
      <c r="L20" s="47" t="s">
        <v>385</v>
      </c>
      <c r="N20" s="47">
        <v>12.83</v>
      </c>
      <c r="P20" s="47">
        <v>15</v>
      </c>
    </row>
    <row r="21" spans="1:16" ht="20.100000000000001" customHeight="1">
      <c r="A21" s="113">
        <v>13</v>
      </c>
      <c r="B21" s="113" t="s">
        <v>457</v>
      </c>
      <c r="C21" s="113" t="s">
        <v>433</v>
      </c>
      <c r="D21" s="113" t="s">
        <v>434</v>
      </c>
      <c r="E21" s="113" t="s">
        <v>429</v>
      </c>
      <c r="F21" s="113" t="s">
        <v>435</v>
      </c>
      <c r="G21" s="113" t="s">
        <v>458</v>
      </c>
      <c r="H21" s="113">
        <v>2477</v>
      </c>
      <c r="I21" s="113">
        <v>1333</v>
      </c>
      <c r="J21" s="113">
        <v>1</v>
      </c>
      <c r="K21" s="123">
        <f t="shared" si="0"/>
        <v>107.22999999999999</v>
      </c>
      <c r="L21" s="47" t="s">
        <v>386</v>
      </c>
      <c r="N21" s="47">
        <v>79.819999999999993</v>
      </c>
      <c r="O21" s="47">
        <v>27.41</v>
      </c>
    </row>
    <row r="22" spans="1:16" ht="20.100000000000001" customHeight="1">
      <c r="A22" s="113">
        <v>14</v>
      </c>
      <c r="B22" s="113" t="s">
        <v>459</v>
      </c>
      <c r="C22" s="113" t="s">
        <v>433</v>
      </c>
      <c r="D22" s="113" t="s">
        <v>434</v>
      </c>
      <c r="E22" s="113" t="s">
        <v>429</v>
      </c>
      <c r="F22" s="113" t="s">
        <v>435</v>
      </c>
      <c r="G22" s="113" t="s">
        <v>460</v>
      </c>
      <c r="H22" s="113">
        <v>2477</v>
      </c>
      <c r="I22" s="113">
        <v>1324</v>
      </c>
      <c r="J22" s="113">
        <v>1</v>
      </c>
      <c r="K22" s="123">
        <f t="shared" si="0"/>
        <v>106.96000000000001</v>
      </c>
      <c r="L22" s="47" t="s">
        <v>387</v>
      </c>
      <c r="N22" s="47">
        <v>79.62</v>
      </c>
      <c r="O22" s="47">
        <v>27.34</v>
      </c>
    </row>
    <row r="23" spans="1:16" ht="20.100000000000001" customHeight="1">
      <c r="A23" s="113">
        <v>15</v>
      </c>
      <c r="B23" s="113" t="s">
        <v>461</v>
      </c>
      <c r="C23" s="113" t="s">
        <v>433</v>
      </c>
      <c r="D23" s="113" t="s">
        <v>434</v>
      </c>
      <c r="E23" s="113" t="s">
        <v>429</v>
      </c>
      <c r="F23" s="113" t="s">
        <v>435</v>
      </c>
      <c r="G23" s="113" t="s">
        <v>462</v>
      </c>
      <c r="H23" s="113">
        <v>1861</v>
      </c>
      <c r="I23" s="113">
        <v>1333</v>
      </c>
      <c r="J23" s="113">
        <v>1</v>
      </c>
      <c r="K23" s="123">
        <f t="shared" si="0"/>
        <v>96.08</v>
      </c>
      <c r="L23" s="47" t="s">
        <v>403</v>
      </c>
      <c r="N23" s="47">
        <v>71.819999999999993</v>
      </c>
      <c r="O23" s="47">
        <v>24.26</v>
      </c>
    </row>
    <row r="24" spans="1:16" ht="20.100000000000001" customHeight="1">
      <c r="A24" s="113">
        <v>16</v>
      </c>
      <c r="B24" s="113" t="s">
        <v>463</v>
      </c>
      <c r="C24" s="113" t="s">
        <v>433</v>
      </c>
      <c r="D24" s="113" t="s">
        <v>434</v>
      </c>
      <c r="E24" s="113" t="s">
        <v>429</v>
      </c>
      <c r="F24" s="113" t="s">
        <v>435</v>
      </c>
      <c r="G24" s="113" t="s">
        <v>464</v>
      </c>
      <c r="H24" s="113">
        <v>917</v>
      </c>
      <c r="I24" s="113">
        <v>1299</v>
      </c>
      <c r="J24" s="113">
        <v>1</v>
      </c>
      <c r="K24" s="123">
        <f t="shared" si="0"/>
        <v>77.930000000000007</v>
      </c>
      <c r="L24" s="47" t="s">
        <v>417</v>
      </c>
      <c r="N24" s="47">
        <v>58.78</v>
      </c>
      <c r="O24" s="47">
        <v>19.149999999999999</v>
      </c>
    </row>
    <row r="25" spans="1:16" ht="20.100000000000001" customHeight="1">
      <c r="A25" s="113">
        <v>17</v>
      </c>
      <c r="B25" s="113" t="s">
        <v>465</v>
      </c>
      <c r="C25" s="113" t="s">
        <v>427</v>
      </c>
      <c r="D25" s="113" t="s">
        <v>452</v>
      </c>
      <c r="E25" s="113" t="s">
        <v>453</v>
      </c>
      <c r="F25" s="113" t="s">
        <v>430</v>
      </c>
      <c r="G25" s="113" t="s">
        <v>466</v>
      </c>
      <c r="H25" s="113">
        <v>571</v>
      </c>
      <c r="I25" s="113">
        <v>561</v>
      </c>
      <c r="J25" s="113">
        <v>1</v>
      </c>
      <c r="K25" s="123">
        <f t="shared" si="0"/>
        <v>27.79</v>
      </c>
      <c r="L25" s="47" t="s">
        <v>418</v>
      </c>
      <c r="N25" s="47">
        <v>12.79</v>
      </c>
      <c r="P25" s="47">
        <v>15</v>
      </c>
    </row>
    <row r="26" spans="1:16">
      <c r="A26" s="113">
        <v>18</v>
      </c>
      <c r="B26" s="113" t="s">
        <v>467</v>
      </c>
      <c r="C26" s="113" t="s">
        <v>427</v>
      </c>
      <c r="D26" s="113" t="s">
        <v>452</v>
      </c>
      <c r="E26" s="113" t="s">
        <v>453</v>
      </c>
      <c r="F26" s="113" t="s">
        <v>430</v>
      </c>
      <c r="G26" s="113" t="s">
        <v>468</v>
      </c>
      <c r="H26" s="113">
        <v>573</v>
      </c>
      <c r="I26" s="113">
        <v>563</v>
      </c>
      <c r="J26" s="113">
        <v>1</v>
      </c>
      <c r="K26" s="123">
        <f t="shared" si="0"/>
        <v>27.83</v>
      </c>
      <c r="L26" s="47" t="s">
        <v>419</v>
      </c>
      <c r="M26" s="47" t="s">
        <v>420</v>
      </c>
      <c r="N26" s="47">
        <v>12.83</v>
      </c>
      <c r="P26" s="47">
        <v>15</v>
      </c>
    </row>
    <row r="27" spans="1:16" ht="20.100000000000001" customHeight="1">
      <c r="A27" s="113">
        <v>19</v>
      </c>
      <c r="B27" s="113" t="s">
        <v>469</v>
      </c>
      <c r="C27" s="113" t="s">
        <v>427</v>
      </c>
      <c r="D27" s="113" t="s">
        <v>428</v>
      </c>
      <c r="E27" s="113" t="s">
        <v>429</v>
      </c>
      <c r="F27" s="113" t="s">
        <v>430</v>
      </c>
      <c r="G27" s="113" t="s">
        <v>470</v>
      </c>
      <c r="H27" s="113">
        <v>864</v>
      </c>
      <c r="I27" s="113">
        <v>1270</v>
      </c>
      <c r="J27" s="113">
        <v>1</v>
      </c>
      <c r="K27" s="123">
        <f t="shared" si="0"/>
        <v>23.31</v>
      </c>
      <c r="N27" s="47">
        <v>23.31</v>
      </c>
    </row>
    <row r="28" spans="1:16" ht="20.100000000000001" customHeight="1">
      <c r="A28" s="113">
        <v>20</v>
      </c>
      <c r="B28" s="113" t="s">
        <v>471</v>
      </c>
      <c r="C28" s="113" t="s">
        <v>433</v>
      </c>
      <c r="D28" s="113" t="s">
        <v>434</v>
      </c>
      <c r="E28" s="113" t="s">
        <v>429</v>
      </c>
      <c r="F28" s="113" t="s">
        <v>435</v>
      </c>
      <c r="G28" s="113" t="s">
        <v>472</v>
      </c>
      <c r="H28" s="113">
        <v>1841</v>
      </c>
      <c r="I28" s="113">
        <v>1249</v>
      </c>
      <c r="J28" s="113">
        <v>1</v>
      </c>
      <c r="K28" s="123">
        <f t="shared" si="0"/>
        <v>93.13</v>
      </c>
      <c r="N28" s="47">
        <v>69.64</v>
      </c>
      <c r="O28" s="47">
        <v>23.49</v>
      </c>
    </row>
    <row r="29" spans="1:16" ht="20.100000000000001" customHeight="1">
      <c r="A29" s="113">
        <v>21</v>
      </c>
      <c r="B29" s="113" t="s">
        <v>473</v>
      </c>
      <c r="C29" s="113" t="s">
        <v>433</v>
      </c>
      <c r="D29" s="113" t="s">
        <v>434</v>
      </c>
      <c r="E29" s="113" t="s">
        <v>429</v>
      </c>
      <c r="F29" s="113" t="s">
        <v>435</v>
      </c>
      <c r="G29" s="113" t="s">
        <v>474</v>
      </c>
      <c r="H29" s="113">
        <v>3735</v>
      </c>
      <c r="I29" s="113">
        <v>1296</v>
      </c>
      <c r="J29" s="113">
        <v>1</v>
      </c>
      <c r="K29" s="123">
        <f t="shared" si="0"/>
        <v>128.88</v>
      </c>
      <c r="N29" s="47">
        <v>95.32</v>
      </c>
      <c r="O29" s="47">
        <v>33.56</v>
      </c>
    </row>
    <row r="30" spans="1:16" ht="20.100000000000001" customHeight="1">
      <c r="A30" s="113">
        <v>22</v>
      </c>
      <c r="B30" s="113" t="s">
        <v>475</v>
      </c>
      <c r="C30" s="113" t="s">
        <v>433</v>
      </c>
      <c r="D30" s="113" t="s">
        <v>434</v>
      </c>
      <c r="E30" s="113" t="s">
        <v>429</v>
      </c>
      <c r="F30" s="113" t="s">
        <v>435</v>
      </c>
      <c r="G30" s="113" t="s">
        <v>476</v>
      </c>
      <c r="H30" s="113">
        <v>2442</v>
      </c>
      <c r="I30" s="113">
        <v>1294</v>
      </c>
      <c r="J30" s="113">
        <v>1</v>
      </c>
      <c r="K30" s="123">
        <f t="shared" si="0"/>
        <v>105.41</v>
      </c>
      <c r="N30" s="47">
        <v>78.48</v>
      </c>
      <c r="O30" s="47">
        <v>26.93</v>
      </c>
    </row>
    <row r="31" spans="1:16" ht="20.100000000000001" customHeight="1">
      <c r="A31" s="113">
        <v>23</v>
      </c>
      <c r="B31" s="113" t="s">
        <v>477</v>
      </c>
      <c r="C31" s="113" t="s">
        <v>427</v>
      </c>
      <c r="D31" s="113" t="s">
        <v>428</v>
      </c>
      <c r="E31" s="113" t="s">
        <v>429</v>
      </c>
      <c r="F31" s="113" t="s">
        <v>430</v>
      </c>
      <c r="G31" s="113" t="s">
        <v>476</v>
      </c>
      <c r="H31" s="113">
        <v>1521</v>
      </c>
      <c r="I31" s="113">
        <v>1295</v>
      </c>
      <c r="J31" s="113">
        <v>1</v>
      </c>
      <c r="K31" s="123">
        <f t="shared" si="0"/>
        <v>30.52</v>
      </c>
      <c r="N31" s="47">
        <v>30.52</v>
      </c>
    </row>
    <row r="32" spans="1:16">
      <c r="A32" s="113">
        <v>24</v>
      </c>
      <c r="B32" s="113" t="s">
        <v>478</v>
      </c>
      <c r="C32" s="113" t="s">
        <v>427</v>
      </c>
      <c r="D32" s="113" t="s">
        <v>428</v>
      </c>
      <c r="E32" s="113" t="s">
        <v>429</v>
      </c>
      <c r="F32" s="113" t="s">
        <v>430</v>
      </c>
      <c r="G32" s="113" t="s">
        <v>482</v>
      </c>
      <c r="H32" s="113">
        <v>1557</v>
      </c>
      <c r="I32" s="113">
        <v>1332</v>
      </c>
      <c r="J32" s="113">
        <v>1</v>
      </c>
      <c r="K32" s="123">
        <f t="shared" si="0"/>
        <v>31.28</v>
      </c>
      <c r="N32" s="47">
        <v>31.28</v>
      </c>
    </row>
    <row r="33" spans="1:16" ht="20.100000000000001" customHeight="1">
      <c r="A33" s="113">
        <v>25</v>
      </c>
      <c r="B33" s="113" t="s">
        <v>479</v>
      </c>
      <c r="C33" s="113" t="s">
        <v>427</v>
      </c>
      <c r="D33" s="113" t="s">
        <v>428</v>
      </c>
      <c r="E33" s="113" t="s">
        <v>429</v>
      </c>
      <c r="F33" s="113" t="s">
        <v>430</v>
      </c>
      <c r="G33" s="113" t="s">
        <v>482</v>
      </c>
      <c r="H33" s="113">
        <v>1558</v>
      </c>
      <c r="I33" s="113">
        <v>1332</v>
      </c>
      <c r="J33" s="113">
        <v>1</v>
      </c>
      <c r="K33" s="123">
        <f t="shared" si="0"/>
        <v>31.3</v>
      </c>
      <c r="N33" s="47">
        <v>31.3</v>
      </c>
    </row>
    <row r="34" spans="1:16" ht="20.100000000000001" customHeight="1">
      <c r="A34" s="113">
        <v>26</v>
      </c>
      <c r="B34" s="113" t="s">
        <v>480</v>
      </c>
      <c r="C34" s="113" t="s">
        <v>427</v>
      </c>
      <c r="D34" s="113" t="s">
        <v>428</v>
      </c>
      <c r="E34" s="113" t="s">
        <v>429</v>
      </c>
      <c r="F34" s="113" t="s">
        <v>430</v>
      </c>
      <c r="G34" s="113" t="s">
        <v>482</v>
      </c>
      <c r="H34" s="113">
        <v>1561</v>
      </c>
      <c r="I34" s="113">
        <v>1334</v>
      </c>
      <c r="J34" s="113">
        <v>1</v>
      </c>
      <c r="K34" s="123">
        <f t="shared" si="0"/>
        <v>31.35</v>
      </c>
      <c r="N34" s="47">
        <v>31.35</v>
      </c>
    </row>
    <row r="35" spans="1:16" ht="20.100000000000001" customHeight="1">
      <c r="A35" s="113">
        <v>27</v>
      </c>
      <c r="B35" s="113" t="s">
        <v>481</v>
      </c>
      <c r="C35" s="113" t="s">
        <v>427</v>
      </c>
      <c r="D35" s="113" t="s">
        <v>428</v>
      </c>
      <c r="E35" s="113" t="s">
        <v>429</v>
      </c>
      <c r="F35" s="113" t="s">
        <v>430</v>
      </c>
      <c r="G35" s="113" t="s">
        <v>483</v>
      </c>
      <c r="H35" s="113">
        <v>1553</v>
      </c>
      <c r="I35" s="113">
        <v>1338</v>
      </c>
      <c r="J35" s="113">
        <v>1</v>
      </c>
      <c r="K35" s="123">
        <f t="shared" si="0"/>
        <v>31.31</v>
      </c>
      <c r="N35" s="47">
        <v>31.31</v>
      </c>
    </row>
    <row r="36" spans="1:16" ht="20.100000000000001" customHeight="1">
      <c r="A36" s="113">
        <v>28</v>
      </c>
      <c r="B36" s="113" t="s">
        <v>484</v>
      </c>
      <c r="C36" s="113" t="s">
        <v>433</v>
      </c>
      <c r="D36" s="113" t="s">
        <v>434</v>
      </c>
      <c r="E36" s="113" t="s">
        <v>429</v>
      </c>
      <c r="F36" s="113" t="s">
        <v>435</v>
      </c>
      <c r="G36" s="113" t="s">
        <v>483</v>
      </c>
      <c r="H36" s="113">
        <v>2464</v>
      </c>
      <c r="I36" s="113">
        <v>1323</v>
      </c>
      <c r="J36" s="113">
        <v>1</v>
      </c>
      <c r="K36" s="123">
        <f t="shared" si="0"/>
        <v>128.95000000000002</v>
      </c>
      <c r="N36" s="47">
        <v>101.68</v>
      </c>
      <c r="O36" s="47">
        <v>27.27</v>
      </c>
    </row>
    <row r="37" spans="1:16" ht="20.100000000000001" customHeight="1">
      <c r="A37" s="113">
        <v>29</v>
      </c>
      <c r="B37" s="113" t="s">
        <v>485</v>
      </c>
      <c r="C37" s="113" t="s">
        <v>427</v>
      </c>
      <c r="D37" s="113" t="s">
        <v>452</v>
      </c>
      <c r="E37" s="113" t="s">
        <v>453</v>
      </c>
      <c r="F37" s="113" t="s">
        <v>430</v>
      </c>
      <c r="G37" s="113" t="s">
        <v>456</v>
      </c>
      <c r="H37" s="113">
        <v>564</v>
      </c>
      <c r="I37" s="113">
        <v>567</v>
      </c>
      <c r="J37" s="113">
        <v>1</v>
      </c>
      <c r="K37" s="123">
        <f t="shared" si="0"/>
        <v>27.78</v>
      </c>
      <c r="N37" s="47">
        <v>12.78</v>
      </c>
      <c r="P37" s="47">
        <v>15</v>
      </c>
    </row>
    <row r="38" spans="1:16">
      <c r="A38" s="113">
        <v>30</v>
      </c>
      <c r="B38" s="113" t="s">
        <v>486</v>
      </c>
      <c r="C38" s="113" t="s">
        <v>433</v>
      </c>
      <c r="D38" s="113" t="s">
        <v>434</v>
      </c>
      <c r="E38" s="113" t="s">
        <v>429</v>
      </c>
      <c r="F38" s="113" t="s">
        <v>435</v>
      </c>
      <c r="G38" s="113" t="s">
        <v>487</v>
      </c>
      <c r="H38" s="113">
        <v>2471</v>
      </c>
      <c r="I38" s="113">
        <v>1334</v>
      </c>
      <c r="J38" s="113">
        <v>1</v>
      </c>
      <c r="K38" s="123">
        <f t="shared" si="0"/>
        <v>129.41</v>
      </c>
      <c r="N38" s="47">
        <v>102.02</v>
      </c>
      <c r="O38" s="47">
        <v>27.39</v>
      </c>
    </row>
    <row r="39" spans="1:16" ht="20.100000000000001" customHeight="1">
      <c r="A39" s="113">
        <v>31</v>
      </c>
      <c r="B39" s="113" t="s">
        <v>488</v>
      </c>
      <c r="C39" s="113" t="s">
        <v>433</v>
      </c>
      <c r="D39" s="113" t="s">
        <v>434</v>
      </c>
      <c r="E39" s="113" t="s">
        <v>429</v>
      </c>
      <c r="F39" s="113" t="s">
        <v>435</v>
      </c>
      <c r="G39" s="113" t="s">
        <v>489</v>
      </c>
      <c r="H39" s="113">
        <v>2479</v>
      </c>
      <c r="I39" s="113">
        <v>1328</v>
      </c>
      <c r="J39" s="113">
        <v>1</v>
      </c>
      <c r="K39" s="123">
        <f t="shared" si="0"/>
        <v>107.11999999999999</v>
      </c>
      <c r="N39" s="47">
        <v>79.739999999999995</v>
      </c>
      <c r="O39" s="47">
        <v>27.38</v>
      </c>
    </row>
    <row r="40" spans="1:16" ht="20.100000000000001" customHeight="1">
      <c r="A40" s="113">
        <v>32</v>
      </c>
      <c r="B40" s="113" t="s">
        <v>490</v>
      </c>
      <c r="C40" s="113" t="s">
        <v>433</v>
      </c>
      <c r="D40" s="113" t="s">
        <v>434</v>
      </c>
      <c r="E40" s="113" t="s">
        <v>429</v>
      </c>
      <c r="F40" s="113" t="s">
        <v>435</v>
      </c>
      <c r="G40" s="113" t="s">
        <v>491</v>
      </c>
      <c r="H40" s="113">
        <v>1865</v>
      </c>
      <c r="I40" s="113">
        <v>1340</v>
      </c>
      <c r="J40" s="113">
        <v>1</v>
      </c>
      <c r="K40" s="123">
        <f t="shared" si="0"/>
        <v>96.37</v>
      </c>
      <c r="N40" s="47">
        <v>72.040000000000006</v>
      </c>
      <c r="O40" s="47">
        <v>24.33</v>
      </c>
    </row>
    <row r="41" spans="1:16" ht="20.100000000000001" customHeight="1">
      <c r="A41" s="113">
        <v>33</v>
      </c>
      <c r="B41" s="113" t="s">
        <v>492</v>
      </c>
      <c r="C41" s="113" t="s">
        <v>433</v>
      </c>
      <c r="D41" s="113" t="s">
        <v>434</v>
      </c>
      <c r="E41" s="113" t="s">
        <v>429</v>
      </c>
      <c r="F41" s="113" t="s">
        <v>435</v>
      </c>
      <c r="G41" s="113" t="s">
        <v>493</v>
      </c>
      <c r="H41" s="113">
        <v>917</v>
      </c>
      <c r="I41" s="113">
        <v>1295</v>
      </c>
      <c r="J41" s="113">
        <v>1</v>
      </c>
      <c r="K41" s="123">
        <f t="shared" si="0"/>
        <v>77.81</v>
      </c>
      <c r="N41" s="47">
        <v>58.69</v>
      </c>
      <c r="O41" s="47">
        <v>19.12</v>
      </c>
    </row>
    <row r="42" spans="1:16">
      <c r="A42" s="113">
        <v>34</v>
      </c>
      <c r="B42" s="113" t="s">
        <v>494</v>
      </c>
      <c r="C42" s="113" t="s">
        <v>427</v>
      </c>
      <c r="D42" s="113" t="s">
        <v>452</v>
      </c>
      <c r="E42" s="113" t="s">
        <v>453</v>
      </c>
      <c r="F42" s="113" t="s">
        <v>430</v>
      </c>
      <c r="G42" s="113" t="s">
        <v>495</v>
      </c>
      <c r="H42" s="113">
        <v>572</v>
      </c>
      <c r="I42" s="113">
        <v>580</v>
      </c>
      <c r="J42" s="113">
        <v>1</v>
      </c>
      <c r="K42" s="123">
        <f t="shared" si="0"/>
        <v>28</v>
      </c>
      <c r="N42" s="47">
        <v>13</v>
      </c>
      <c r="P42" s="47">
        <v>15</v>
      </c>
    </row>
    <row r="43" spans="1:16" ht="20.100000000000001" customHeight="1">
      <c r="A43" s="113">
        <v>35</v>
      </c>
      <c r="B43" s="113" t="s">
        <v>496</v>
      </c>
      <c r="C43" s="113" t="s">
        <v>427</v>
      </c>
      <c r="D43" s="113" t="s">
        <v>452</v>
      </c>
      <c r="E43" s="113" t="s">
        <v>453</v>
      </c>
      <c r="F43" s="113" t="s">
        <v>430</v>
      </c>
      <c r="G43" s="113" t="s">
        <v>497</v>
      </c>
      <c r="H43" s="113">
        <v>581</v>
      </c>
      <c r="I43" s="113">
        <v>575</v>
      </c>
      <c r="J43" s="113">
        <v>1</v>
      </c>
      <c r="K43" s="123">
        <f t="shared" si="0"/>
        <v>28.04</v>
      </c>
      <c r="N43" s="47">
        <v>13.04</v>
      </c>
      <c r="P43" s="47">
        <v>15</v>
      </c>
    </row>
    <row r="44" spans="1:16" ht="20.100000000000001" customHeight="1">
      <c r="A44" s="113">
        <v>36</v>
      </c>
      <c r="B44" s="113" t="s">
        <v>498</v>
      </c>
      <c r="C44" s="113" t="s">
        <v>427</v>
      </c>
      <c r="D44" s="113" t="s">
        <v>428</v>
      </c>
      <c r="E44" s="113" t="s">
        <v>429</v>
      </c>
      <c r="F44" s="113" t="s">
        <v>430</v>
      </c>
      <c r="G44" s="113" t="s">
        <v>499</v>
      </c>
      <c r="H44" s="113">
        <v>860</v>
      </c>
      <c r="I44" s="113">
        <v>1271</v>
      </c>
      <c r="J44" s="113">
        <v>1</v>
      </c>
      <c r="K44" s="123">
        <f t="shared" si="0"/>
        <v>23.28</v>
      </c>
      <c r="N44" s="47">
        <v>23.28</v>
      </c>
    </row>
    <row r="45" spans="1:16" ht="20.100000000000001" customHeight="1">
      <c r="A45" s="113">
        <v>37</v>
      </c>
      <c r="B45" s="113" t="s">
        <v>500</v>
      </c>
      <c r="C45" s="113" t="s">
        <v>433</v>
      </c>
      <c r="D45" s="113" t="s">
        <v>434</v>
      </c>
      <c r="E45" s="113" t="s">
        <v>429</v>
      </c>
      <c r="F45" s="113" t="s">
        <v>435</v>
      </c>
      <c r="G45" s="113" t="s">
        <v>501</v>
      </c>
      <c r="H45" s="113">
        <v>1841</v>
      </c>
      <c r="I45" s="113">
        <v>1249</v>
      </c>
      <c r="J45" s="113">
        <v>1</v>
      </c>
      <c r="K45" s="123">
        <f t="shared" si="0"/>
        <v>93.13</v>
      </c>
      <c r="N45" s="47">
        <v>69.64</v>
      </c>
      <c r="O45" s="47">
        <v>23.49</v>
      </c>
    </row>
    <row r="46" spans="1:16" ht="20.100000000000001" customHeight="1">
      <c r="A46" s="113">
        <v>38</v>
      </c>
      <c r="B46" s="113" t="s">
        <v>502</v>
      </c>
      <c r="C46" s="113" t="s">
        <v>433</v>
      </c>
      <c r="D46" s="113" t="s">
        <v>434</v>
      </c>
      <c r="E46" s="113" t="s">
        <v>429</v>
      </c>
      <c r="F46" s="113" t="s">
        <v>435</v>
      </c>
      <c r="G46" s="113" t="s">
        <v>503</v>
      </c>
      <c r="H46" s="113">
        <v>3728</v>
      </c>
      <c r="I46" s="113">
        <v>1301</v>
      </c>
      <c r="J46" s="113">
        <v>1</v>
      </c>
      <c r="K46" s="123">
        <f t="shared" si="0"/>
        <v>128.91</v>
      </c>
      <c r="N46" s="47">
        <v>95.34</v>
      </c>
      <c r="O46" s="47">
        <v>33.57</v>
      </c>
    </row>
    <row r="47" spans="1:16" ht="20.100000000000001" customHeight="1">
      <c r="A47" s="113">
        <v>39</v>
      </c>
      <c r="B47" s="113" t="s">
        <v>504</v>
      </c>
      <c r="C47" s="113" t="s">
        <v>433</v>
      </c>
      <c r="D47" s="113" t="s">
        <v>434</v>
      </c>
      <c r="E47" s="113" t="s">
        <v>429</v>
      </c>
      <c r="F47" s="113" t="s">
        <v>435</v>
      </c>
      <c r="G47" s="113" t="s">
        <v>505</v>
      </c>
      <c r="H47" s="113">
        <v>2439</v>
      </c>
      <c r="I47" s="113">
        <v>1298</v>
      </c>
      <c r="J47" s="113">
        <v>1</v>
      </c>
      <c r="K47" s="123">
        <f t="shared" si="0"/>
        <v>105.47</v>
      </c>
      <c r="N47" s="47">
        <v>78.53</v>
      </c>
      <c r="O47" s="47">
        <v>26.94</v>
      </c>
    </row>
    <row r="48" spans="1:16">
      <c r="A48" s="113">
        <v>40</v>
      </c>
      <c r="B48" s="113" t="s">
        <v>506</v>
      </c>
      <c r="C48" s="113" t="s">
        <v>427</v>
      </c>
      <c r="D48" s="113" t="s">
        <v>428</v>
      </c>
      <c r="E48" s="113" t="s">
        <v>429</v>
      </c>
      <c r="F48" s="113" t="s">
        <v>430</v>
      </c>
      <c r="G48" s="113" t="s">
        <v>505</v>
      </c>
      <c r="H48" s="113">
        <v>1519</v>
      </c>
      <c r="I48" s="113">
        <v>1295</v>
      </c>
      <c r="J48" s="113">
        <v>1</v>
      </c>
      <c r="K48" s="123">
        <f t="shared" si="0"/>
        <v>30.5</v>
      </c>
      <c r="N48" s="47">
        <v>30.5</v>
      </c>
    </row>
    <row r="49" spans="1:16" ht="20.100000000000001" customHeight="1">
      <c r="A49" s="113">
        <v>41</v>
      </c>
      <c r="B49" s="113" t="s">
        <v>507</v>
      </c>
      <c r="C49" s="113" t="s">
        <v>427</v>
      </c>
      <c r="D49" s="113" t="s">
        <v>428</v>
      </c>
      <c r="E49" s="113" t="s">
        <v>429</v>
      </c>
      <c r="F49" s="113" t="s">
        <v>430</v>
      </c>
      <c r="G49" s="113" t="s">
        <v>509</v>
      </c>
      <c r="H49" s="113">
        <v>1559</v>
      </c>
      <c r="I49" s="113">
        <v>1337</v>
      </c>
      <c r="J49" s="113">
        <v>1</v>
      </c>
      <c r="K49" s="123">
        <f t="shared" si="0"/>
        <v>31.36</v>
      </c>
      <c r="N49" s="47">
        <v>31.36</v>
      </c>
    </row>
    <row r="50" spans="1:16" ht="20.100000000000001" customHeight="1">
      <c r="A50" s="113">
        <v>42</v>
      </c>
      <c r="B50" s="113" t="s">
        <v>508</v>
      </c>
      <c r="C50" s="113" t="s">
        <v>427</v>
      </c>
      <c r="D50" s="113" t="s">
        <v>428</v>
      </c>
      <c r="E50" s="113" t="s">
        <v>429</v>
      </c>
      <c r="F50" s="113" t="s">
        <v>430</v>
      </c>
      <c r="G50" s="113" t="s">
        <v>509</v>
      </c>
      <c r="H50" s="113">
        <v>1564</v>
      </c>
      <c r="I50" s="113">
        <v>1331</v>
      </c>
      <c r="J50" s="113">
        <v>1</v>
      </c>
      <c r="K50" s="123">
        <f t="shared" si="0"/>
        <v>31.35</v>
      </c>
      <c r="N50" s="47">
        <v>31.35</v>
      </c>
    </row>
    <row r="51" spans="1:16" ht="20.100000000000001" customHeight="1">
      <c r="A51" s="113">
        <v>43</v>
      </c>
      <c r="B51" s="113" t="s">
        <v>510</v>
      </c>
      <c r="C51" s="113" t="s">
        <v>427</v>
      </c>
      <c r="D51" s="113" t="s">
        <v>428</v>
      </c>
      <c r="E51" s="113" t="s">
        <v>429</v>
      </c>
      <c r="F51" s="113" t="s">
        <v>430</v>
      </c>
      <c r="G51" s="113" t="s">
        <v>503</v>
      </c>
      <c r="H51" s="113">
        <v>1564</v>
      </c>
      <c r="I51" s="113">
        <v>1337</v>
      </c>
      <c r="J51" s="113">
        <v>1</v>
      </c>
      <c r="K51" s="123">
        <f t="shared" si="0"/>
        <v>31.41</v>
      </c>
      <c r="N51" s="47">
        <v>31.41</v>
      </c>
    </row>
    <row r="52" spans="1:16" ht="20.100000000000001" customHeight="1">
      <c r="A52" s="113">
        <v>44</v>
      </c>
      <c r="B52" s="113" t="s">
        <v>511</v>
      </c>
      <c r="C52" s="113" t="s">
        <v>427</v>
      </c>
      <c r="D52" s="113" t="s">
        <v>428</v>
      </c>
      <c r="E52" s="113" t="s">
        <v>429</v>
      </c>
      <c r="F52" s="113" t="s">
        <v>430</v>
      </c>
      <c r="G52" s="113" t="s">
        <v>503</v>
      </c>
      <c r="H52" s="113">
        <v>1562</v>
      </c>
      <c r="I52" s="113">
        <v>1334</v>
      </c>
      <c r="J52" s="113">
        <v>1</v>
      </c>
      <c r="K52" s="123">
        <f t="shared" si="0"/>
        <v>31.36</v>
      </c>
      <c r="N52" s="47">
        <v>31.36</v>
      </c>
    </row>
    <row r="53" spans="1:16" ht="20.100000000000001" customHeight="1">
      <c r="A53" s="113">
        <v>45</v>
      </c>
      <c r="B53" s="113" t="s">
        <v>512</v>
      </c>
      <c r="C53" s="113" t="s">
        <v>433</v>
      </c>
      <c r="D53" s="113" t="s">
        <v>434</v>
      </c>
      <c r="E53" s="113" t="s">
        <v>429</v>
      </c>
      <c r="F53" s="113" t="s">
        <v>435</v>
      </c>
      <c r="G53" s="113" t="s">
        <v>503</v>
      </c>
      <c r="H53" s="113">
        <v>1380</v>
      </c>
      <c r="I53" s="113">
        <v>897</v>
      </c>
      <c r="J53" s="113">
        <v>1</v>
      </c>
      <c r="K53" s="123">
        <f t="shared" si="0"/>
        <v>73.98</v>
      </c>
      <c r="N53" s="47">
        <v>55.61</v>
      </c>
      <c r="O53" s="47">
        <v>18.37</v>
      </c>
    </row>
    <row r="54" spans="1:16">
      <c r="A54" s="113">
        <v>46</v>
      </c>
      <c r="B54" s="113" t="s">
        <v>513</v>
      </c>
      <c r="C54" s="113" t="s">
        <v>427</v>
      </c>
      <c r="D54" s="113" t="s">
        <v>452</v>
      </c>
      <c r="E54" s="113" t="s">
        <v>453</v>
      </c>
      <c r="F54" s="113" t="s">
        <v>430</v>
      </c>
      <c r="G54" s="113" t="s">
        <v>514</v>
      </c>
      <c r="H54" s="113">
        <v>646</v>
      </c>
      <c r="I54" s="113">
        <v>592</v>
      </c>
      <c r="J54" s="113">
        <v>1</v>
      </c>
      <c r="K54" s="123">
        <f t="shared" si="0"/>
        <v>28.91</v>
      </c>
      <c r="N54" s="47">
        <v>13.91</v>
      </c>
      <c r="P54" s="47">
        <v>15</v>
      </c>
    </row>
    <row r="55" spans="1:16" ht="20.100000000000001" customHeight="1">
      <c r="A55" s="113">
        <v>47</v>
      </c>
      <c r="B55" s="113" t="s">
        <v>515</v>
      </c>
      <c r="C55" s="113" t="s">
        <v>427</v>
      </c>
      <c r="D55" s="113" t="s">
        <v>452</v>
      </c>
      <c r="E55" s="113" t="s">
        <v>453</v>
      </c>
      <c r="F55" s="113" t="s">
        <v>430</v>
      </c>
      <c r="G55" s="113" t="s">
        <v>516</v>
      </c>
      <c r="H55" s="113">
        <v>573</v>
      </c>
      <c r="I55" s="113">
        <v>567</v>
      </c>
      <c r="J55" s="113">
        <v>1</v>
      </c>
      <c r="K55" s="123">
        <f t="shared" si="0"/>
        <v>27.880000000000003</v>
      </c>
      <c r="N55" s="47">
        <v>12.88</v>
      </c>
      <c r="P55" s="47">
        <v>15</v>
      </c>
    </row>
    <row r="56" spans="1:16" ht="20.100000000000001" customHeight="1">
      <c r="A56" s="113">
        <v>48</v>
      </c>
      <c r="B56" s="113" t="s">
        <v>517</v>
      </c>
      <c r="C56" s="113" t="s">
        <v>433</v>
      </c>
      <c r="D56" s="113" t="s">
        <v>434</v>
      </c>
      <c r="E56" s="113" t="s">
        <v>429</v>
      </c>
      <c r="F56" s="113" t="s">
        <v>435</v>
      </c>
      <c r="G56" s="113" t="s">
        <v>518</v>
      </c>
      <c r="H56" s="113">
        <v>2475</v>
      </c>
      <c r="I56" s="113">
        <v>1341</v>
      </c>
      <c r="J56" s="113">
        <v>1</v>
      </c>
      <c r="K56" s="123">
        <f t="shared" si="0"/>
        <v>107.44</v>
      </c>
      <c r="N56" s="47">
        <v>79.98</v>
      </c>
      <c r="O56" s="47">
        <v>27.46</v>
      </c>
    </row>
    <row r="57" spans="1:16" ht="20.100000000000001" customHeight="1">
      <c r="A57" s="113">
        <v>49</v>
      </c>
      <c r="B57" s="113" t="s">
        <v>519</v>
      </c>
      <c r="C57" s="113" t="s">
        <v>433</v>
      </c>
      <c r="D57" s="113" t="s">
        <v>434</v>
      </c>
      <c r="E57" s="113" t="s">
        <v>429</v>
      </c>
      <c r="F57" s="113" t="s">
        <v>435</v>
      </c>
      <c r="G57" s="113" t="s">
        <v>520</v>
      </c>
      <c r="H57" s="113">
        <v>2447</v>
      </c>
      <c r="I57" s="113">
        <v>1332</v>
      </c>
      <c r="J57" s="113">
        <v>1</v>
      </c>
      <c r="K57" s="123">
        <f t="shared" si="0"/>
        <v>106.66</v>
      </c>
      <c r="N57" s="47">
        <v>79.41</v>
      </c>
      <c r="O57" s="47">
        <v>27.25</v>
      </c>
    </row>
    <row r="58" spans="1:16" ht="20.100000000000001" customHeight="1">
      <c r="A58" s="113">
        <v>50</v>
      </c>
      <c r="B58" s="113" t="s">
        <v>521</v>
      </c>
      <c r="C58" s="113" t="s">
        <v>433</v>
      </c>
      <c r="D58" s="113" t="s">
        <v>434</v>
      </c>
      <c r="E58" s="113" t="s">
        <v>429</v>
      </c>
      <c r="F58" s="113" t="s">
        <v>435</v>
      </c>
      <c r="G58" s="113" t="s">
        <v>522</v>
      </c>
      <c r="H58" s="113">
        <v>1858</v>
      </c>
      <c r="I58" s="113">
        <v>1338</v>
      </c>
      <c r="J58" s="113">
        <v>1</v>
      </c>
      <c r="K58" s="123">
        <f t="shared" si="0"/>
        <v>96.18</v>
      </c>
      <c r="N58" s="47">
        <v>71.900000000000006</v>
      </c>
      <c r="O58" s="47">
        <v>24.28</v>
      </c>
    </row>
    <row r="59" spans="1:16" ht="20.100000000000001" customHeight="1">
      <c r="A59" s="113">
        <v>51</v>
      </c>
      <c r="B59" s="113" t="s">
        <v>523</v>
      </c>
      <c r="C59" s="113" t="s">
        <v>433</v>
      </c>
      <c r="D59" s="113" t="s">
        <v>434</v>
      </c>
      <c r="E59" s="113" t="s">
        <v>429</v>
      </c>
      <c r="F59" s="113" t="s">
        <v>435</v>
      </c>
      <c r="G59" s="113" t="s">
        <v>524</v>
      </c>
      <c r="H59" s="113">
        <v>911</v>
      </c>
      <c r="I59" s="113">
        <v>1295</v>
      </c>
      <c r="J59" s="113">
        <v>1</v>
      </c>
      <c r="K59" s="123">
        <f t="shared" si="0"/>
        <v>77.709999999999994</v>
      </c>
      <c r="N59" s="47">
        <v>58.62</v>
      </c>
      <c r="O59" s="47">
        <v>19.09</v>
      </c>
    </row>
    <row r="60" spans="1:16" ht="20.100000000000001" customHeight="1">
      <c r="A60" s="113">
        <v>52</v>
      </c>
      <c r="B60" s="113" t="s">
        <v>525</v>
      </c>
      <c r="C60" s="113" t="s">
        <v>427</v>
      </c>
      <c r="D60" s="113" t="s">
        <v>452</v>
      </c>
      <c r="E60" s="113" t="s">
        <v>453</v>
      </c>
      <c r="F60" s="113" t="s">
        <v>430</v>
      </c>
      <c r="G60" s="113" t="s">
        <v>526</v>
      </c>
      <c r="H60" s="113">
        <v>566</v>
      </c>
      <c r="I60" s="113">
        <v>566</v>
      </c>
      <c r="J60" s="113">
        <v>1</v>
      </c>
      <c r="K60" s="123">
        <f t="shared" si="0"/>
        <v>27.79</v>
      </c>
      <c r="N60" s="47">
        <v>12.79</v>
      </c>
      <c r="P60" s="47">
        <v>15</v>
      </c>
    </row>
    <row r="61" spans="1:16" ht="20.100000000000001" customHeight="1">
      <c r="A61" s="113">
        <v>53</v>
      </c>
      <c r="B61" s="113" t="s">
        <v>527</v>
      </c>
      <c r="C61" s="113" t="s">
        <v>427</v>
      </c>
      <c r="D61" s="113" t="s">
        <v>452</v>
      </c>
      <c r="E61" s="113" t="s">
        <v>453</v>
      </c>
      <c r="F61" s="113" t="s">
        <v>430</v>
      </c>
      <c r="G61" s="113" t="s">
        <v>528</v>
      </c>
      <c r="H61" s="113">
        <v>571</v>
      </c>
      <c r="I61" s="113">
        <v>565</v>
      </c>
      <c r="J61" s="113">
        <v>1</v>
      </c>
      <c r="K61" s="123">
        <f t="shared" si="0"/>
        <v>27.83</v>
      </c>
      <c r="N61" s="47">
        <v>12.83</v>
      </c>
      <c r="P61" s="47">
        <v>15</v>
      </c>
    </row>
    <row r="62" spans="1:16" ht="20.100000000000001" customHeight="1">
      <c r="A62" s="113">
        <v>54</v>
      </c>
      <c r="B62" s="113" t="s">
        <v>529</v>
      </c>
      <c r="C62" s="113" t="s">
        <v>427</v>
      </c>
      <c r="D62" s="113" t="s">
        <v>428</v>
      </c>
      <c r="E62" s="113" t="s">
        <v>429</v>
      </c>
      <c r="F62" s="113" t="s">
        <v>430</v>
      </c>
      <c r="G62" s="113" t="s">
        <v>530</v>
      </c>
      <c r="H62" s="113">
        <v>865</v>
      </c>
      <c r="I62" s="113">
        <v>1269</v>
      </c>
      <c r="J62" s="113">
        <v>1</v>
      </c>
      <c r="K62" s="123">
        <f t="shared" si="0"/>
        <v>23.31</v>
      </c>
      <c r="N62" s="47">
        <v>23.31</v>
      </c>
    </row>
    <row r="63" spans="1:16" ht="20.100000000000001" customHeight="1">
      <c r="A63" s="113">
        <v>55</v>
      </c>
      <c r="B63" s="113" t="s">
        <v>531</v>
      </c>
      <c r="C63" s="113" t="s">
        <v>433</v>
      </c>
      <c r="D63" s="113" t="s">
        <v>434</v>
      </c>
      <c r="E63" s="113" t="s">
        <v>429</v>
      </c>
      <c r="F63" s="113" t="s">
        <v>435</v>
      </c>
      <c r="G63" s="113" t="s">
        <v>532</v>
      </c>
      <c r="H63" s="113">
        <v>1842</v>
      </c>
      <c r="I63" s="113">
        <v>1253</v>
      </c>
      <c r="J63" s="113">
        <v>1</v>
      </c>
      <c r="K63" s="123">
        <f t="shared" si="0"/>
        <v>93.28</v>
      </c>
      <c r="N63" s="47">
        <v>69.75</v>
      </c>
      <c r="O63" s="47">
        <v>23.53</v>
      </c>
    </row>
    <row r="64" spans="1:16">
      <c r="A64" s="113">
        <v>56</v>
      </c>
      <c r="B64" s="113" t="s">
        <v>533</v>
      </c>
      <c r="C64" s="113" t="s">
        <v>433</v>
      </c>
      <c r="D64" s="113" t="s">
        <v>434</v>
      </c>
      <c r="E64" s="113" t="s">
        <v>429</v>
      </c>
      <c r="F64" s="113" t="s">
        <v>435</v>
      </c>
      <c r="G64" s="113" t="s">
        <v>534</v>
      </c>
      <c r="H64" s="113">
        <v>3730</v>
      </c>
      <c r="I64" s="113">
        <v>1295</v>
      </c>
      <c r="J64" s="113">
        <v>1</v>
      </c>
      <c r="K64" s="123">
        <f t="shared" si="0"/>
        <v>128.76</v>
      </c>
      <c r="N64" s="47">
        <v>95.23</v>
      </c>
      <c r="O64" s="47">
        <v>33.53</v>
      </c>
    </row>
    <row r="65" spans="1:16" ht="20.100000000000001" customHeight="1">
      <c r="A65" s="113">
        <v>57</v>
      </c>
      <c r="B65" s="113" t="s">
        <v>535</v>
      </c>
      <c r="C65" s="113" t="s">
        <v>433</v>
      </c>
      <c r="D65" s="113" t="s">
        <v>434</v>
      </c>
      <c r="E65" s="113" t="s">
        <v>429</v>
      </c>
      <c r="F65" s="113" t="s">
        <v>435</v>
      </c>
      <c r="G65" s="113" t="s">
        <v>536</v>
      </c>
      <c r="H65" s="113">
        <v>2441</v>
      </c>
      <c r="I65" s="113">
        <v>1301</v>
      </c>
      <c r="J65" s="113">
        <v>1</v>
      </c>
      <c r="K65" s="123">
        <f t="shared" si="0"/>
        <v>105.61</v>
      </c>
      <c r="N65" s="47">
        <v>78.63</v>
      </c>
      <c r="O65" s="47">
        <v>26.98</v>
      </c>
    </row>
    <row r="66" spans="1:16" ht="20.100000000000001" customHeight="1">
      <c r="A66" s="113">
        <v>58</v>
      </c>
      <c r="B66" s="113" t="s">
        <v>537</v>
      </c>
      <c r="C66" s="113" t="s">
        <v>427</v>
      </c>
      <c r="D66" s="113" t="s">
        <v>428</v>
      </c>
      <c r="E66" s="113" t="s">
        <v>429</v>
      </c>
      <c r="F66" s="113" t="s">
        <v>430</v>
      </c>
      <c r="G66" s="113" t="s">
        <v>536</v>
      </c>
      <c r="H66" s="113">
        <v>1524</v>
      </c>
      <c r="I66" s="113">
        <v>1294</v>
      </c>
      <c r="J66" s="113">
        <v>1</v>
      </c>
      <c r="K66" s="123">
        <f t="shared" si="0"/>
        <v>30.54</v>
      </c>
      <c r="N66" s="47">
        <v>30.54</v>
      </c>
    </row>
    <row r="67" spans="1:16" ht="20.100000000000001" customHeight="1">
      <c r="A67" s="113">
        <v>59</v>
      </c>
      <c r="B67" s="113" t="s">
        <v>538</v>
      </c>
      <c r="C67" s="113" t="s">
        <v>427</v>
      </c>
      <c r="D67" s="113" t="s">
        <v>428</v>
      </c>
      <c r="E67" s="113" t="s">
        <v>429</v>
      </c>
      <c r="F67" s="113" t="s">
        <v>430</v>
      </c>
      <c r="G67" s="113" t="s">
        <v>539</v>
      </c>
      <c r="H67" s="113">
        <v>1564</v>
      </c>
      <c r="I67" s="113">
        <v>1337</v>
      </c>
      <c r="J67" s="113">
        <v>1</v>
      </c>
      <c r="K67" s="123">
        <f t="shared" si="0"/>
        <v>31.41</v>
      </c>
      <c r="N67" s="47">
        <v>31.41</v>
      </c>
    </row>
    <row r="68" spans="1:16" ht="20.100000000000001" customHeight="1">
      <c r="A68" s="113">
        <v>60</v>
      </c>
      <c r="B68" s="113" t="s">
        <v>540</v>
      </c>
      <c r="C68" s="113" t="s">
        <v>427</v>
      </c>
      <c r="D68" s="113" t="s">
        <v>428</v>
      </c>
      <c r="E68" s="113" t="s">
        <v>429</v>
      </c>
      <c r="F68" s="113" t="s">
        <v>430</v>
      </c>
      <c r="G68" s="113" t="s">
        <v>539</v>
      </c>
      <c r="H68" s="113">
        <v>1564</v>
      </c>
      <c r="I68" s="113">
        <v>1336</v>
      </c>
      <c r="J68" s="113">
        <v>1</v>
      </c>
      <c r="K68" s="123">
        <f t="shared" si="0"/>
        <v>31.4</v>
      </c>
      <c r="N68" s="47">
        <v>31.4</v>
      </c>
    </row>
    <row r="69" spans="1:16" ht="20.100000000000001" customHeight="1">
      <c r="A69" s="113">
        <v>61</v>
      </c>
      <c r="B69" s="113" t="s">
        <v>541</v>
      </c>
      <c r="C69" s="113" t="s">
        <v>427</v>
      </c>
      <c r="D69" s="113" t="s">
        <v>428</v>
      </c>
      <c r="E69" s="113" t="s">
        <v>429</v>
      </c>
      <c r="F69" s="113" t="s">
        <v>430</v>
      </c>
      <c r="G69" s="113" t="s">
        <v>539</v>
      </c>
      <c r="H69" s="113">
        <v>1563</v>
      </c>
      <c r="I69" s="113">
        <v>1340</v>
      </c>
      <c r="J69" s="113">
        <v>1</v>
      </c>
      <c r="K69" s="123">
        <f t="shared" si="0"/>
        <v>31.43</v>
      </c>
      <c r="N69" s="47">
        <v>31.43</v>
      </c>
    </row>
    <row r="70" spans="1:16" ht="20.100000000000001" customHeight="1">
      <c r="A70" s="113">
        <v>62</v>
      </c>
      <c r="B70" s="113" t="s">
        <v>542</v>
      </c>
      <c r="C70" s="113" t="s">
        <v>427</v>
      </c>
      <c r="D70" s="113" t="s">
        <v>428</v>
      </c>
      <c r="E70" s="113" t="s">
        <v>429</v>
      </c>
      <c r="F70" s="113" t="s">
        <v>430</v>
      </c>
      <c r="G70" s="113" t="s">
        <v>543</v>
      </c>
      <c r="H70" s="113">
        <v>1562</v>
      </c>
      <c r="I70" s="113">
        <v>1336</v>
      </c>
      <c r="J70" s="113">
        <v>1</v>
      </c>
      <c r="K70" s="123">
        <f t="shared" si="0"/>
        <v>31.38</v>
      </c>
      <c r="N70" s="47">
        <v>31.38</v>
      </c>
    </row>
    <row r="71" spans="1:16" ht="20.100000000000001" customHeight="1">
      <c r="A71" s="113">
        <v>63</v>
      </c>
      <c r="B71" s="113" t="s">
        <v>544</v>
      </c>
      <c r="C71" s="113" t="s">
        <v>433</v>
      </c>
      <c r="D71" s="113" t="s">
        <v>434</v>
      </c>
      <c r="E71" s="113" t="s">
        <v>429</v>
      </c>
      <c r="F71" s="113" t="s">
        <v>435</v>
      </c>
      <c r="G71" s="113" t="s">
        <v>543</v>
      </c>
      <c r="H71" s="113">
        <v>2461</v>
      </c>
      <c r="I71" s="113">
        <v>1326</v>
      </c>
      <c r="J71" s="113">
        <v>1</v>
      </c>
      <c r="K71" s="123">
        <f t="shared" si="0"/>
        <v>106.72999999999999</v>
      </c>
      <c r="N71" s="47">
        <v>79.459999999999994</v>
      </c>
      <c r="O71" s="47">
        <v>27.27</v>
      </c>
    </row>
    <row r="72" spans="1:16" ht="20.100000000000001" customHeight="1">
      <c r="A72" s="113">
        <v>64</v>
      </c>
      <c r="B72" s="113" t="s">
        <v>545</v>
      </c>
      <c r="C72" s="113" t="s">
        <v>427</v>
      </c>
      <c r="D72" s="113" t="s">
        <v>452</v>
      </c>
      <c r="E72" s="113" t="s">
        <v>453</v>
      </c>
      <c r="F72" s="113" t="s">
        <v>430</v>
      </c>
      <c r="G72" s="113" t="s">
        <v>546</v>
      </c>
      <c r="H72" s="113">
        <v>568</v>
      </c>
      <c r="I72" s="113">
        <v>576</v>
      </c>
      <c r="J72" s="113">
        <v>1</v>
      </c>
      <c r="K72" s="123">
        <f t="shared" si="0"/>
        <v>27.92</v>
      </c>
      <c r="N72" s="47">
        <v>12.92</v>
      </c>
      <c r="P72" s="47">
        <v>15</v>
      </c>
    </row>
    <row r="73" spans="1:16" ht="20.100000000000001" customHeight="1">
      <c r="A73" s="113">
        <v>65</v>
      </c>
      <c r="B73" s="113" t="s">
        <v>547</v>
      </c>
      <c r="C73" s="113" t="s">
        <v>433</v>
      </c>
      <c r="D73" s="113" t="s">
        <v>434</v>
      </c>
      <c r="E73" s="113" t="s">
        <v>429</v>
      </c>
      <c r="F73" s="113" t="s">
        <v>435</v>
      </c>
      <c r="G73" s="113" t="s">
        <v>548</v>
      </c>
      <c r="H73" s="113">
        <v>2483</v>
      </c>
      <c r="I73" s="113">
        <v>1335</v>
      </c>
      <c r="J73" s="113">
        <v>1</v>
      </c>
      <c r="K73" s="123">
        <f t="shared" si="0"/>
        <v>107.41</v>
      </c>
      <c r="N73" s="47">
        <v>79.95</v>
      </c>
      <c r="O73" s="47">
        <v>27.46</v>
      </c>
    </row>
    <row r="74" spans="1:16">
      <c r="A74" s="113">
        <v>66</v>
      </c>
      <c r="B74" s="113" t="s">
        <v>549</v>
      </c>
      <c r="C74" s="113" t="s">
        <v>433</v>
      </c>
      <c r="D74" s="113" t="s">
        <v>434</v>
      </c>
      <c r="E74" s="113" t="s">
        <v>429</v>
      </c>
      <c r="F74" s="113" t="s">
        <v>435</v>
      </c>
      <c r="G74" s="113" t="s">
        <v>550</v>
      </c>
      <c r="H74" s="113">
        <v>2481</v>
      </c>
      <c r="I74" s="113">
        <v>1335</v>
      </c>
      <c r="J74" s="113">
        <v>1</v>
      </c>
      <c r="K74" s="123">
        <f t="shared" ref="K74:K108" si="1">N74+O74+P74</f>
        <v>107.37</v>
      </c>
      <c r="N74" s="47">
        <v>79.92</v>
      </c>
      <c r="O74" s="47">
        <v>27.45</v>
      </c>
    </row>
    <row r="75" spans="1:16" ht="20.100000000000001" customHeight="1">
      <c r="A75" s="113">
        <v>67</v>
      </c>
      <c r="B75" s="113" t="s">
        <v>551</v>
      </c>
      <c r="C75" s="113" t="s">
        <v>433</v>
      </c>
      <c r="D75" s="113" t="s">
        <v>434</v>
      </c>
      <c r="E75" s="113" t="s">
        <v>429</v>
      </c>
      <c r="F75" s="113" t="s">
        <v>435</v>
      </c>
      <c r="G75" s="113" t="s">
        <v>552</v>
      </c>
      <c r="H75" s="113">
        <v>1865</v>
      </c>
      <c r="I75" s="113">
        <v>1334</v>
      </c>
      <c r="J75" s="113">
        <v>1</v>
      </c>
      <c r="K75" s="123">
        <f t="shared" si="1"/>
        <v>96.18</v>
      </c>
      <c r="N75" s="47">
        <v>71.900000000000006</v>
      </c>
      <c r="O75" s="47">
        <v>24.28</v>
      </c>
    </row>
    <row r="76" spans="1:16" ht="20.100000000000001" customHeight="1">
      <c r="A76" s="113">
        <v>68</v>
      </c>
      <c r="B76" s="113" t="s">
        <v>553</v>
      </c>
      <c r="C76" s="113" t="s">
        <v>433</v>
      </c>
      <c r="D76" s="113" t="s">
        <v>434</v>
      </c>
      <c r="E76" s="113" t="s">
        <v>429</v>
      </c>
      <c r="F76" s="113" t="s">
        <v>435</v>
      </c>
      <c r="G76" s="113" t="s">
        <v>554</v>
      </c>
      <c r="H76" s="113">
        <v>914</v>
      </c>
      <c r="I76" s="113">
        <v>1295</v>
      </c>
      <c r="J76" s="113">
        <v>1</v>
      </c>
      <c r="K76" s="123">
        <f t="shared" si="1"/>
        <v>77.759999999999991</v>
      </c>
      <c r="N76" s="47">
        <v>58.65</v>
      </c>
      <c r="O76" s="47">
        <v>19.11</v>
      </c>
    </row>
    <row r="77" spans="1:16" ht="20.100000000000001" customHeight="1">
      <c r="A77" s="113">
        <v>69</v>
      </c>
      <c r="B77" s="113" t="s">
        <v>555</v>
      </c>
      <c r="C77" s="113" t="s">
        <v>427</v>
      </c>
      <c r="D77" s="113" t="s">
        <v>452</v>
      </c>
      <c r="E77" s="113" t="s">
        <v>453</v>
      </c>
      <c r="F77" s="113" t="s">
        <v>430</v>
      </c>
      <c r="G77" s="113" t="s">
        <v>556</v>
      </c>
      <c r="H77" s="113">
        <v>570</v>
      </c>
      <c r="I77" s="113">
        <v>569</v>
      </c>
      <c r="J77" s="113">
        <v>1</v>
      </c>
      <c r="K77" s="123">
        <f t="shared" si="1"/>
        <v>27.869999999999997</v>
      </c>
      <c r="N77" s="47">
        <v>12.87</v>
      </c>
      <c r="P77" s="47">
        <v>15</v>
      </c>
    </row>
    <row r="78" spans="1:16" ht="20.100000000000001" customHeight="1">
      <c r="A78" s="113">
        <v>70</v>
      </c>
      <c r="B78" s="113" t="s">
        <v>557</v>
      </c>
      <c r="C78" s="113" t="s">
        <v>427</v>
      </c>
      <c r="D78" s="113" t="s">
        <v>452</v>
      </c>
      <c r="E78" s="113" t="s">
        <v>453</v>
      </c>
      <c r="F78" s="113" t="s">
        <v>430</v>
      </c>
      <c r="G78" s="113" t="s">
        <v>558</v>
      </c>
      <c r="H78" s="113">
        <v>572</v>
      </c>
      <c r="I78" s="113">
        <v>568</v>
      </c>
      <c r="J78" s="113">
        <v>1</v>
      </c>
      <c r="K78" s="123">
        <f t="shared" si="1"/>
        <v>27.880000000000003</v>
      </c>
      <c r="N78" s="47">
        <v>12.88</v>
      </c>
      <c r="P78" s="47">
        <v>15</v>
      </c>
    </row>
    <row r="79" spans="1:16" ht="20.100000000000001" customHeight="1">
      <c r="A79" s="113">
        <v>71</v>
      </c>
      <c r="B79" s="113" t="s">
        <v>559</v>
      </c>
      <c r="C79" s="113" t="s">
        <v>427</v>
      </c>
      <c r="D79" s="113" t="s">
        <v>428</v>
      </c>
      <c r="E79" s="113" t="s">
        <v>429</v>
      </c>
      <c r="F79" s="113" t="s">
        <v>430</v>
      </c>
      <c r="G79" s="113" t="s">
        <v>560</v>
      </c>
      <c r="H79" s="113">
        <v>865</v>
      </c>
      <c r="I79" s="113">
        <v>1267</v>
      </c>
      <c r="J79" s="113">
        <v>1</v>
      </c>
      <c r="K79" s="123">
        <f t="shared" si="1"/>
        <v>23.29</v>
      </c>
      <c r="N79" s="47">
        <v>23.29</v>
      </c>
    </row>
    <row r="80" spans="1:16" ht="20.100000000000001" customHeight="1">
      <c r="A80" s="113">
        <v>72</v>
      </c>
      <c r="B80" s="113" t="s">
        <v>561</v>
      </c>
      <c r="C80" s="113" t="s">
        <v>433</v>
      </c>
      <c r="D80" s="113" t="s">
        <v>434</v>
      </c>
      <c r="E80" s="113" t="s">
        <v>429</v>
      </c>
      <c r="F80" s="113" t="s">
        <v>435</v>
      </c>
      <c r="G80" s="113" t="s">
        <v>562</v>
      </c>
      <c r="H80" s="113">
        <v>1844</v>
      </c>
      <c r="I80" s="113">
        <v>1201</v>
      </c>
      <c r="J80" s="113">
        <v>1</v>
      </c>
      <c r="K80" s="123">
        <f t="shared" si="1"/>
        <v>91.72</v>
      </c>
      <c r="N80" s="47">
        <v>68.59</v>
      </c>
      <c r="O80" s="47">
        <v>23.13</v>
      </c>
    </row>
    <row r="81" spans="1:15" ht="20.100000000000001" customHeight="1">
      <c r="A81" s="113">
        <v>73</v>
      </c>
      <c r="B81" s="113" t="s">
        <v>563</v>
      </c>
      <c r="C81" s="113" t="s">
        <v>427</v>
      </c>
      <c r="D81" s="113" t="s">
        <v>428</v>
      </c>
      <c r="E81" s="113" t="s">
        <v>429</v>
      </c>
      <c r="F81" s="113" t="s">
        <v>430</v>
      </c>
      <c r="G81" s="113" t="s">
        <v>564</v>
      </c>
      <c r="H81" s="113">
        <v>866</v>
      </c>
      <c r="I81" s="113">
        <v>816</v>
      </c>
      <c r="J81" s="113">
        <v>1</v>
      </c>
      <c r="K81" s="123">
        <f t="shared" si="1"/>
        <v>18.57</v>
      </c>
      <c r="N81" s="47">
        <v>18.57</v>
      </c>
    </row>
    <row r="82" spans="1:15" ht="20.100000000000001" customHeight="1">
      <c r="A82" s="113">
        <v>74</v>
      </c>
      <c r="B82" s="113" t="s">
        <v>565</v>
      </c>
      <c r="C82" s="113" t="s">
        <v>433</v>
      </c>
      <c r="D82" s="113" t="s">
        <v>434</v>
      </c>
      <c r="E82" s="113" t="s">
        <v>429</v>
      </c>
      <c r="F82" s="113" t="s">
        <v>435</v>
      </c>
      <c r="G82" s="113" t="s">
        <v>566</v>
      </c>
      <c r="H82" s="113">
        <v>1809</v>
      </c>
      <c r="I82" s="113">
        <v>819</v>
      </c>
      <c r="J82" s="113">
        <v>1</v>
      </c>
      <c r="K82" s="123">
        <f t="shared" si="1"/>
        <v>79.36</v>
      </c>
      <c r="N82" s="47">
        <v>59.4</v>
      </c>
      <c r="O82" s="47">
        <v>19.96</v>
      </c>
    </row>
    <row r="83" spans="1:15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>
        <f t="shared" si="1"/>
        <v>0</v>
      </c>
    </row>
    <row r="84" spans="1:15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>
        <f t="shared" si="1"/>
        <v>0</v>
      </c>
    </row>
    <row r="85" spans="1:15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>
        <f t="shared" si="1"/>
        <v>0</v>
      </c>
    </row>
    <row r="86" spans="1:15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>
        <f t="shared" si="1"/>
        <v>0</v>
      </c>
    </row>
    <row r="87" spans="1:15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>
        <f t="shared" si="1"/>
        <v>0</v>
      </c>
    </row>
    <row r="88" spans="1:15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>
        <f t="shared" si="1"/>
        <v>0</v>
      </c>
    </row>
    <row r="89" spans="1:15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>
        <f t="shared" si="1"/>
        <v>0</v>
      </c>
    </row>
    <row r="90" spans="1:15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>
        <f t="shared" si="1"/>
        <v>0</v>
      </c>
    </row>
    <row r="91" spans="1:15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>
        <f t="shared" si="1"/>
        <v>0</v>
      </c>
    </row>
    <row r="92" spans="1:15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>
        <f t="shared" si="1"/>
        <v>0</v>
      </c>
    </row>
    <row r="93" spans="1:15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>
        <f t="shared" si="1"/>
        <v>0</v>
      </c>
    </row>
    <row r="94" spans="1:15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>
        <f t="shared" si="1"/>
        <v>0</v>
      </c>
    </row>
    <row r="95" spans="1:15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>
        <f t="shared" si="1"/>
        <v>0</v>
      </c>
    </row>
    <row r="96" spans="1:15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>
        <f t="shared" si="1"/>
        <v>0</v>
      </c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>
        <f t="shared" si="1"/>
        <v>0</v>
      </c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>
        <f t="shared" si="1"/>
        <v>0</v>
      </c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>
        <f t="shared" si="1"/>
        <v>0</v>
      </c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>
        <f t="shared" si="1"/>
        <v>0</v>
      </c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>
        <f t="shared" si="1"/>
        <v>0</v>
      </c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>
        <f t="shared" si="1"/>
        <v>0</v>
      </c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>
        <f t="shared" si="1"/>
        <v>0</v>
      </c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>
        <f t="shared" si="1"/>
        <v>0</v>
      </c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>
        <f t="shared" si="1"/>
        <v>0</v>
      </c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>
        <f t="shared" si="1"/>
        <v>0</v>
      </c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>
        <f t="shared" si="1"/>
        <v>0</v>
      </c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>
        <f t="shared" si="1"/>
        <v>0</v>
      </c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6" sqref="R1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FG</v>
      </c>
      <c r="C4" s="118" t="str">
        <f>'BD Team'!C9</f>
        <v>M940</v>
      </c>
      <c r="D4" s="118" t="str">
        <f>'BD Team'!D9</f>
        <v>FIXED GLASS</v>
      </c>
      <c r="E4" s="118" t="str">
        <f>'BD Team'!F9</f>
        <v>NO</v>
      </c>
      <c r="F4" s="121" t="str">
        <f>'BD Team'!G9</f>
        <v>GF - SERVANT ROOM</v>
      </c>
      <c r="G4" s="118">
        <f>'BD Team'!H9</f>
        <v>861</v>
      </c>
      <c r="H4" s="118">
        <f>'BD Team'!I9</f>
        <v>1270</v>
      </c>
      <c r="I4" s="118">
        <f>'BD Team'!J9</f>
        <v>1</v>
      </c>
      <c r="J4" s="103">
        <f t="shared" ref="J4:J53" si="0">G4*H4*I4*10.764/1000000</f>
        <v>11.77011108</v>
      </c>
      <c r="K4" s="172">
        <f>'BD Team'!K9</f>
        <v>23.28</v>
      </c>
      <c r="L4" s="171">
        <f>K4*I4</f>
        <v>23.28</v>
      </c>
      <c r="M4" s="170">
        <f>L4*'Changable Values'!$D$4</f>
        <v>1932.24</v>
      </c>
      <c r="N4" s="170" t="str">
        <f>'BD Team'!E9</f>
        <v>20MM</v>
      </c>
      <c r="O4" s="172">
        <v>2538</v>
      </c>
      <c r="P4" s="241"/>
      <c r="Q4" s="173"/>
      <c r="R4" s="185"/>
      <c r="S4" s="312"/>
      <c r="T4" s="313">
        <f>(G4+H4)*I4*2/300</f>
        <v>14.206666666666667</v>
      </c>
      <c r="U4" s="313">
        <f>SUM(G4:H4)*I4*2*4/1000</f>
        <v>17.047999999999998</v>
      </c>
      <c r="V4" s="313">
        <f>SUM(G4:H4)*I4*5*5*4/(1000*240)</f>
        <v>0.88791666666666669</v>
      </c>
      <c r="W4" s="313">
        <f>T4</f>
        <v>14.206666666666667</v>
      </c>
      <c r="X4" s="313">
        <f>W4*2</f>
        <v>28.413333333333334</v>
      </c>
      <c r="Y4" s="313">
        <f>SUM(G4:H4)*I4*4/1000</f>
        <v>8.5239999999999991</v>
      </c>
    </row>
    <row r="5" spans="1:25" ht="28.5">
      <c r="A5" s="118">
        <f>'BD Team'!A10</f>
        <v>2</v>
      </c>
      <c r="B5" s="118" t="str">
        <f>'BD Team'!B10</f>
        <v>SW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STAIRCASE STILT MID LANDING</v>
      </c>
      <c r="G5" s="118">
        <f>'BD Team'!H10</f>
        <v>1803</v>
      </c>
      <c r="H5" s="118">
        <f>'BD Team'!I10</f>
        <v>1292</v>
      </c>
      <c r="I5" s="118">
        <f>'BD Team'!J10</f>
        <v>1</v>
      </c>
      <c r="J5" s="103">
        <f t="shared" si="0"/>
        <v>25.074479663999998</v>
      </c>
      <c r="K5" s="172">
        <f>'BD Team'!K10</f>
        <v>93.77</v>
      </c>
      <c r="L5" s="171">
        <f t="shared" ref="L5:L53" si="1">K5*I5</f>
        <v>93.77</v>
      </c>
      <c r="M5" s="170">
        <f>L5*'Changable Values'!$D$4</f>
        <v>7782.91</v>
      </c>
      <c r="N5" s="170" t="str">
        <f>'BD Team'!E10</f>
        <v>20MM</v>
      </c>
      <c r="O5" s="172">
        <v>2538</v>
      </c>
      <c r="P5" s="241"/>
      <c r="Q5" s="173">
        <f>35*10.764</f>
        <v>376.73999999999995</v>
      </c>
      <c r="R5" s="185"/>
      <c r="S5" s="312"/>
      <c r="T5" s="313">
        <f t="shared" ref="T5:T68" si="2">(G5+H5)*I5*2/300</f>
        <v>20.633333333333333</v>
      </c>
      <c r="U5" s="313">
        <f t="shared" ref="U5:U68" si="3">SUM(G5:H5)*I5*2*4/1000</f>
        <v>24.76</v>
      </c>
      <c r="V5" s="313">
        <f t="shared" ref="V5:V68" si="4">SUM(G5:H5)*I5*5*5*4/(1000*240)</f>
        <v>1.2895833333333333</v>
      </c>
      <c r="W5" s="313">
        <f t="shared" ref="W5:W68" si="5">T5</f>
        <v>20.633333333333333</v>
      </c>
      <c r="X5" s="313">
        <f t="shared" ref="X5:X68" si="6">W5*2</f>
        <v>41.266666666666666</v>
      </c>
      <c r="Y5" s="313">
        <f t="shared" ref="Y5:Y68" si="7">SUM(G5:H5)*I5*4/1000</f>
        <v>12.38</v>
      </c>
    </row>
    <row r="6" spans="1:25">
      <c r="A6" s="118">
        <f>'BD Team'!A11</f>
        <v>3</v>
      </c>
      <c r="B6" s="118" t="str">
        <f>'BD Team'!B11</f>
        <v>SW1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FF - RECEPTION</v>
      </c>
      <c r="G6" s="118">
        <f>'BD Team'!H11</f>
        <v>3743</v>
      </c>
      <c r="H6" s="118">
        <f>'BD Team'!I11</f>
        <v>1295</v>
      </c>
      <c r="I6" s="118">
        <f>'BD Team'!J11</f>
        <v>1</v>
      </c>
      <c r="J6" s="103">
        <f t="shared" si="0"/>
        <v>52.175099339999996</v>
      </c>
      <c r="K6" s="172">
        <f>'BD Team'!K11</f>
        <v>151.25</v>
      </c>
      <c r="L6" s="171">
        <f t="shared" si="1"/>
        <v>151.25</v>
      </c>
      <c r="M6" s="170">
        <f>L6*'Changable Values'!$D$4</f>
        <v>12553.75</v>
      </c>
      <c r="N6" s="170" t="str">
        <f>'BD Team'!E11</f>
        <v>20MM</v>
      </c>
      <c r="O6" s="172">
        <v>2538</v>
      </c>
      <c r="P6" s="241"/>
      <c r="Q6" s="173">
        <f t="shared" ref="Q6:Q7" si="8">35*10.764</f>
        <v>376.73999999999995</v>
      </c>
      <c r="R6" s="185"/>
      <c r="S6" s="312"/>
      <c r="T6" s="313">
        <f t="shared" si="2"/>
        <v>33.586666666666666</v>
      </c>
      <c r="U6" s="313">
        <f t="shared" si="3"/>
        <v>40.304000000000002</v>
      </c>
      <c r="V6" s="313">
        <f t="shared" si="4"/>
        <v>2.0991666666666666</v>
      </c>
      <c r="W6" s="313">
        <f t="shared" si="5"/>
        <v>33.586666666666666</v>
      </c>
      <c r="X6" s="313">
        <f t="shared" si="6"/>
        <v>67.173333333333332</v>
      </c>
      <c r="Y6" s="313">
        <f t="shared" si="7"/>
        <v>20.152000000000001</v>
      </c>
    </row>
    <row r="7" spans="1:25">
      <c r="A7" s="118">
        <f>'BD Team'!A12</f>
        <v>4</v>
      </c>
      <c r="B7" s="118" t="str">
        <f>'BD Team'!B12</f>
        <v>SW2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FF - CONFERENCE</v>
      </c>
      <c r="G7" s="118">
        <f>'BD Team'!H12</f>
        <v>2443</v>
      </c>
      <c r="H7" s="118">
        <f>'BD Team'!I12</f>
        <v>1295</v>
      </c>
      <c r="I7" s="118">
        <f>'BD Team'!J12</f>
        <v>1</v>
      </c>
      <c r="J7" s="103">
        <f t="shared" si="0"/>
        <v>34.053905339999993</v>
      </c>
      <c r="K7" s="172">
        <f>'BD Team'!K12</f>
        <v>105.45</v>
      </c>
      <c r="L7" s="171">
        <f t="shared" si="1"/>
        <v>105.45</v>
      </c>
      <c r="M7" s="170">
        <f>L7*'Changable Values'!$D$4</f>
        <v>8752.35</v>
      </c>
      <c r="N7" s="170" t="str">
        <f>'BD Team'!E12</f>
        <v>20MM</v>
      </c>
      <c r="O7" s="172">
        <v>2538</v>
      </c>
      <c r="P7" s="241"/>
      <c r="Q7" s="173">
        <f t="shared" si="8"/>
        <v>376.73999999999995</v>
      </c>
      <c r="R7" s="185"/>
      <c r="S7" s="312"/>
      <c r="T7" s="313">
        <f t="shared" si="2"/>
        <v>24.92</v>
      </c>
      <c r="U7" s="313">
        <f t="shared" si="3"/>
        <v>29.904</v>
      </c>
      <c r="V7" s="313">
        <f t="shared" si="4"/>
        <v>1.5575000000000001</v>
      </c>
      <c r="W7" s="313">
        <f t="shared" si="5"/>
        <v>24.92</v>
      </c>
      <c r="X7" s="313">
        <f t="shared" si="6"/>
        <v>49.84</v>
      </c>
      <c r="Y7" s="313">
        <f t="shared" si="7"/>
        <v>14.952</v>
      </c>
    </row>
    <row r="8" spans="1:25">
      <c r="A8" s="118">
        <f>'BD Team'!A13</f>
        <v>5</v>
      </c>
      <c r="B8" s="118" t="str">
        <f>'BD Team'!B13</f>
        <v>FG1</v>
      </c>
      <c r="C8" s="118" t="str">
        <f>'BD Team'!C13</f>
        <v>M940</v>
      </c>
      <c r="D8" s="118" t="str">
        <f>'BD Team'!D13</f>
        <v>FIXED GLASS</v>
      </c>
      <c r="E8" s="118" t="str">
        <f>'BD Team'!F13</f>
        <v>NO</v>
      </c>
      <c r="F8" s="121" t="str">
        <f>'BD Team'!G13</f>
        <v>FF - CONFERENCE</v>
      </c>
      <c r="G8" s="118">
        <f>'BD Team'!H13</f>
        <v>1527</v>
      </c>
      <c r="H8" s="118">
        <f>'BD Team'!I13</f>
        <v>1291</v>
      </c>
      <c r="I8" s="118">
        <f>'BD Team'!J13</f>
        <v>1</v>
      </c>
      <c r="J8" s="103">
        <f t="shared" si="0"/>
        <v>21.219686748000001</v>
      </c>
      <c r="K8" s="172">
        <f>'BD Team'!K13</f>
        <v>30.54</v>
      </c>
      <c r="L8" s="171">
        <f t="shared" si="1"/>
        <v>30.54</v>
      </c>
      <c r="M8" s="170">
        <f>L8*'Changable Values'!$D$4</f>
        <v>2534.8199999999997</v>
      </c>
      <c r="N8" s="170" t="str">
        <f>'BD Team'!E13</f>
        <v>20MM</v>
      </c>
      <c r="O8" s="172">
        <v>2538</v>
      </c>
      <c r="P8" s="241"/>
      <c r="Q8" s="173"/>
      <c r="R8" s="185"/>
      <c r="S8" s="312"/>
      <c r="T8" s="313">
        <f t="shared" si="2"/>
        <v>18.786666666666665</v>
      </c>
      <c r="U8" s="313">
        <f t="shared" si="3"/>
        <v>22.544</v>
      </c>
      <c r="V8" s="313">
        <f t="shared" si="4"/>
        <v>1.1741666666666666</v>
      </c>
      <c r="W8" s="313">
        <f t="shared" si="5"/>
        <v>18.786666666666665</v>
      </c>
      <c r="X8" s="313">
        <f t="shared" si="6"/>
        <v>37.573333333333331</v>
      </c>
      <c r="Y8" s="313">
        <f t="shared" si="7"/>
        <v>11.272</v>
      </c>
    </row>
    <row r="9" spans="1:25">
      <c r="A9" s="118">
        <f>'BD Team'!A14</f>
        <v>6</v>
      </c>
      <c r="B9" s="118" t="str">
        <f>'BD Team'!B14</f>
        <v>FG2</v>
      </c>
      <c r="C9" s="118" t="str">
        <f>'BD Team'!C14</f>
        <v>M940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FF - HALL</v>
      </c>
      <c r="G9" s="118">
        <f>'BD Team'!H14</f>
        <v>1561</v>
      </c>
      <c r="H9" s="118">
        <f>'BD Team'!I14</f>
        <v>1328</v>
      </c>
      <c r="I9" s="118">
        <f>'BD Team'!J14</f>
        <v>1</v>
      </c>
      <c r="J9" s="103">
        <f t="shared" si="0"/>
        <v>22.313858111999998</v>
      </c>
      <c r="K9" s="172">
        <f>'BD Team'!K14</f>
        <v>31.28</v>
      </c>
      <c r="L9" s="171">
        <f t="shared" si="1"/>
        <v>31.28</v>
      </c>
      <c r="M9" s="170">
        <f>L9*'Changable Values'!$D$4</f>
        <v>2596.2400000000002</v>
      </c>
      <c r="N9" s="170" t="str">
        <f>'BD Team'!E14</f>
        <v>20MM</v>
      </c>
      <c r="O9" s="172">
        <v>2538</v>
      </c>
      <c r="P9" s="241"/>
      <c r="Q9" s="173"/>
      <c r="R9" s="185"/>
      <c r="S9" s="312"/>
      <c r="T9" s="313">
        <f t="shared" si="2"/>
        <v>19.260000000000002</v>
      </c>
      <c r="U9" s="313">
        <f t="shared" si="3"/>
        <v>23.111999999999998</v>
      </c>
      <c r="V9" s="313">
        <f t="shared" si="4"/>
        <v>1.2037500000000001</v>
      </c>
      <c r="W9" s="313">
        <f t="shared" si="5"/>
        <v>19.260000000000002</v>
      </c>
      <c r="X9" s="313">
        <f t="shared" si="6"/>
        <v>38.520000000000003</v>
      </c>
      <c r="Y9" s="313">
        <f t="shared" si="7"/>
        <v>11.555999999999999</v>
      </c>
    </row>
    <row r="10" spans="1:25">
      <c r="A10" s="118">
        <f>'BD Team'!A15</f>
        <v>7</v>
      </c>
      <c r="B10" s="118" t="str">
        <f>'BD Team'!B15</f>
        <v>FG3</v>
      </c>
      <c r="C10" s="118" t="str">
        <f>'BD Team'!C15</f>
        <v>M940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FF - HALL</v>
      </c>
      <c r="G10" s="118">
        <f>'BD Team'!H15</f>
        <v>1565</v>
      </c>
      <c r="H10" s="118">
        <f>'BD Team'!I15</f>
        <v>1340</v>
      </c>
      <c r="I10" s="118">
        <f>'BD Team'!J15</f>
        <v>1</v>
      </c>
      <c r="J10" s="103">
        <f t="shared" si="0"/>
        <v>22.573184399999999</v>
      </c>
      <c r="K10" s="172">
        <f>'BD Team'!K15</f>
        <v>31.45</v>
      </c>
      <c r="L10" s="171">
        <f t="shared" si="1"/>
        <v>31.45</v>
      </c>
      <c r="M10" s="170">
        <f>L10*'Changable Values'!$D$4</f>
        <v>2610.35</v>
      </c>
      <c r="N10" s="170" t="str">
        <f>'BD Team'!E15</f>
        <v>20MM</v>
      </c>
      <c r="O10" s="172">
        <v>2538</v>
      </c>
      <c r="P10" s="241"/>
      <c r="Q10" s="173"/>
      <c r="R10" s="185"/>
      <c r="S10" s="312"/>
      <c r="T10" s="313">
        <f t="shared" si="2"/>
        <v>19.366666666666667</v>
      </c>
      <c r="U10" s="313">
        <f t="shared" si="3"/>
        <v>23.24</v>
      </c>
      <c r="V10" s="313">
        <f t="shared" si="4"/>
        <v>1.2104166666666667</v>
      </c>
      <c r="W10" s="313">
        <f t="shared" si="5"/>
        <v>19.366666666666667</v>
      </c>
      <c r="X10" s="313">
        <f t="shared" si="6"/>
        <v>38.733333333333334</v>
      </c>
      <c r="Y10" s="313">
        <f t="shared" si="7"/>
        <v>11.62</v>
      </c>
    </row>
    <row r="11" spans="1:25">
      <c r="A11" s="118">
        <f>'BD Team'!A16</f>
        <v>8</v>
      </c>
      <c r="B11" s="118" t="str">
        <f>'BD Team'!B16</f>
        <v>FG4</v>
      </c>
      <c r="C11" s="118" t="str">
        <f>'BD Team'!C16</f>
        <v>M940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FF - DINING</v>
      </c>
      <c r="G11" s="118">
        <f>'BD Team'!H16</f>
        <v>1560</v>
      </c>
      <c r="H11" s="118">
        <f>'BD Team'!I16</f>
        <v>1334</v>
      </c>
      <c r="I11" s="118">
        <f>'BD Team'!J16</f>
        <v>1</v>
      </c>
      <c r="J11" s="103">
        <f t="shared" si="0"/>
        <v>22.400314559999998</v>
      </c>
      <c r="K11" s="172">
        <f>'BD Team'!K16</f>
        <v>31.34</v>
      </c>
      <c r="L11" s="171">
        <f t="shared" si="1"/>
        <v>31.34</v>
      </c>
      <c r="M11" s="170">
        <f>L11*'Changable Values'!$D$4</f>
        <v>2601.2199999999998</v>
      </c>
      <c r="N11" s="170" t="str">
        <f>'BD Team'!E16</f>
        <v>20MM</v>
      </c>
      <c r="O11" s="172">
        <v>2538</v>
      </c>
      <c r="P11" s="241"/>
      <c r="Q11" s="173"/>
      <c r="R11" s="185"/>
      <c r="S11" s="312"/>
      <c r="T11" s="313">
        <f t="shared" si="2"/>
        <v>19.293333333333333</v>
      </c>
      <c r="U11" s="313">
        <f t="shared" si="3"/>
        <v>23.152000000000001</v>
      </c>
      <c r="V11" s="313">
        <f t="shared" si="4"/>
        <v>1.2058333333333333</v>
      </c>
      <c r="W11" s="313">
        <f t="shared" si="5"/>
        <v>19.293333333333333</v>
      </c>
      <c r="X11" s="313">
        <f t="shared" si="6"/>
        <v>38.586666666666666</v>
      </c>
      <c r="Y11" s="313">
        <f t="shared" si="7"/>
        <v>11.576000000000001</v>
      </c>
    </row>
    <row r="12" spans="1:25">
      <c r="A12" s="118">
        <f>'BD Team'!A17</f>
        <v>9</v>
      </c>
      <c r="B12" s="118" t="str">
        <f>'BD Team'!B17</f>
        <v>FG5</v>
      </c>
      <c r="C12" s="118" t="str">
        <f>'BD Team'!C17</f>
        <v>M940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FF - KITCHEN</v>
      </c>
      <c r="G12" s="118">
        <f>'BD Team'!H17</f>
        <v>1556</v>
      </c>
      <c r="H12" s="118">
        <f>'BD Team'!I17</f>
        <v>1327</v>
      </c>
      <c r="I12" s="118">
        <f>'BD Team'!J17</f>
        <v>1</v>
      </c>
      <c r="J12" s="103">
        <f t="shared" si="0"/>
        <v>22.225636367999996</v>
      </c>
      <c r="K12" s="172">
        <f>'BD Team'!K17</f>
        <v>31.22</v>
      </c>
      <c r="L12" s="171">
        <f t="shared" si="1"/>
        <v>31.22</v>
      </c>
      <c r="M12" s="170">
        <f>L12*'Changable Values'!$D$4</f>
        <v>2591.2599999999998</v>
      </c>
      <c r="N12" s="170" t="str">
        <f>'BD Team'!E17</f>
        <v>20MM</v>
      </c>
      <c r="O12" s="172">
        <v>2538</v>
      </c>
      <c r="P12" s="241"/>
      <c r="Q12" s="173"/>
      <c r="R12" s="185"/>
      <c r="S12" s="312"/>
      <c r="T12" s="313">
        <f t="shared" si="2"/>
        <v>19.22</v>
      </c>
      <c r="U12" s="313">
        <f t="shared" si="3"/>
        <v>23.064</v>
      </c>
      <c r="V12" s="313">
        <f t="shared" si="4"/>
        <v>1.2012499999999999</v>
      </c>
      <c r="W12" s="313">
        <f t="shared" si="5"/>
        <v>19.22</v>
      </c>
      <c r="X12" s="313">
        <f t="shared" si="6"/>
        <v>38.44</v>
      </c>
      <c r="Y12" s="313">
        <f t="shared" si="7"/>
        <v>11.532</v>
      </c>
    </row>
    <row r="13" spans="1:25">
      <c r="A13" s="118">
        <f>'BD Team'!A18</f>
        <v>10</v>
      </c>
      <c r="B13" s="118" t="str">
        <f>'BD Team'!B18</f>
        <v>SW3</v>
      </c>
      <c r="C13" s="118" t="str">
        <f>'BD Team'!C18</f>
        <v>M900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FF - KITCHEN</v>
      </c>
      <c r="G13" s="118">
        <f>'BD Team'!H18</f>
        <v>1377</v>
      </c>
      <c r="H13" s="118">
        <f>'BD Team'!I18</f>
        <v>904</v>
      </c>
      <c r="I13" s="118">
        <f>'BD Team'!J18</f>
        <v>1</v>
      </c>
      <c r="J13" s="103">
        <f t="shared" si="0"/>
        <v>13.399113311999999</v>
      </c>
      <c r="K13" s="172">
        <f>'BD Team'!K18</f>
        <v>74.14</v>
      </c>
      <c r="L13" s="171">
        <f t="shared" si="1"/>
        <v>74.14</v>
      </c>
      <c r="M13" s="170">
        <f>L13*'Changable Values'!$D$4</f>
        <v>6153.62</v>
      </c>
      <c r="N13" s="170" t="str">
        <f>'BD Team'!E18</f>
        <v>20MM</v>
      </c>
      <c r="O13" s="172">
        <v>2538</v>
      </c>
      <c r="P13" s="241"/>
      <c r="Q13" s="173">
        <f>35*10.764</f>
        <v>376.73999999999995</v>
      </c>
      <c r="R13" s="185"/>
      <c r="S13" s="312"/>
      <c r="T13" s="313">
        <f t="shared" si="2"/>
        <v>15.206666666666667</v>
      </c>
      <c r="U13" s="313">
        <f t="shared" si="3"/>
        <v>18.248000000000001</v>
      </c>
      <c r="V13" s="313">
        <f t="shared" si="4"/>
        <v>0.95041666666666669</v>
      </c>
      <c r="W13" s="313">
        <f t="shared" si="5"/>
        <v>15.206666666666667</v>
      </c>
      <c r="X13" s="313">
        <f t="shared" si="6"/>
        <v>30.413333333333334</v>
      </c>
      <c r="Y13" s="313">
        <f t="shared" si="7"/>
        <v>9.1240000000000006</v>
      </c>
    </row>
    <row r="14" spans="1:25">
      <c r="A14" s="118">
        <f>'BD Team'!A19</f>
        <v>11</v>
      </c>
      <c r="B14" s="118" t="str">
        <f>'BD Team'!B19</f>
        <v>V</v>
      </c>
      <c r="C14" s="118" t="str">
        <f>'BD Team'!C19</f>
        <v>M940</v>
      </c>
      <c r="D14" s="118" t="str">
        <f>'BD Team'!D19</f>
        <v>Z LOUVERS</v>
      </c>
      <c r="E14" s="118" t="str">
        <f>'BD Team'!F19</f>
        <v>NO</v>
      </c>
      <c r="F14" s="121" t="str">
        <f>'BD Team'!G19</f>
        <v>FF - STORE</v>
      </c>
      <c r="G14" s="118">
        <f>'BD Team'!H19</f>
        <v>653</v>
      </c>
      <c r="H14" s="118">
        <f>'BD Team'!I19</f>
        <v>590</v>
      </c>
      <c r="I14" s="118">
        <f>'BD Team'!J19</f>
        <v>1</v>
      </c>
      <c r="J14" s="103">
        <f t="shared" si="0"/>
        <v>4.1470462799999996</v>
      </c>
      <c r="K14" s="172">
        <f>'BD Team'!K19</f>
        <v>28.96</v>
      </c>
      <c r="L14" s="171">
        <f t="shared" si="1"/>
        <v>28.96</v>
      </c>
      <c r="M14" s="170">
        <f>L14*'Changable Values'!$D$4</f>
        <v>2403.6800000000003</v>
      </c>
      <c r="N14" s="170" t="str">
        <f>'BD Team'!E19</f>
        <v>NA</v>
      </c>
      <c r="O14" s="172"/>
      <c r="P14" s="241"/>
      <c r="Q14" s="173"/>
      <c r="R14" s="185"/>
      <c r="S14" s="312"/>
      <c r="T14" s="313">
        <f t="shared" si="2"/>
        <v>8.2866666666666671</v>
      </c>
      <c r="U14" s="313">
        <f t="shared" si="3"/>
        <v>9.9440000000000008</v>
      </c>
      <c r="V14" s="313">
        <f t="shared" si="4"/>
        <v>0.51791666666666669</v>
      </c>
      <c r="W14" s="313">
        <f t="shared" si="5"/>
        <v>8.2866666666666671</v>
      </c>
      <c r="X14" s="313">
        <f t="shared" si="6"/>
        <v>16.573333333333334</v>
      </c>
      <c r="Y14" s="313">
        <f t="shared" si="7"/>
        <v>4.9720000000000004</v>
      </c>
    </row>
    <row r="15" spans="1:25">
      <c r="A15" s="118">
        <f>'BD Team'!A20</f>
        <v>12</v>
      </c>
      <c r="B15" s="118" t="str">
        <f>'BD Team'!B20</f>
        <v>V1</v>
      </c>
      <c r="C15" s="118" t="str">
        <f>'BD Team'!C20</f>
        <v>M940</v>
      </c>
      <c r="D15" s="118" t="str">
        <f>'BD Team'!D20</f>
        <v>Z LOUVERS</v>
      </c>
      <c r="E15" s="118" t="str">
        <f>'BD Team'!F20</f>
        <v>NO</v>
      </c>
      <c r="F15" s="121" t="str">
        <f>'BD Team'!G20</f>
        <v>FF - MD TOILET</v>
      </c>
      <c r="G15" s="118">
        <f>'BD Team'!H20</f>
        <v>573</v>
      </c>
      <c r="H15" s="118">
        <f>'BD Team'!I20</f>
        <v>563</v>
      </c>
      <c r="I15" s="118">
        <f>'BD Team'!J20</f>
        <v>1</v>
      </c>
      <c r="J15" s="103">
        <f t="shared" si="0"/>
        <v>3.4724556359999998</v>
      </c>
      <c r="K15" s="172">
        <f>'BD Team'!K20</f>
        <v>27.83</v>
      </c>
      <c r="L15" s="171">
        <f t="shared" si="1"/>
        <v>27.83</v>
      </c>
      <c r="M15" s="170">
        <f>L15*'Changable Values'!$D$4</f>
        <v>2309.89</v>
      </c>
      <c r="N15" s="170" t="str">
        <f>'BD Team'!E20</f>
        <v>NA</v>
      </c>
      <c r="O15" s="172"/>
      <c r="P15" s="241"/>
      <c r="Q15" s="173"/>
      <c r="R15" s="185"/>
      <c r="S15" s="312"/>
      <c r="T15" s="313">
        <f t="shared" si="2"/>
        <v>7.5733333333333333</v>
      </c>
      <c r="U15" s="313">
        <f t="shared" si="3"/>
        <v>9.0879999999999992</v>
      </c>
      <c r="V15" s="313">
        <f t="shared" si="4"/>
        <v>0.47333333333333333</v>
      </c>
      <c r="W15" s="313">
        <f t="shared" si="5"/>
        <v>7.5733333333333333</v>
      </c>
      <c r="X15" s="313">
        <f t="shared" si="6"/>
        <v>15.146666666666667</v>
      </c>
      <c r="Y15" s="313">
        <f t="shared" si="7"/>
        <v>4.5439999999999996</v>
      </c>
    </row>
    <row r="16" spans="1:25">
      <c r="A16" s="118">
        <f>'BD Team'!A21</f>
        <v>13</v>
      </c>
      <c r="B16" s="118" t="str">
        <f>'BD Team'!B21</f>
        <v>SW4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FF - MD ROOM</v>
      </c>
      <c r="G16" s="118">
        <f>'BD Team'!H21</f>
        <v>2477</v>
      </c>
      <c r="H16" s="118">
        <f>'BD Team'!I21</f>
        <v>1333</v>
      </c>
      <c r="I16" s="118">
        <f>'BD Team'!J21</f>
        <v>1</v>
      </c>
      <c r="J16" s="103">
        <f t="shared" si="0"/>
        <v>35.541016524</v>
      </c>
      <c r="K16" s="172">
        <f>'BD Team'!K21</f>
        <v>107.22999999999999</v>
      </c>
      <c r="L16" s="171">
        <f t="shared" si="1"/>
        <v>107.22999999999999</v>
      </c>
      <c r="M16" s="170">
        <f>L16*'Changable Values'!$D$4</f>
        <v>8900.0899999999983</v>
      </c>
      <c r="N16" s="170" t="str">
        <f>'BD Team'!E21</f>
        <v>20MM</v>
      </c>
      <c r="O16" s="172">
        <v>2538</v>
      </c>
      <c r="P16" s="241"/>
      <c r="Q16" s="173">
        <f t="shared" ref="Q16:Q19" si="9">35*10.764</f>
        <v>376.73999999999995</v>
      </c>
      <c r="R16" s="185"/>
      <c r="S16" s="312"/>
      <c r="T16" s="313">
        <f t="shared" si="2"/>
        <v>25.4</v>
      </c>
      <c r="U16" s="313">
        <f t="shared" si="3"/>
        <v>30.48</v>
      </c>
      <c r="V16" s="313">
        <f t="shared" si="4"/>
        <v>1.5874999999999999</v>
      </c>
      <c r="W16" s="313">
        <f t="shared" si="5"/>
        <v>25.4</v>
      </c>
      <c r="X16" s="313">
        <f t="shared" si="6"/>
        <v>50.8</v>
      </c>
      <c r="Y16" s="313">
        <f t="shared" si="7"/>
        <v>15.24</v>
      </c>
    </row>
    <row r="17" spans="1:25">
      <c r="A17" s="118">
        <f>'BD Team'!A22</f>
        <v>14</v>
      </c>
      <c r="B17" s="118" t="str">
        <f>'BD Team'!B22</f>
        <v>SW5</v>
      </c>
      <c r="C17" s="118" t="str">
        <f>'BD Team'!C22</f>
        <v>M900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FF - MD ROOM 2</v>
      </c>
      <c r="G17" s="118">
        <f>'BD Team'!H22</f>
        <v>2477</v>
      </c>
      <c r="H17" s="118">
        <f>'BD Team'!I22</f>
        <v>1324</v>
      </c>
      <c r="I17" s="118">
        <f>'BD Team'!J22</f>
        <v>1</v>
      </c>
      <c r="J17" s="103">
        <f t="shared" si="0"/>
        <v>35.301054671999999</v>
      </c>
      <c r="K17" s="172">
        <f>'BD Team'!K22</f>
        <v>106.96000000000001</v>
      </c>
      <c r="L17" s="171">
        <f t="shared" si="1"/>
        <v>106.96000000000001</v>
      </c>
      <c r="M17" s="170">
        <f>L17*'Changable Values'!$D$4</f>
        <v>8877.68</v>
      </c>
      <c r="N17" s="170" t="str">
        <f>'BD Team'!E22</f>
        <v>20MM</v>
      </c>
      <c r="O17" s="172">
        <v>2538</v>
      </c>
      <c r="P17" s="241"/>
      <c r="Q17" s="173">
        <f t="shared" si="9"/>
        <v>376.73999999999995</v>
      </c>
      <c r="R17" s="185"/>
      <c r="S17" s="312"/>
      <c r="T17" s="313">
        <f t="shared" si="2"/>
        <v>25.34</v>
      </c>
      <c r="U17" s="313">
        <f t="shared" si="3"/>
        <v>30.408000000000001</v>
      </c>
      <c r="V17" s="313">
        <f t="shared" si="4"/>
        <v>1.58375</v>
      </c>
      <c r="W17" s="313">
        <f t="shared" si="5"/>
        <v>25.34</v>
      </c>
      <c r="X17" s="313">
        <f t="shared" si="6"/>
        <v>50.68</v>
      </c>
      <c r="Y17" s="313">
        <f t="shared" si="7"/>
        <v>15.204000000000001</v>
      </c>
    </row>
    <row r="18" spans="1:25">
      <c r="A18" s="118">
        <f>'BD Team'!A23</f>
        <v>15</v>
      </c>
      <c r="B18" s="118" t="str">
        <f>'BD Team'!B23</f>
        <v>SW6</v>
      </c>
      <c r="C18" s="118" t="str">
        <f>'BD Team'!C23</f>
        <v>M900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FF - MD ROOM 3</v>
      </c>
      <c r="G18" s="118">
        <f>'BD Team'!H23</f>
        <v>1861</v>
      </c>
      <c r="H18" s="118">
        <f>'BD Team'!I23</f>
        <v>1333</v>
      </c>
      <c r="I18" s="118">
        <f>'BD Team'!J23</f>
        <v>1</v>
      </c>
      <c r="J18" s="103">
        <f t="shared" si="0"/>
        <v>26.702394731999998</v>
      </c>
      <c r="K18" s="172">
        <f>'BD Team'!K23</f>
        <v>96.08</v>
      </c>
      <c r="L18" s="171">
        <f t="shared" si="1"/>
        <v>96.08</v>
      </c>
      <c r="M18" s="170">
        <f>L18*'Changable Values'!$D$4</f>
        <v>7974.6399999999994</v>
      </c>
      <c r="N18" s="170" t="str">
        <f>'BD Team'!E23</f>
        <v>20MM</v>
      </c>
      <c r="O18" s="172">
        <v>2538</v>
      </c>
      <c r="P18" s="241"/>
      <c r="Q18" s="173">
        <f t="shared" si="9"/>
        <v>376.73999999999995</v>
      </c>
      <c r="R18" s="185"/>
      <c r="S18" s="312"/>
      <c r="T18" s="313">
        <f t="shared" si="2"/>
        <v>21.293333333333333</v>
      </c>
      <c r="U18" s="313">
        <f t="shared" si="3"/>
        <v>25.552</v>
      </c>
      <c r="V18" s="313">
        <f t="shared" si="4"/>
        <v>1.3308333333333333</v>
      </c>
      <c r="W18" s="313">
        <f t="shared" si="5"/>
        <v>21.293333333333333</v>
      </c>
      <c r="X18" s="313">
        <f t="shared" si="6"/>
        <v>42.586666666666666</v>
      </c>
      <c r="Y18" s="313">
        <f t="shared" si="7"/>
        <v>12.776</v>
      </c>
    </row>
    <row r="19" spans="1:25">
      <c r="A19" s="118">
        <f>'BD Team'!A24</f>
        <v>16</v>
      </c>
      <c r="B19" s="118" t="str">
        <f>'BD Team'!B24</f>
        <v>SW7</v>
      </c>
      <c r="C19" s="118" t="str">
        <f>'BD Team'!C24</f>
        <v>M900</v>
      </c>
      <c r="D19" s="118" t="str">
        <f>'BD Team'!D24</f>
        <v>3 TRACK 2 SHUTTER SLIDING WINDOW</v>
      </c>
      <c r="E19" s="118" t="str">
        <f>'BD Team'!F24</f>
        <v>SS</v>
      </c>
      <c r="F19" s="121" t="str">
        <f>'BD Team'!G24</f>
        <v>FF - 4TH ROOM</v>
      </c>
      <c r="G19" s="118">
        <f>'BD Team'!H24</f>
        <v>917</v>
      </c>
      <c r="H19" s="118">
        <f>'BD Team'!I24</f>
        <v>1299</v>
      </c>
      <c r="I19" s="118">
        <f>'BD Team'!J24</f>
        <v>1</v>
      </c>
      <c r="J19" s="103">
        <f t="shared" si="0"/>
        <v>12.821893811999999</v>
      </c>
      <c r="K19" s="172">
        <f>'BD Team'!K24</f>
        <v>77.930000000000007</v>
      </c>
      <c r="L19" s="171">
        <f t="shared" si="1"/>
        <v>77.930000000000007</v>
      </c>
      <c r="M19" s="170">
        <f>L19*'Changable Values'!$D$4</f>
        <v>6468.1900000000005</v>
      </c>
      <c r="N19" s="170" t="str">
        <f>'BD Team'!E24</f>
        <v>20MM</v>
      </c>
      <c r="O19" s="172">
        <v>2538</v>
      </c>
      <c r="P19" s="241"/>
      <c r="Q19" s="173">
        <f t="shared" si="9"/>
        <v>376.73999999999995</v>
      </c>
      <c r="R19" s="185"/>
      <c r="S19" s="312"/>
      <c r="T19" s="313">
        <f t="shared" si="2"/>
        <v>14.773333333333333</v>
      </c>
      <c r="U19" s="313">
        <f t="shared" si="3"/>
        <v>17.728000000000002</v>
      </c>
      <c r="V19" s="313">
        <f t="shared" si="4"/>
        <v>0.92333333333333334</v>
      </c>
      <c r="W19" s="313">
        <f t="shared" si="5"/>
        <v>14.773333333333333</v>
      </c>
      <c r="X19" s="313">
        <f t="shared" si="6"/>
        <v>29.546666666666667</v>
      </c>
      <c r="Y19" s="313">
        <f t="shared" si="7"/>
        <v>8.8640000000000008</v>
      </c>
    </row>
    <row r="20" spans="1:25">
      <c r="A20" s="118">
        <f>'BD Team'!A25</f>
        <v>17</v>
      </c>
      <c r="B20" s="118" t="str">
        <f>'BD Team'!B25</f>
        <v>V2</v>
      </c>
      <c r="C20" s="118" t="str">
        <f>'BD Team'!C25</f>
        <v>M940</v>
      </c>
      <c r="D20" s="118" t="str">
        <f>'BD Team'!D25</f>
        <v>Z LOUVERS</v>
      </c>
      <c r="E20" s="118" t="str">
        <f>'BD Team'!F25</f>
        <v>NO</v>
      </c>
      <c r="F20" s="121" t="str">
        <f>'BD Team'!G25</f>
        <v>FF - TOILET 1</v>
      </c>
      <c r="G20" s="118">
        <f>'BD Team'!H25</f>
        <v>571</v>
      </c>
      <c r="H20" s="118">
        <f>'BD Team'!I25</f>
        <v>561</v>
      </c>
      <c r="I20" s="118">
        <f>'BD Team'!J25</f>
        <v>1</v>
      </c>
      <c r="J20" s="103">
        <f t="shared" si="0"/>
        <v>3.4480428839999995</v>
      </c>
      <c r="K20" s="172">
        <f>'BD Team'!K25</f>
        <v>27.79</v>
      </c>
      <c r="L20" s="171">
        <f t="shared" si="1"/>
        <v>27.79</v>
      </c>
      <c r="M20" s="170">
        <f>L20*'Changable Values'!$D$4</f>
        <v>2306.5699999999997</v>
      </c>
      <c r="N20" s="170" t="str">
        <f>'BD Team'!E25</f>
        <v>NA</v>
      </c>
      <c r="O20" s="172"/>
      <c r="P20" s="241"/>
      <c r="Q20" s="173"/>
      <c r="R20" s="185"/>
      <c r="S20" s="312"/>
      <c r="T20" s="313">
        <f t="shared" si="2"/>
        <v>7.5466666666666669</v>
      </c>
      <c r="U20" s="313">
        <f t="shared" si="3"/>
        <v>9.0559999999999992</v>
      </c>
      <c r="V20" s="313">
        <f t="shared" si="4"/>
        <v>0.47166666666666668</v>
      </c>
      <c r="W20" s="313">
        <f t="shared" si="5"/>
        <v>7.5466666666666669</v>
      </c>
      <c r="X20" s="313">
        <f t="shared" si="6"/>
        <v>15.093333333333334</v>
      </c>
      <c r="Y20" s="313">
        <f t="shared" si="7"/>
        <v>4.5279999999999996</v>
      </c>
    </row>
    <row r="21" spans="1:25">
      <c r="A21" s="118">
        <f>'BD Team'!A26</f>
        <v>18</v>
      </c>
      <c r="B21" s="118" t="str">
        <f>'BD Team'!B26</f>
        <v>V3</v>
      </c>
      <c r="C21" s="118" t="str">
        <f>'BD Team'!C26</f>
        <v>M940</v>
      </c>
      <c r="D21" s="118" t="str">
        <f>'BD Team'!D26</f>
        <v>Z LOUVERS</v>
      </c>
      <c r="E21" s="118" t="str">
        <f>'BD Team'!F26</f>
        <v>NO</v>
      </c>
      <c r="F21" s="121" t="str">
        <f>'BD Team'!G26</f>
        <v>FF - TOILET 2</v>
      </c>
      <c r="G21" s="118">
        <f>'BD Team'!H26</f>
        <v>573</v>
      </c>
      <c r="H21" s="118">
        <f>'BD Team'!I26</f>
        <v>563</v>
      </c>
      <c r="I21" s="118">
        <f>'BD Team'!J26</f>
        <v>1</v>
      </c>
      <c r="J21" s="103">
        <f t="shared" si="0"/>
        <v>3.4724556359999998</v>
      </c>
      <c r="K21" s="172">
        <f>'BD Team'!K26</f>
        <v>27.83</v>
      </c>
      <c r="L21" s="171">
        <f t="shared" si="1"/>
        <v>27.83</v>
      </c>
      <c r="M21" s="170">
        <f>L21*'Changable Values'!$D$4</f>
        <v>2309.89</v>
      </c>
      <c r="N21" s="170" t="str">
        <f>'BD Team'!E26</f>
        <v>NA</v>
      </c>
      <c r="O21" s="172"/>
      <c r="P21" s="241"/>
      <c r="Q21" s="173"/>
      <c r="R21" s="185"/>
      <c r="S21" s="312"/>
      <c r="T21" s="313">
        <f t="shared" si="2"/>
        <v>7.5733333333333333</v>
      </c>
      <c r="U21" s="313">
        <f t="shared" si="3"/>
        <v>9.0879999999999992</v>
      </c>
      <c r="V21" s="313">
        <f t="shared" si="4"/>
        <v>0.47333333333333333</v>
      </c>
      <c r="W21" s="313">
        <f t="shared" si="5"/>
        <v>7.5733333333333333</v>
      </c>
      <c r="X21" s="313">
        <f t="shared" si="6"/>
        <v>15.146666666666667</v>
      </c>
      <c r="Y21" s="313">
        <f t="shared" si="7"/>
        <v>4.5439999999999996</v>
      </c>
    </row>
    <row r="22" spans="1:25">
      <c r="A22" s="118">
        <f>'BD Team'!A27</f>
        <v>19</v>
      </c>
      <c r="B22" s="118" t="str">
        <f>'BD Team'!B27</f>
        <v>FG6</v>
      </c>
      <c r="C22" s="118" t="str">
        <f>'BD Team'!C27</f>
        <v>M940</v>
      </c>
      <c r="D22" s="118" t="str">
        <f>'BD Team'!D27</f>
        <v>FIXED GLASS</v>
      </c>
      <c r="E22" s="118" t="str">
        <f>'BD Team'!F27</f>
        <v>NO</v>
      </c>
      <c r="F22" s="121" t="str">
        <f>'BD Team'!G27</f>
        <v>FF - SERVANT ROOM</v>
      </c>
      <c r="G22" s="118">
        <f>'BD Team'!H27</f>
        <v>864</v>
      </c>
      <c r="H22" s="118">
        <f>'BD Team'!I27</f>
        <v>1270</v>
      </c>
      <c r="I22" s="118">
        <f>'BD Team'!J27</f>
        <v>1</v>
      </c>
      <c r="J22" s="103">
        <f t="shared" si="0"/>
        <v>11.81112192</v>
      </c>
      <c r="K22" s="172">
        <f>'BD Team'!K27</f>
        <v>23.31</v>
      </c>
      <c r="L22" s="171">
        <f t="shared" si="1"/>
        <v>23.31</v>
      </c>
      <c r="M22" s="170">
        <f>L22*'Changable Values'!$D$4</f>
        <v>1934.7299999999998</v>
      </c>
      <c r="N22" s="170" t="str">
        <f>'BD Team'!E27</f>
        <v>20MM</v>
      </c>
      <c r="O22" s="172">
        <v>2538</v>
      </c>
      <c r="P22" s="241"/>
      <c r="Q22" s="173"/>
      <c r="R22" s="185"/>
      <c r="S22" s="312"/>
      <c r="T22" s="313">
        <f t="shared" si="2"/>
        <v>14.226666666666667</v>
      </c>
      <c r="U22" s="313">
        <f t="shared" si="3"/>
        <v>17.071999999999999</v>
      </c>
      <c r="V22" s="313">
        <f t="shared" si="4"/>
        <v>0.88916666666666666</v>
      </c>
      <c r="W22" s="313">
        <f t="shared" si="5"/>
        <v>14.226666666666667</v>
      </c>
      <c r="X22" s="313">
        <f t="shared" si="6"/>
        <v>28.453333333333333</v>
      </c>
      <c r="Y22" s="313">
        <f t="shared" si="7"/>
        <v>8.5359999999999996</v>
      </c>
    </row>
    <row r="23" spans="1:25">
      <c r="A23" s="118">
        <f>'BD Team'!A28</f>
        <v>20</v>
      </c>
      <c r="B23" s="118" t="str">
        <f>'BD Team'!B28</f>
        <v>SW8</v>
      </c>
      <c r="C23" s="118" t="str">
        <f>'BD Team'!C28</f>
        <v>M900</v>
      </c>
      <c r="D23" s="118" t="str">
        <f>'BD Team'!D28</f>
        <v>3 TRACK 2 SHUTTER SLIDING WINDOW</v>
      </c>
      <c r="E23" s="118" t="str">
        <f>'BD Team'!F28</f>
        <v>SS</v>
      </c>
      <c r="F23" s="121" t="str">
        <f>'BD Team'!G28</f>
        <v>FF - STAIRCASE</v>
      </c>
      <c r="G23" s="118">
        <f>'BD Team'!H28</f>
        <v>1841</v>
      </c>
      <c r="H23" s="118">
        <f>'BD Team'!I28</f>
        <v>1249</v>
      </c>
      <c r="I23" s="118">
        <f>'BD Team'!J28</f>
        <v>1</v>
      </c>
      <c r="J23" s="103">
        <f t="shared" si="0"/>
        <v>24.750838475999998</v>
      </c>
      <c r="K23" s="172">
        <f>'BD Team'!K28</f>
        <v>93.13</v>
      </c>
      <c r="L23" s="171">
        <f t="shared" si="1"/>
        <v>93.13</v>
      </c>
      <c r="M23" s="170">
        <f>L23*'Changable Values'!$D$4</f>
        <v>7729.79</v>
      </c>
      <c r="N23" s="170" t="str">
        <f>'BD Team'!E28</f>
        <v>20MM</v>
      </c>
      <c r="O23" s="172">
        <v>2538</v>
      </c>
      <c r="P23" s="241"/>
      <c r="Q23" s="173">
        <f t="shared" ref="Q23:Q25" si="10">35*10.764</f>
        <v>376.73999999999995</v>
      </c>
      <c r="R23" s="185"/>
      <c r="S23" s="312"/>
      <c r="T23" s="313">
        <f t="shared" si="2"/>
        <v>20.6</v>
      </c>
      <c r="U23" s="313">
        <f t="shared" si="3"/>
        <v>24.72</v>
      </c>
      <c r="V23" s="313">
        <f t="shared" si="4"/>
        <v>1.2875000000000001</v>
      </c>
      <c r="W23" s="313">
        <f t="shared" si="5"/>
        <v>20.6</v>
      </c>
      <c r="X23" s="313">
        <f t="shared" si="6"/>
        <v>41.2</v>
      </c>
      <c r="Y23" s="313">
        <f t="shared" si="7"/>
        <v>12.36</v>
      </c>
    </row>
    <row r="24" spans="1:25">
      <c r="A24" s="118">
        <f>'BD Team'!A29</f>
        <v>21</v>
      </c>
      <c r="B24" s="118" t="str">
        <f>'BD Team'!B29</f>
        <v>SW9</v>
      </c>
      <c r="C24" s="118" t="str">
        <f>'BD Team'!C29</f>
        <v>M900</v>
      </c>
      <c r="D24" s="118" t="str">
        <f>'BD Team'!D29</f>
        <v>3 TRACK 2 SHUTTER SLIDING WINDOW</v>
      </c>
      <c r="E24" s="118" t="str">
        <f>'BD Team'!F29</f>
        <v>SS</v>
      </c>
      <c r="F24" s="121" t="str">
        <f>'BD Team'!G29</f>
        <v>SF - RECEPTION</v>
      </c>
      <c r="G24" s="118">
        <f>'BD Team'!H29</f>
        <v>3735</v>
      </c>
      <c r="H24" s="118">
        <f>'BD Team'!I29</f>
        <v>1296</v>
      </c>
      <c r="I24" s="118">
        <f>'BD Team'!J29</f>
        <v>1</v>
      </c>
      <c r="J24" s="103">
        <f t="shared" si="0"/>
        <v>52.103787839999995</v>
      </c>
      <c r="K24" s="172">
        <f>'BD Team'!K29</f>
        <v>128.88</v>
      </c>
      <c r="L24" s="171">
        <f t="shared" si="1"/>
        <v>128.88</v>
      </c>
      <c r="M24" s="170">
        <f>L24*'Changable Values'!$D$4</f>
        <v>10697.039999999999</v>
      </c>
      <c r="N24" s="170" t="str">
        <f>'BD Team'!E29</f>
        <v>20MM</v>
      </c>
      <c r="O24" s="172">
        <v>2538</v>
      </c>
      <c r="P24" s="241"/>
      <c r="Q24" s="173">
        <f t="shared" si="10"/>
        <v>376.73999999999995</v>
      </c>
      <c r="R24" s="185"/>
      <c r="S24" s="312"/>
      <c r="T24" s="313">
        <f t="shared" si="2"/>
        <v>33.54</v>
      </c>
      <c r="U24" s="313">
        <f t="shared" si="3"/>
        <v>40.247999999999998</v>
      </c>
      <c r="V24" s="313">
        <f t="shared" si="4"/>
        <v>2.0962499999999999</v>
      </c>
      <c r="W24" s="313">
        <f t="shared" si="5"/>
        <v>33.54</v>
      </c>
      <c r="X24" s="313">
        <f t="shared" si="6"/>
        <v>67.08</v>
      </c>
      <c r="Y24" s="313">
        <f t="shared" si="7"/>
        <v>20.123999999999999</v>
      </c>
    </row>
    <row r="25" spans="1:25">
      <c r="A25" s="118">
        <f>'BD Team'!A30</f>
        <v>22</v>
      </c>
      <c r="B25" s="118" t="str">
        <f>'BD Team'!B30</f>
        <v>SW10</v>
      </c>
      <c r="C25" s="118" t="str">
        <f>'BD Team'!C30</f>
        <v>M900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SF - CONFERENCE</v>
      </c>
      <c r="G25" s="118">
        <f>'BD Team'!H30</f>
        <v>2442</v>
      </c>
      <c r="H25" s="118">
        <f>'BD Team'!I30</f>
        <v>1294</v>
      </c>
      <c r="I25" s="118">
        <f>'BD Team'!J30</f>
        <v>1</v>
      </c>
      <c r="J25" s="103">
        <f t="shared" si="0"/>
        <v>34.013680272000002</v>
      </c>
      <c r="K25" s="172">
        <f>'BD Team'!K30</f>
        <v>105.41</v>
      </c>
      <c r="L25" s="171">
        <f t="shared" si="1"/>
        <v>105.41</v>
      </c>
      <c r="M25" s="170">
        <f>L25*'Changable Values'!$D$4</f>
        <v>8749.0299999999988</v>
      </c>
      <c r="N25" s="170" t="str">
        <f>'BD Team'!E30</f>
        <v>20MM</v>
      </c>
      <c r="O25" s="172">
        <v>2538</v>
      </c>
      <c r="P25" s="241"/>
      <c r="Q25" s="173">
        <f t="shared" si="10"/>
        <v>376.73999999999995</v>
      </c>
      <c r="R25" s="185"/>
      <c r="S25" s="312"/>
      <c r="T25" s="313">
        <f t="shared" si="2"/>
        <v>24.906666666666666</v>
      </c>
      <c r="U25" s="313">
        <f t="shared" si="3"/>
        <v>29.888000000000002</v>
      </c>
      <c r="V25" s="313">
        <f t="shared" si="4"/>
        <v>1.5566666666666666</v>
      </c>
      <c r="W25" s="313">
        <f t="shared" si="5"/>
        <v>24.906666666666666</v>
      </c>
      <c r="X25" s="313">
        <f t="shared" si="6"/>
        <v>49.813333333333333</v>
      </c>
      <c r="Y25" s="313">
        <f t="shared" si="7"/>
        <v>14.944000000000001</v>
      </c>
    </row>
    <row r="26" spans="1:25">
      <c r="A26" s="118">
        <f>'BD Team'!A31</f>
        <v>23</v>
      </c>
      <c r="B26" s="118" t="str">
        <f>'BD Team'!B31</f>
        <v>FG7</v>
      </c>
      <c r="C26" s="118" t="str">
        <f>'BD Team'!C31</f>
        <v>M940</v>
      </c>
      <c r="D26" s="118" t="str">
        <f>'BD Team'!D31</f>
        <v>FIXED GLASS</v>
      </c>
      <c r="E26" s="118" t="str">
        <f>'BD Team'!F31</f>
        <v>NO</v>
      </c>
      <c r="F26" s="121" t="str">
        <f>'BD Team'!G31</f>
        <v>SF - CONFERENCE</v>
      </c>
      <c r="G26" s="118">
        <f>'BD Team'!H31</f>
        <v>1521</v>
      </c>
      <c r="H26" s="118">
        <f>'BD Team'!I31</f>
        <v>1295</v>
      </c>
      <c r="I26" s="118">
        <f>'BD Team'!J31</f>
        <v>1</v>
      </c>
      <c r="J26" s="103">
        <f t="shared" si="0"/>
        <v>21.201796980000001</v>
      </c>
      <c r="K26" s="172">
        <f>'BD Team'!K31</f>
        <v>30.52</v>
      </c>
      <c r="L26" s="171">
        <f t="shared" si="1"/>
        <v>30.52</v>
      </c>
      <c r="M26" s="170">
        <f>L26*'Changable Values'!$D$4</f>
        <v>2533.16</v>
      </c>
      <c r="N26" s="170" t="str">
        <f>'BD Team'!E31</f>
        <v>20MM</v>
      </c>
      <c r="O26" s="172">
        <v>2538</v>
      </c>
      <c r="P26" s="241"/>
      <c r="Q26" s="173"/>
      <c r="R26" s="185"/>
      <c r="S26" s="312"/>
      <c r="T26" s="313">
        <f t="shared" si="2"/>
        <v>18.773333333333333</v>
      </c>
      <c r="U26" s="313">
        <f t="shared" si="3"/>
        <v>22.527999999999999</v>
      </c>
      <c r="V26" s="313">
        <f t="shared" si="4"/>
        <v>1.1733333333333333</v>
      </c>
      <c r="W26" s="313">
        <f t="shared" si="5"/>
        <v>18.773333333333333</v>
      </c>
      <c r="X26" s="313">
        <f t="shared" si="6"/>
        <v>37.546666666666667</v>
      </c>
      <c r="Y26" s="313">
        <f t="shared" si="7"/>
        <v>11.263999999999999</v>
      </c>
    </row>
    <row r="27" spans="1:25">
      <c r="A27" s="118">
        <f>'BD Team'!A32</f>
        <v>24</v>
      </c>
      <c r="B27" s="118" t="str">
        <f>'BD Team'!B32</f>
        <v>FG8</v>
      </c>
      <c r="C27" s="118" t="str">
        <f>'BD Team'!C32</f>
        <v>M940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SF - HALL</v>
      </c>
      <c r="G27" s="118">
        <f>'BD Team'!H32</f>
        <v>1557</v>
      </c>
      <c r="H27" s="118">
        <f>'BD Team'!I32</f>
        <v>1332</v>
      </c>
      <c r="I27" s="118">
        <f>'BD Team'!J32</f>
        <v>1</v>
      </c>
      <c r="J27" s="103">
        <f t="shared" si="0"/>
        <v>22.323717935999998</v>
      </c>
      <c r="K27" s="172">
        <f>'BD Team'!K32</f>
        <v>31.28</v>
      </c>
      <c r="L27" s="171">
        <f t="shared" si="1"/>
        <v>31.28</v>
      </c>
      <c r="M27" s="170">
        <f>L27*'Changable Values'!$D$4</f>
        <v>2596.2400000000002</v>
      </c>
      <c r="N27" s="170" t="str">
        <f>'BD Team'!E32</f>
        <v>20MM</v>
      </c>
      <c r="O27" s="172">
        <v>2538</v>
      </c>
      <c r="P27" s="241"/>
      <c r="Q27" s="173"/>
      <c r="R27" s="185"/>
      <c r="S27" s="312"/>
      <c r="T27" s="313">
        <f t="shared" si="2"/>
        <v>19.260000000000002</v>
      </c>
      <c r="U27" s="313">
        <f t="shared" si="3"/>
        <v>23.111999999999998</v>
      </c>
      <c r="V27" s="313">
        <f t="shared" si="4"/>
        <v>1.2037500000000001</v>
      </c>
      <c r="W27" s="313">
        <f t="shared" si="5"/>
        <v>19.260000000000002</v>
      </c>
      <c r="X27" s="313">
        <f t="shared" si="6"/>
        <v>38.520000000000003</v>
      </c>
      <c r="Y27" s="313">
        <f t="shared" si="7"/>
        <v>11.555999999999999</v>
      </c>
    </row>
    <row r="28" spans="1:25">
      <c r="A28" s="118">
        <f>'BD Team'!A33</f>
        <v>25</v>
      </c>
      <c r="B28" s="118" t="str">
        <f>'BD Team'!B33</f>
        <v>FG9</v>
      </c>
      <c r="C28" s="118" t="str">
        <f>'BD Team'!C33</f>
        <v>M940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SF - HALL</v>
      </c>
      <c r="G28" s="118">
        <f>'BD Team'!H33</f>
        <v>1558</v>
      </c>
      <c r="H28" s="118">
        <f>'BD Team'!I33</f>
        <v>1332</v>
      </c>
      <c r="I28" s="118">
        <f>'BD Team'!J33</f>
        <v>1</v>
      </c>
      <c r="J28" s="103">
        <f t="shared" si="0"/>
        <v>22.338055583999999</v>
      </c>
      <c r="K28" s="172">
        <f>'BD Team'!K33</f>
        <v>31.3</v>
      </c>
      <c r="L28" s="171">
        <f t="shared" si="1"/>
        <v>31.3</v>
      </c>
      <c r="M28" s="170">
        <f>L28*'Changable Values'!$D$4</f>
        <v>2597.9</v>
      </c>
      <c r="N28" s="170" t="str">
        <f>'BD Team'!E33</f>
        <v>20MM</v>
      </c>
      <c r="O28" s="172">
        <v>2538</v>
      </c>
      <c r="P28" s="241"/>
      <c r="Q28" s="173"/>
      <c r="R28" s="185"/>
      <c r="S28" s="312"/>
      <c r="T28" s="313">
        <f t="shared" si="2"/>
        <v>19.266666666666666</v>
      </c>
      <c r="U28" s="313">
        <f t="shared" si="3"/>
        <v>23.12</v>
      </c>
      <c r="V28" s="313">
        <f t="shared" si="4"/>
        <v>1.2041666666666666</v>
      </c>
      <c r="W28" s="313">
        <f t="shared" si="5"/>
        <v>19.266666666666666</v>
      </c>
      <c r="X28" s="313">
        <f t="shared" si="6"/>
        <v>38.533333333333331</v>
      </c>
      <c r="Y28" s="313">
        <f t="shared" si="7"/>
        <v>11.56</v>
      </c>
    </row>
    <row r="29" spans="1:25">
      <c r="A29" s="118">
        <f>'BD Team'!A34</f>
        <v>26</v>
      </c>
      <c r="B29" s="118" t="str">
        <f>'BD Team'!B34</f>
        <v>FG10</v>
      </c>
      <c r="C29" s="118" t="str">
        <f>'BD Team'!C34</f>
        <v>M940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>SF - HALL</v>
      </c>
      <c r="G29" s="118">
        <f>'BD Team'!H34</f>
        <v>1561</v>
      </c>
      <c r="H29" s="118">
        <f>'BD Team'!I34</f>
        <v>1334</v>
      </c>
      <c r="I29" s="118">
        <f>'BD Team'!J34</f>
        <v>1</v>
      </c>
      <c r="J29" s="103">
        <f t="shared" si="0"/>
        <v>22.414673735999997</v>
      </c>
      <c r="K29" s="172">
        <f>'BD Team'!K34</f>
        <v>31.35</v>
      </c>
      <c r="L29" s="171">
        <f t="shared" si="1"/>
        <v>31.35</v>
      </c>
      <c r="M29" s="170">
        <f>L29*'Changable Values'!$D$4</f>
        <v>2602.0500000000002</v>
      </c>
      <c r="N29" s="170" t="str">
        <f>'BD Team'!E34</f>
        <v>20MM</v>
      </c>
      <c r="O29" s="172">
        <v>2538</v>
      </c>
      <c r="P29" s="241"/>
      <c r="Q29" s="173"/>
      <c r="R29" s="185"/>
      <c r="S29" s="312"/>
      <c r="T29" s="313">
        <f t="shared" si="2"/>
        <v>19.3</v>
      </c>
      <c r="U29" s="313">
        <f t="shared" si="3"/>
        <v>23.16</v>
      </c>
      <c r="V29" s="313">
        <f t="shared" si="4"/>
        <v>1.20625</v>
      </c>
      <c r="W29" s="313">
        <f t="shared" si="5"/>
        <v>19.3</v>
      </c>
      <c r="X29" s="313">
        <f t="shared" si="6"/>
        <v>38.6</v>
      </c>
      <c r="Y29" s="313">
        <f t="shared" si="7"/>
        <v>11.58</v>
      </c>
    </row>
    <row r="30" spans="1:25">
      <c r="A30" s="118">
        <f>'BD Team'!A35</f>
        <v>27</v>
      </c>
      <c r="B30" s="118" t="str">
        <f>'BD Team'!B35</f>
        <v>FG11</v>
      </c>
      <c r="C30" s="118" t="str">
        <f>'BD Team'!C35</f>
        <v>M940</v>
      </c>
      <c r="D30" s="118" t="str">
        <f>'BD Team'!D35</f>
        <v>FIXED GLASS</v>
      </c>
      <c r="E30" s="118" t="str">
        <f>'BD Team'!F35</f>
        <v>NO</v>
      </c>
      <c r="F30" s="121" t="str">
        <f>'BD Team'!G35</f>
        <v>SF - KITCHEN</v>
      </c>
      <c r="G30" s="118">
        <f>'BD Team'!H35</f>
        <v>1553</v>
      </c>
      <c r="H30" s="118">
        <f>'BD Team'!I35</f>
        <v>1338</v>
      </c>
      <c r="I30" s="118">
        <f>'BD Team'!J35</f>
        <v>1</v>
      </c>
      <c r="J30" s="103">
        <f t="shared" si="0"/>
        <v>22.366666296000002</v>
      </c>
      <c r="K30" s="172">
        <f>'BD Team'!K35</f>
        <v>31.31</v>
      </c>
      <c r="L30" s="171">
        <f t="shared" si="1"/>
        <v>31.31</v>
      </c>
      <c r="M30" s="170">
        <f>L30*'Changable Values'!$D$4</f>
        <v>2598.73</v>
      </c>
      <c r="N30" s="170" t="str">
        <f>'BD Team'!E35</f>
        <v>20MM</v>
      </c>
      <c r="O30" s="172">
        <v>2538</v>
      </c>
      <c r="P30" s="241"/>
      <c r="Q30" s="173"/>
      <c r="R30" s="185"/>
      <c r="S30" s="312"/>
      <c r="T30" s="313">
        <f t="shared" si="2"/>
        <v>19.273333333333333</v>
      </c>
      <c r="U30" s="313">
        <f t="shared" si="3"/>
        <v>23.128</v>
      </c>
      <c r="V30" s="313">
        <f t="shared" si="4"/>
        <v>1.2045833333333333</v>
      </c>
      <c r="W30" s="313">
        <f t="shared" si="5"/>
        <v>19.273333333333333</v>
      </c>
      <c r="X30" s="313">
        <f t="shared" si="6"/>
        <v>38.546666666666667</v>
      </c>
      <c r="Y30" s="313">
        <f t="shared" si="7"/>
        <v>11.564</v>
      </c>
    </row>
    <row r="31" spans="1:25">
      <c r="A31" s="118">
        <f>'BD Team'!A36</f>
        <v>28</v>
      </c>
      <c r="B31" s="118" t="str">
        <f>'BD Team'!B36</f>
        <v>SW11</v>
      </c>
      <c r="C31" s="118" t="str">
        <f>'BD Team'!C36</f>
        <v>M900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SF - KITCHEN</v>
      </c>
      <c r="G31" s="118">
        <f>'BD Team'!H36</f>
        <v>2464</v>
      </c>
      <c r="H31" s="118">
        <f>'BD Team'!I36</f>
        <v>1323</v>
      </c>
      <c r="I31" s="118">
        <f>'BD Team'!J36</f>
        <v>1</v>
      </c>
      <c r="J31" s="103">
        <f t="shared" si="0"/>
        <v>35.089262207999994</v>
      </c>
      <c r="K31" s="172">
        <f>'BD Team'!K36</f>
        <v>128.95000000000002</v>
      </c>
      <c r="L31" s="171">
        <f t="shared" si="1"/>
        <v>128.95000000000002</v>
      </c>
      <c r="M31" s="170">
        <f>L31*'Changable Values'!$D$4</f>
        <v>10702.850000000002</v>
      </c>
      <c r="N31" s="170" t="str">
        <f>'BD Team'!E36</f>
        <v>20MM</v>
      </c>
      <c r="O31" s="172">
        <v>2538</v>
      </c>
      <c r="P31" s="241"/>
      <c r="Q31" s="173">
        <f>35*10.764</f>
        <v>376.73999999999995</v>
      </c>
      <c r="R31" s="185"/>
      <c r="S31" s="312"/>
      <c r="T31" s="313">
        <f t="shared" si="2"/>
        <v>25.246666666666666</v>
      </c>
      <c r="U31" s="313">
        <f t="shared" si="3"/>
        <v>30.295999999999999</v>
      </c>
      <c r="V31" s="313">
        <f t="shared" si="4"/>
        <v>1.5779166666666666</v>
      </c>
      <c r="W31" s="313">
        <f t="shared" si="5"/>
        <v>25.246666666666666</v>
      </c>
      <c r="X31" s="313">
        <f t="shared" si="6"/>
        <v>50.493333333333332</v>
      </c>
      <c r="Y31" s="313">
        <f t="shared" si="7"/>
        <v>15.148</v>
      </c>
    </row>
    <row r="32" spans="1:25">
      <c r="A32" s="118">
        <f>'BD Team'!A37</f>
        <v>29</v>
      </c>
      <c r="B32" s="118" t="str">
        <f>'BD Team'!B37</f>
        <v>V4</v>
      </c>
      <c r="C32" s="118" t="str">
        <f>'BD Team'!C37</f>
        <v>M940</v>
      </c>
      <c r="D32" s="118" t="str">
        <f>'BD Team'!D37</f>
        <v>Z LOUVERS</v>
      </c>
      <c r="E32" s="118" t="str">
        <f>'BD Team'!F37</f>
        <v>NO</v>
      </c>
      <c r="F32" s="121" t="str">
        <f>'BD Team'!G37</f>
        <v>FF - MD TOILET</v>
      </c>
      <c r="G32" s="118">
        <f>'BD Team'!H37</f>
        <v>564</v>
      </c>
      <c r="H32" s="118">
        <f>'BD Team'!I37</f>
        <v>567</v>
      </c>
      <c r="I32" s="118">
        <f>'BD Team'!J37</f>
        <v>1</v>
      </c>
      <c r="J32" s="103">
        <f t="shared" si="0"/>
        <v>3.4421980319999999</v>
      </c>
      <c r="K32" s="172">
        <f>'BD Team'!K37</f>
        <v>27.78</v>
      </c>
      <c r="L32" s="171">
        <f t="shared" si="1"/>
        <v>27.78</v>
      </c>
      <c r="M32" s="170">
        <f>L32*'Changable Values'!$D$4</f>
        <v>2305.7400000000002</v>
      </c>
      <c r="N32" s="170" t="str">
        <f>'BD Team'!E37</f>
        <v>NA</v>
      </c>
      <c r="O32" s="172"/>
      <c r="P32" s="241"/>
      <c r="Q32" s="173"/>
      <c r="R32" s="185"/>
      <c r="S32" s="312"/>
      <c r="T32" s="313">
        <f t="shared" si="2"/>
        <v>7.54</v>
      </c>
      <c r="U32" s="313">
        <f t="shared" si="3"/>
        <v>9.048</v>
      </c>
      <c r="V32" s="313">
        <f t="shared" si="4"/>
        <v>0.47125</v>
      </c>
      <c r="W32" s="313">
        <f t="shared" si="5"/>
        <v>7.54</v>
      </c>
      <c r="X32" s="313">
        <f t="shared" si="6"/>
        <v>15.08</v>
      </c>
      <c r="Y32" s="313">
        <f t="shared" si="7"/>
        <v>4.524</v>
      </c>
    </row>
    <row r="33" spans="1:25">
      <c r="A33" s="118">
        <f>'BD Team'!A38</f>
        <v>30</v>
      </c>
      <c r="B33" s="118" t="str">
        <f>'BD Team'!B38</f>
        <v>SW12</v>
      </c>
      <c r="C33" s="118" t="str">
        <f>'BD Team'!C38</f>
        <v>M900</v>
      </c>
      <c r="D33" s="118" t="str">
        <f>'BD Team'!D38</f>
        <v>3 TRACK 2 SHUTTER SLIDING WINDOW</v>
      </c>
      <c r="E33" s="118" t="str">
        <f>'BD Team'!F38</f>
        <v>SS</v>
      </c>
      <c r="F33" s="121" t="str">
        <f>'BD Team'!G38</f>
        <v>SF - MD ROOM</v>
      </c>
      <c r="G33" s="118">
        <f>'BD Team'!H38</f>
        <v>2471</v>
      </c>
      <c r="H33" s="118">
        <f>'BD Team'!I38</f>
        <v>1334</v>
      </c>
      <c r="I33" s="118">
        <f>'BD Team'!J38</f>
        <v>1</v>
      </c>
      <c r="J33" s="103">
        <f t="shared" si="0"/>
        <v>35.481523895999999</v>
      </c>
      <c r="K33" s="172">
        <f>'BD Team'!K38</f>
        <v>129.41</v>
      </c>
      <c r="L33" s="171">
        <f t="shared" si="1"/>
        <v>129.41</v>
      </c>
      <c r="M33" s="170">
        <f>L33*'Changable Values'!$D$4</f>
        <v>10741.029999999999</v>
      </c>
      <c r="N33" s="170" t="str">
        <f>'BD Team'!E38</f>
        <v>20MM</v>
      </c>
      <c r="O33" s="172">
        <v>2538</v>
      </c>
      <c r="P33" s="241"/>
      <c r="Q33" s="173">
        <f t="shared" ref="Q33:Q36" si="11">35*10.764</f>
        <v>376.73999999999995</v>
      </c>
      <c r="R33" s="185"/>
      <c r="S33" s="312"/>
      <c r="T33" s="313">
        <f t="shared" si="2"/>
        <v>25.366666666666667</v>
      </c>
      <c r="U33" s="313">
        <f t="shared" si="3"/>
        <v>30.44</v>
      </c>
      <c r="V33" s="313">
        <f t="shared" si="4"/>
        <v>1.5854166666666667</v>
      </c>
      <c r="W33" s="313">
        <f t="shared" si="5"/>
        <v>25.366666666666667</v>
      </c>
      <c r="X33" s="313">
        <f t="shared" si="6"/>
        <v>50.733333333333334</v>
      </c>
      <c r="Y33" s="313">
        <f t="shared" si="7"/>
        <v>15.22</v>
      </c>
    </row>
    <row r="34" spans="1:25">
      <c r="A34" s="118">
        <f>'BD Team'!A39</f>
        <v>31</v>
      </c>
      <c r="B34" s="118" t="str">
        <f>'BD Team'!B39</f>
        <v>SW13</v>
      </c>
      <c r="C34" s="118" t="str">
        <f>'BD Team'!C39</f>
        <v>M900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SF - MD ROOM 2</v>
      </c>
      <c r="G34" s="118">
        <f>'BD Team'!H39</f>
        <v>2479</v>
      </c>
      <c r="H34" s="118">
        <f>'BD Team'!I39</f>
        <v>1328</v>
      </c>
      <c r="I34" s="118">
        <f>'BD Team'!J39</f>
        <v>1</v>
      </c>
      <c r="J34" s="103">
        <f t="shared" si="0"/>
        <v>35.436293567999996</v>
      </c>
      <c r="K34" s="172">
        <f>'BD Team'!K39</f>
        <v>107.11999999999999</v>
      </c>
      <c r="L34" s="171">
        <f t="shared" si="1"/>
        <v>107.11999999999999</v>
      </c>
      <c r="M34" s="170">
        <f>L34*'Changable Values'!$D$4</f>
        <v>8890.9599999999991</v>
      </c>
      <c r="N34" s="170" t="str">
        <f>'BD Team'!E39</f>
        <v>20MM</v>
      </c>
      <c r="O34" s="172">
        <v>2538</v>
      </c>
      <c r="P34" s="241"/>
      <c r="Q34" s="173">
        <f t="shared" si="11"/>
        <v>376.73999999999995</v>
      </c>
      <c r="R34" s="185"/>
      <c r="S34" s="312"/>
      <c r="T34" s="313">
        <f t="shared" si="2"/>
        <v>25.38</v>
      </c>
      <c r="U34" s="313">
        <f t="shared" si="3"/>
        <v>30.456</v>
      </c>
      <c r="V34" s="313">
        <f t="shared" si="4"/>
        <v>1.5862499999999999</v>
      </c>
      <c r="W34" s="313">
        <f t="shared" si="5"/>
        <v>25.38</v>
      </c>
      <c r="X34" s="313">
        <f t="shared" si="6"/>
        <v>50.76</v>
      </c>
      <c r="Y34" s="313">
        <f t="shared" si="7"/>
        <v>15.228</v>
      </c>
    </row>
    <row r="35" spans="1:25">
      <c r="A35" s="118">
        <f>'BD Team'!A40</f>
        <v>32</v>
      </c>
      <c r="B35" s="118" t="str">
        <f>'BD Team'!B40</f>
        <v>SW14</v>
      </c>
      <c r="C35" s="118" t="str">
        <f>'BD Team'!C40</f>
        <v>M900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SF - MD ROOM 3</v>
      </c>
      <c r="G35" s="118">
        <f>'BD Team'!H40</f>
        <v>1865</v>
      </c>
      <c r="H35" s="118">
        <f>'BD Team'!I40</f>
        <v>1340</v>
      </c>
      <c r="I35" s="118">
        <f>'BD Team'!J40</f>
        <v>1</v>
      </c>
      <c r="J35" s="103">
        <f t="shared" si="0"/>
        <v>26.900312399999997</v>
      </c>
      <c r="K35" s="172">
        <f>'BD Team'!K40</f>
        <v>96.37</v>
      </c>
      <c r="L35" s="171">
        <f t="shared" si="1"/>
        <v>96.37</v>
      </c>
      <c r="M35" s="170">
        <f>L35*'Changable Values'!$D$4</f>
        <v>7998.71</v>
      </c>
      <c r="N35" s="170" t="str">
        <f>'BD Team'!E40</f>
        <v>20MM</v>
      </c>
      <c r="O35" s="172">
        <v>2538</v>
      </c>
      <c r="P35" s="241"/>
      <c r="Q35" s="173">
        <f t="shared" si="11"/>
        <v>376.73999999999995</v>
      </c>
      <c r="R35" s="185"/>
      <c r="S35" s="312"/>
      <c r="T35" s="313">
        <f t="shared" si="2"/>
        <v>21.366666666666667</v>
      </c>
      <c r="U35" s="313">
        <f t="shared" si="3"/>
        <v>25.64</v>
      </c>
      <c r="V35" s="313">
        <f t="shared" si="4"/>
        <v>1.3354166666666667</v>
      </c>
      <c r="W35" s="313">
        <f t="shared" si="5"/>
        <v>21.366666666666667</v>
      </c>
      <c r="X35" s="313">
        <f t="shared" si="6"/>
        <v>42.733333333333334</v>
      </c>
      <c r="Y35" s="313">
        <f t="shared" si="7"/>
        <v>12.82</v>
      </c>
    </row>
    <row r="36" spans="1:25">
      <c r="A36" s="118">
        <f>'BD Team'!A41</f>
        <v>33</v>
      </c>
      <c r="B36" s="118" t="str">
        <f>'BD Team'!B41</f>
        <v>SW15</v>
      </c>
      <c r="C36" s="118" t="str">
        <f>'BD Team'!C41</f>
        <v>M900</v>
      </c>
      <c r="D36" s="118" t="str">
        <f>'BD Team'!D41</f>
        <v>3 TRACK 2 SHUTTER SLIDING WINDOW</v>
      </c>
      <c r="E36" s="118" t="str">
        <f>'BD Team'!F41</f>
        <v>SS</v>
      </c>
      <c r="F36" s="121" t="str">
        <f>'BD Team'!G41</f>
        <v>SF - SMALL ROOM</v>
      </c>
      <c r="G36" s="118">
        <f>'BD Team'!H41</f>
        <v>917</v>
      </c>
      <c r="H36" s="118">
        <f>'BD Team'!I41</f>
        <v>1295</v>
      </c>
      <c r="I36" s="118">
        <f>'BD Team'!J41</f>
        <v>1</v>
      </c>
      <c r="J36" s="103">
        <f t="shared" si="0"/>
        <v>12.782411459999999</v>
      </c>
      <c r="K36" s="172">
        <f>'BD Team'!K41</f>
        <v>77.81</v>
      </c>
      <c r="L36" s="171">
        <f t="shared" si="1"/>
        <v>77.81</v>
      </c>
      <c r="M36" s="170">
        <f>L36*'Changable Values'!$D$4</f>
        <v>6458.2300000000005</v>
      </c>
      <c r="N36" s="170" t="str">
        <f>'BD Team'!E41</f>
        <v>20MM</v>
      </c>
      <c r="O36" s="172">
        <v>2538</v>
      </c>
      <c r="P36" s="241"/>
      <c r="Q36" s="173">
        <f t="shared" si="11"/>
        <v>376.73999999999995</v>
      </c>
      <c r="R36" s="185"/>
      <c r="S36" s="312"/>
      <c r="T36" s="313">
        <f t="shared" si="2"/>
        <v>14.746666666666666</v>
      </c>
      <c r="U36" s="313">
        <f t="shared" si="3"/>
        <v>17.696000000000002</v>
      </c>
      <c r="V36" s="313">
        <f t="shared" si="4"/>
        <v>0.92166666666666663</v>
      </c>
      <c r="W36" s="313">
        <f t="shared" si="5"/>
        <v>14.746666666666666</v>
      </c>
      <c r="X36" s="313">
        <f t="shared" si="6"/>
        <v>29.493333333333332</v>
      </c>
      <c r="Y36" s="313">
        <f t="shared" si="7"/>
        <v>8.8480000000000008</v>
      </c>
    </row>
    <row r="37" spans="1:25">
      <c r="A37" s="118">
        <f>'BD Team'!A42</f>
        <v>34</v>
      </c>
      <c r="B37" s="118" t="str">
        <f>'BD Team'!B42</f>
        <v>V5</v>
      </c>
      <c r="C37" s="118" t="str">
        <f>'BD Team'!C42</f>
        <v>M940</v>
      </c>
      <c r="D37" s="118" t="str">
        <f>'BD Team'!D42</f>
        <v>Z LOUVERS</v>
      </c>
      <c r="E37" s="118" t="str">
        <f>'BD Team'!F42</f>
        <v>NO</v>
      </c>
      <c r="F37" s="121" t="str">
        <f>'BD Team'!G42</f>
        <v>SF - TOILET</v>
      </c>
      <c r="G37" s="118">
        <f>'BD Team'!H42</f>
        <v>572</v>
      </c>
      <c r="H37" s="118">
        <f>'BD Team'!I42</f>
        <v>580</v>
      </c>
      <c r="I37" s="118">
        <f>'BD Team'!J42</f>
        <v>1</v>
      </c>
      <c r="J37" s="103">
        <f t="shared" si="0"/>
        <v>3.5710646399999995</v>
      </c>
      <c r="K37" s="172">
        <f>'BD Team'!K42</f>
        <v>28</v>
      </c>
      <c r="L37" s="171">
        <f t="shared" si="1"/>
        <v>28</v>
      </c>
      <c r="M37" s="170">
        <f>L37*'Changable Values'!$D$4</f>
        <v>2324</v>
      </c>
      <c r="N37" s="170" t="str">
        <f>'BD Team'!E42</f>
        <v>NA</v>
      </c>
      <c r="O37" s="172"/>
      <c r="P37" s="241"/>
      <c r="Q37" s="173"/>
      <c r="R37" s="185"/>
      <c r="S37" s="312"/>
      <c r="T37" s="313">
        <f t="shared" si="2"/>
        <v>7.68</v>
      </c>
      <c r="U37" s="313">
        <f t="shared" si="3"/>
        <v>9.2159999999999993</v>
      </c>
      <c r="V37" s="313">
        <f t="shared" si="4"/>
        <v>0.48</v>
      </c>
      <c r="W37" s="313">
        <f t="shared" si="5"/>
        <v>7.68</v>
      </c>
      <c r="X37" s="313">
        <f t="shared" si="6"/>
        <v>15.36</v>
      </c>
      <c r="Y37" s="313">
        <f t="shared" si="7"/>
        <v>4.6079999999999997</v>
      </c>
    </row>
    <row r="38" spans="1:25">
      <c r="A38" s="118">
        <f>'BD Team'!A43</f>
        <v>35</v>
      </c>
      <c r="B38" s="118" t="str">
        <f>'BD Team'!B43</f>
        <v>V6</v>
      </c>
      <c r="C38" s="118" t="str">
        <f>'BD Team'!C43</f>
        <v>M940</v>
      </c>
      <c r="D38" s="118" t="str">
        <f>'BD Team'!D43</f>
        <v>Z LOUVERS</v>
      </c>
      <c r="E38" s="118" t="str">
        <f>'BD Team'!F43</f>
        <v>NO</v>
      </c>
      <c r="F38" s="121" t="str">
        <f>'BD Team'!G43</f>
        <v>SF - TOILET 2</v>
      </c>
      <c r="G38" s="118">
        <f>'BD Team'!H43</f>
        <v>581</v>
      </c>
      <c r="H38" s="118">
        <f>'BD Team'!I43</f>
        <v>575</v>
      </c>
      <c r="I38" s="118">
        <f>'BD Team'!J43</f>
        <v>1</v>
      </c>
      <c r="J38" s="103">
        <f t="shared" si="0"/>
        <v>3.5959832999999999</v>
      </c>
      <c r="K38" s="172">
        <f>'BD Team'!K43</f>
        <v>28.04</v>
      </c>
      <c r="L38" s="171">
        <f t="shared" si="1"/>
        <v>28.04</v>
      </c>
      <c r="M38" s="170">
        <f>L38*'Changable Values'!$D$4</f>
        <v>2327.3199999999997</v>
      </c>
      <c r="N38" s="170" t="str">
        <f>'BD Team'!E43</f>
        <v>NA</v>
      </c>
      <c r="O38" s="172"/>
      <c r="P38" s="241"/>
      <c r="Q38" s="173"/>
      <c r="R38" s="185"/>
      <c r="S38" s="312"/>
      <c r="T38" s="313">
        <f t="shared" si="2"/>
        <v>7.706666666666667</v>
      </c>
      <c r="U38" s="313">
        <f t="shared" si="3"/>
        <v>9.2479999999999993</v>
      </c>
      <c r="V38" s="313">
        <f t="shared" si="4"/>
        <v>0.48166666666666669</v>
      </c>
      <c r="W38" s="313">
        <f t="shared" si="5"/>
        <v>7.706666666666667</v>
      </c>
      <c r="X38" s="313">
        <f t="shared" si="6"/>
        <v>15.413333333333334</v>
      </c>
      <c r="Y38" s="313">
        <f t="shared" si="7"/>
        <v>4.6239999999999997</v>
      </c>
    </row>
    <row r="39" spans="1:25">
      <c r="A39" s="118">
        <f>'BD Team'!A44</f>
        <v>36</v>
      </c>
      <c r="B39" s="118" t="str">
        <f>'BD Team'!B44</f>
        <v>FG12</v>
      </c>
      <c r="C39" s="118" t="str">
        <f>'BD Team'!C44</f>
        <v>M940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SF - SERVANT ROOM</v>
      </c>
      <c r="G39" s="118">
        <f>'BD Team'!H44</f>
        <v>860</v>
      </c>
      <c r="H39" s="118">
        <f>'BD Team'!I44</f>
        <v>1271</v>
      </c>
      <c r="I39" s="118">
        <f>'BD Team'!J44</f>
        <v>1</v>
      </c>
      <c r="J39" s="103">
        <f t="shared" si="0"/>
        <v>11.76569784</v>
      </c>
      <c r="K39" s="172">
        <f>'BD Team'!K44</f>
        <v>23.28</v>
      </c>
      <c r="L39" s="171">
        <f t="shared" si="1"/>
        <v>23.28</v>
      </c>
      <c r="M39" s="170">
        <f>L39*'Changable Values'!$D$4</f>
        <v>1932.24</v>
      </c>
      <c r="N39" s="170" t="str">
        <f>'BD Team'!E44</f>
        <v>20MM</v>
      </c>
      <c r="O39" s="172">
        <v>2538</v>
      </c>
      <c r="P39" s="241"/>
      <c r="Q39" s="173"/>
      <c r="R39" s="185"/>
      <c r="S39" s="312"/>
      <c r="T39" s="313">
        <f t="shared" si="2"/>
        <v>14.206666666666667</v>
      </c>
      <c r="U39" s="313">
        <f t="shared" si="3"/>
        <v>17.047999999999998</v>
      </c>
      <c r="V39" s="313">
        <f t="shared" si="4"/>
        <v>0.88791666666666669</v>
      </c>
      <c r="W39" s="313">
        <f t="shared" si="5"/>
        <v>14.206666666666667</v>
      </c>
      <c r="X39" s="313">
        <f t="shared" si="6"/>
        <v>28.413333333333334</v>
      </c>
      <c r="Y39" s="313">
        <f t="shared" si="7"/>
        <v>8.5239999999999991</v>
      </c>
    </row>
    <row r="40" spans="1:25">
      <c r="A40" s="118">
        <f>'BD Team'!A45</f>
        <v>37</v>
      </c>
      <c r="B40" s="118" t="str">
        <f>'BD Team'!B45</f>
        <v>SW16</v>
      </c>
      <c r="C40" s="118" t="str">
        <f>'BD Team'!C45</f>
        <v>M900</v>
      </c>
      <c r="D40" s="118" t="str">
        <f>'BD Team'!D45</f>
        <v>3 TRACK 2 SHUTTER SLIDING WINDOW</v>
      </c>
      <c r="E40" s="118" t="str">
        <f>'BD Team'!F45</f>
        <v>SS</v>
      </c>
      <c r="F40" s="121" t="str">
        <f>'BD Team'!G45</f>
        <v>SF - STAIRCASE</v>
      </c>
      <c r="G40" s="118">
        <f>'BD Team'!H45</f>
        <v>1841</v>
      </c>
      <c r="H40" s="118">
        <f>'BD Team'!I45</f>
        <v>1249</v>
      </c>
      <c r="I40" s="118">
        <f>'BD Team'!J45</f>
        <v>1</v>
      </c>
      <c r="J40" s="103">
        <f t="shared" si="0"/>
        <v>24.750838475999998</v>
      </c>
      <c r="K40" s="172">
        <f>'BD Team'!K45</f>
        <v>93.13</v>
      </c>
      <c r="L40" s="171">
        <f t="shared" si="1"/>
        <v>93.13</v>
      </c>
      <c r="M40" s="170">
        <f>L40*'Changable Values'!$D$4</f>
        <v>7729.79</v>
      </c>
      <c r="N40" s="170" t="str">
        <f>'BD Team'!E45</f>
        <v>20MM</v>
      </c>
      <c r="O40" s="172">
        <v>2538</v>
      </c>
      <c r="P40" s="241"/>
      <c r="Q40" s="173">
        <f t="shared" ref="Q40:Q42" si="12">35*10.764</f>
        <v>376.73999999999995</v>
      </c>
      <c r="R40" s="185"/>
      <c r="S40" s="312"/>
      <c r="T40" s="313">
        <f t="shared" si="2"/>
        <v>20.6</v>
      </c>
      <c r="U40" s="313">
        <f t="shared" si="3"/>
        <v>24.72</v>
      </c>
      <c r="V40" s="313">
        <f t="shared" si="4"/>
        <v>1.2875000000000001</v>
      </c>
      <c r="W40" s="313">
        <f t="shared" si="5"/>
        <v>20.6</v>
      </c>
      <c r="X40" s="313">
        <f t="shared" si="6"/>
        <v>41.2</v>
      </c>
      <c r="Y40" s="313">
        <f t="shared" si="7"/>
        <v>12.36</v>
      </c>
    </row>
    <row r="41" spans="1:25">
      <c r="A41" s="118">
        <f>'BD Team'!A46</f>
        <v>38</v>
      </c>
      <c r="B41" s="118" t="str">
        <f>'BD Team'!B46</f>
        <v>SW17</v>
      </c>
      <c r="C41" s="118" t="str">
        <f>'BD Team'!C46</f>
        <v>M900</v>
      </c>
      <c r="D41" s="118" t="str">
        <f>'BD Team'!D46</f>
        <v>3 TRACK 2 SHUTTER SLIDING WINDOW</v>
      </c>
      <c r="E41" s="118" t="str">
        <f>'BD Team'!F46</f>
        <v>SS</v>
      </c>
      <c r="F41" s="121" t="str">
        <f>'BD Team'!G46</f>
        <v>3F - KITCHEN</v>
      </c>
      <c r="G41" s="118">
        <f>'BD Team'!H46</f>
        <v>3728</v>
      </c>
      <c r="H41" s="118">
        <f>'BD Team'!I46</f>
        <v>1301</v>
      </c>
      <c r="I41" s="118">
        <f>'BD Team'!J46</f>
        <v>1</v>
      </c>
      <c r="J41" s="103">
        <f t="shared" si="0"/>
        <v>52.206777791999997</v>
      </c>
      <c r="K41" s="172">
        <f>'BD Team'!K46</f>
        <v>128.91</v>
      </c>
      <c r="L41" s="171">
        <f t="shared" si="1"/>
        <v>128.91</v>
      </c>
      <c r="M41" s="170">
        <f>L41*'Changable Values'!$D$4</f>
        <v>10699.529999999999</v>
      </c>
      <c r="N41" s="170" t="str">
        <f>'BD Team'!E46</f>
        <v>20MM</v>
      </c>
      <c r="O41" s="172">
        <v>2538</v>
      </c>
      <c r="P41" s="241"/>
      <c r="Q41" s="173">
        <f t="shared" si="12"/>
        <v>376.73999999999995</v>
      </c>
      <c r="R41" s="185"/>
      <c r="S41" s="312"/>
      <c r="T41" s="313">
        <f t="shared" si="2"/>
        <v>33.526666666666664</v>
      </c>
      <c r="U41" s="313">
        <f t="shared" si="3"/>
        <v>40.231999999999999</v>
      </c>
      <c r="V41" s="313">
        <f t="shared" si="4"/>
        <v>2.0954166666666665</v>
      </c>
      <c r="W41" s="313">
        <f t="shared" si="5"/>
        <v>33.526666666666664</v>
      </c>
      <c r="X41" s="313">
        <f t="shared" si="6"/>
        <v>67.053333333333327</v>
      </c>
      <c r="Y41" s="313">
        <f t="shared" si="7"/>
        <v>20.116</v>
      </c>
    </row>
    <row r="42" spans="1:25">
      <c r="A42" s="118">
        <f>'BD Team'!A47</f>
        <v>39</v>
      </c>
      <c r="B42" s="118" t="str">
        <f>'BD Team'!B47</f>
        <v>SW18</v>
      </c>
      <c r="C42" s="118" t="str">
        <f>'BD Team'!C47</f>
        <v>M900</v>
      </c>
      <c r="D42" s="118" t="str">
        <f>'BD Team'!D47</f>
        <v>3 TRACK 2 SHUTTER SLIDING WINDOW</v>
      </c>
      <c r="E42" s="118" t="str">
        <f>'BD Team'!F47</f>
        <v>SS</v>
      </c>
      <c r="F42" s="121" t="str">
        <f>'BD Team'!G47</f>
        <v>3F - CONFERENCE</v>
      </c>
      <c r="G42" s="118">
        <f>'BD Team'!H47</f>
        <v>2439</v>
      </c>
      <c r="H42" s="118">
        <f>'BD Team'!I47</f>
        <v>1298</v>
      </c>
      <c r="I42" s="118">
        <f>'BD Team'!J47</f>
        <v>1</v>
      </c>
      <c r="J42" s="103">
        <f t="shared" si="0"/>
        <v>34.076908008000004</v>
      </c>
      <c r="K42" s="172">
        <f>'BD Team'!K47</f>
        <v>105.47</v>
      </c>
      <c r="L42" s="171">
        <f t="shared" si="1"/>
        <v>105.47</v>
      </c>
      <c r="M42" s="170">
        <f>L42*'Changable Values'!$D$4</f>
        <v>8754.01</v>
      </c>
      <c r="N42" s="170" t="str">
        <f>'BD Team'!E47</f>
        <v>20MM</v>
      </c>
      <c r="O42" s="172">
        <v>2538</v>
      </c>
      <c r="P42" s="241"/>
      <c r="Q42" s="173">
        <f t="shared" si="12"/>
        <v>376.73999999999995</v>
      </c>
      <c r="R42" s="185"/>
      <c r="S42" s="312"/>
      <c r="T42" s="313">
        <f t="shared" si="2"/>
        <v>24.913333333333334</v>
      </c>
      <c r="U42" s="313">
        <f t="shared" si="3"/>
        <v>29.896000000000001</v>
      </c>
      <c r="V42" s="313">
        <f t="shared" si="4"/>
        <v>1.5570833333333334</v>
      </c>
      <c r="W42" s="313">
        <f t="shared" si="5"/>
        <v>24.913333333333334</v>
      </c>
      <c r="X42" s="313">
        <f t="shared" si="6"/>
        <v>49.826666666666668</v>
      </c>
      <c r="Y42" s="313">
        <f t="shared" si="7"/>
        <v>14.948</v>
      </c>
    </row>
    <row r="43" spans="1:25">
      <c r="A43" s="118">
        <f>'BD Team'!A48</f>
        <v>40</v>
      </c>
      <c r="B43" s="118" t="str">
        <f>'BD Team'!B48</f>
        <v>FG13</v>
      </c>
      <c r="C43" s="118" t="str">
        <f>'BD Team'!C48</f>
        <v>M940</v>
      </c>
      <c r="D43" s="118" t="str">
        <f>'BD Team'!D48</f>
        <v>FIXED GLASS</v>
      </c>
      <c r="E43" s="118" t="str">
        <f>'BD Team'!F48</f>
        <v>NO</v>
      </c>
      <c r="F43" s="121" t="str">
        <f>'BD Team'!G48</f>
        <v>3F - CONFERENCE</v>
      </c>
      <c r="G43" s="118">
        <f>'BD Team'!H48</f>
        <v>1519</v>
      </c>
      <c r="H43" s="118">
        <f>'BD Team'!I48</f>
        <v>1295</v>
      </c>
      <c r="I43" s="118">
        <f>'BD Team'!J48</f>
        <v>1</v>
      </c>
      <c r="J43" s="103">
        <f t="shared" si="0"/>
        <v>21.173918219999997</v>
      </c>
      <c r="K43" s="172">
        <f>'BD Team'!K48</f>
        <v>30.5</v>
      </c>
      <c r="L43" s="171">
        <f t="shared" si="1"/>
        <v>30.5</v>
      </c>
      <c r="M43" s="170">
        <f>L43*'Changable Values'!$D$4</f>
        <v>2531.5</v>
      </c>
      <c r="N43" s="170" t="str">
        <f>'BD Team'!E48</f>
        <v>20MM</v>
      </c>
      <c r="O43" s="172">
        <v>2538</v>
      </c>
      <c r="P43" s="241"/>
      <c r="Q43" s="173"/>
      <c r="R43" s="185"/>
      <c r="S43" s="312"/>
      <c r="T43" s="313">
        <f t="shared" si="2"/>
        <v>18.760000000000002</v>
      </c>
      <c r="U43" s="313">
        <f t="shared" si="3"/>
        <v>22.512</v>
      </c>
      <c r="V43" s="313">
        <f t="shared" si="4"/>
        <v>1.1725000000000001</v>
      </c>
      <c r="W43" s="313">
        <f t="shared" si="5"/>
        <v>18.760000000000002</v>
      </c>
      <c r="X43" s="313">
        <f t="shared" si="6"/>
        <v>37.520000000000003</v>
      </c>
      <c r="Y43" s="313">
        <f t="shared" si="7"/>
        <v>11.256</v>
      </c>
    </row>
    <row r="44" spans="1:25">
      <c r="A44" s="118">
        <f>'BD Team'!A49</f>
        <v>41</v>
      </c>
      <c r="B44" s="118" t="str">
        <f>'BD Team'!B49</f>
        <v>FG14</v>
      </c>
      <c r="C44" s="118" t="str">
        <f>'BD Team'!C49</f>
        <v>M940</v>
      </c>
      <c r="D44" s="118" t="str">
        <f>'BD Team'!D49</f>
        <v>FIXED GLASS</v>
      </c>
      <c r="E44" s="118" t="str">
        <f>'BD Team'!F49</f>
        <v>NO</v>
      </c>
      <c r="F44" s="121" t="str">
        <f>'BD Team'!G49</f>
        <v>3F - HALL</v>
      </c>
      <c r="G44" s="118">
        <f>'BD Team'!H49</f>
        <v>1559</v>
      </c>
      <c r="H44" s="118">
        <f>'BD Team'!I49</f>
        <v>1337</v>
      </c>
      <c r="I44" s="118">
        <f>'BD Team'!J49</f>
        <v>1</v>
      </c>
      <c r="J44" s="103">
        <f t="shared" si="0"/>
        <v>22.436298611999998</v>
      </c>
      <c r="K44" s="172">
        <f>'BD Team'!K49</f>
        <v>31.36</v>
      </c>
      <c r="L44" s="171">
        <f t="shared" si="1"/>
        <v>31.36</v>
      </c>
      <c r="M44" s="170">
        <f>L44*'Changable Values'!$D$4</f>
        <v>2602.88</v>
      </c>
      <c r="N44" s="170" t="str">
        <f>'BD Team'!E49</f>
        <v>20MM</v>
      </c>
      <c r="O44" s="172">
        <v>2538</v>
      </c>
      <c r="P44" s="241"/>
      <c r="Q44" s="173"/>
      <c r="R44" s="185"/>
      <c r="S44" s="312"/>
      <c r="T44" s="313">
        <f t="shared" si="2"/>
        <v>19.306666666666668</v>
      </c>
      <c r="U44" s="313">
        <f t="shared" si="3"/>
        <v>23.167999999999999</v>
      </c>
      <c r="V44" s="313">
        <f t="shared" si="4"/>
        <v>1.2066666666666668</v>
      </c>
      <c r="W44" s="313">
        <f t="shared" si="5"/>
        <v>19.306666666666668</v>
      </c>
      <c r="X44" s="313">
        <f t="shared" si="6"/>
        <v>38.613333333333337</v>
      </c>
      <c r="Y44" s="313">
        <f t="shared" si="7"/>
        <v>11.584</v>
      </c>
    </row>
    <row r="45" spans="1:25">
      <c r="A45" s="118">
        <f>'BD Team'!A50</f>
        <v>42</v>
      </c>
      <c r="B45" s="118" t="str">
        <f>'BD Team'!B50</f>
        <v>FG15</v>
      </c>
      <c r="C45" s="118" t="str">
        <f>'BD Team'!C50</f>
        <v>M940</v>
      </c>
      <c r="D45" s="118" t="str">
        <f>'BD Team'!D50</f>
        <v>FIXED GLASS</v>
      </c>
      <c r="E45" s="118" t="str">
        <f>'BD Team'!F50</f>
        <v>NO</v>
      </c>
      <c r="F45" s="121" t="str">
        <f>'BD Team'!G50</f>
        <v>3F - HALL</v>
      </c>
      <c r="G45" s="118">
        <f>'BD Team'!H50</f>
        <v>1564</v>
      </c>
      <c r="H45" s="118">
        <f>'BD Team'!I50</f>
        <v>1331</v>
      </c>
      <c r="I45" s="118">
        <f>'BD Team'!J50</f>
        <v>1</v>
      </c>
      <c r="J45" s="103">
        <f t="shared" si="0"/>
        <v>22.407246575999999</v>
      </c>
      <c r="K45" s="172">
        <f>'BD Team'!K50</f>
        <v>31.35</v>
      </c>
      <c r="L45" s="171">
        <f t="shared" si="1"/>
        <v>31.35</v>
      </c>
      <c r="M45" s="170">
        <f>L45*'Changable Values'!$D$4</f>
        <v>2602.0500000000002</v>
      </c>
      <c r="N45" s="170" t="str">
        <f>'BD Team'!E50</f>
        <v>20MM</v>
      </c>
      <c r="O45" s="172">
        <v>2538</v>
      </c>
      <c r="P45" s="241"/>
      <c r="Q45" s="173"/>
      <c r="R45" s="185"/>
      <c r="S45" s="312"/>
      <c r="T45" s="313">
        <f t="shared" si="2"/>
        <v>19.3</v>
      </c>
      <c r="U45" s="313">
        <f t="shared" si="3"/>
        <v>23.16</v>
      </c>
      <c r="V45" s="313">
        <f t="shared" si="4"/>
        <v>1.20625</v>
      </c>
      <c r="W45" s="313">
        <f t="shared" si="5"/>
        <v>19.3</v>
      </c>
      <c r="X45" s="313">
        <f t="shared" si="6"/>
        <v>38.6</v>
      </c>
      <c r="Y45" s="313">
        <f t="shared" si="7"/>
        <v>11.58</v>
      </c>
    </row>
    <row r="46" spans="1:25">
      <c r="A46" s="118">
        <f>'BD Team'!A51</f>
        <v>43</v>
      </c>
      <c r="B46" s="118" t="str">
        <f>'BD Team'!B51</f>
        <v>FG16</v>
      </c>
      <c r="C46" s="118" t="str">
        <f>'BD Team'!C51</f>
        <v>M940</v>
      </c>
      <c r="D46" s="118" t="str">
        <f>'BD Team'!D51</f>
        <v>FIXED GLASS</v>
      </c>
      <c r="E46" s="118" t="str">
        <f>'BD Team'!F51</f>
        <v>NO</v>
      </c>
      <c r="F46" s="121" t="str">
        <f>'BD Team'!G51</f>
        <v>3F - KITCHEN</v>
      </c>
      <c r="G46" s="118">
        <f>'BD Team'!H51</f>
        <v>1564</v>
      </c>
      <c r="H46" s="118">
        <f>'BD Team'!I51</f>
        <v>1337</v>
      </c>
      <c r="I46" s="118">
        <f>'BD Team'!J51</f>
        <v>1</v>
      </c>
      <c r="J46" s="103">
        <f t="shared" si="0"/>
        <v>22.508255951999999</v>
      </c>
      <c r="K46" s="172">
        <f>'BD Team'!K51</f>
        <v>31.41</v>
      </c>
      <c r="L46" s="171">
        <f t="shared" si="1"/>
        <v>31.41</v>
      </c>
      <c r="M46" s="170">
        <f>L46*'Changable Values'!$D$4</f>
        <v>2607.0300000000002</v>
      </c>
      <c r="N46" s="170" t="str">
        <f>'BD Team'!E51</f>
        <v>20MM</v>
      </c>
      <c r="O46" s="172">
        <v>2538</v>
      </c>
      <c r="P46" s="241"/>
      <c r="Q46" s="173"/>
      <c r="R46" s="185"/>
      <c r="S46" s="312"/>
      <c r="T46" s="313">
        <f t="shared" si="2"/>
        <v>19.34</v>
      </c>
      <c r="U46" s="313">
        <f t="shared" si="3"/>
        <v>23.207999999999998</v>
      </c>
      <c r="V46" s="313">
        <f t="shared" si="4"/>
        <v>1.20875</v>
      </c>
      <c r="W46" s="313">
        <f t="shared" si="5"/>
        <v>19.34</v>
      </c>
      <c r="X46" s="313">
        <f t="shared" si="6"/>
        <v>38.68</v>
      </c>
      <c r="Y46" s="313">
        <f t="shared" si="7"/>
        <v>11.603999999999999</v>
      </c>
    </row>
    <row r="47" spans="1:25">
      <c r="A47" s="118">
        <f>'BD Team'!A52</f>
        <v>44</v>
      </c>
      <c r="B47" s="118" t="str">
        <f>'BD Team'!B52</f>
        <v>FG17</v>
      </c>
      <c r="C47" s="118" t="str">
        <f>'BD Team'!C52</f>
        <v>M940</v>
      </c>
      <c r="D47" s="118" t="str">
        <f>'BD Team'!D52</f>
        <v>FIXED GLASS</v>
      </c>
      <c r="E47" s="118" t="str">
        <f>'BD Team'!F52</f>
        <v>NO</v>
      </c>
      <c r="F47" s="121" t="str">
        <f>'BD Team'!G52</f>
        <v>3F - KITCHEN</v>
      </c>
      <c r="G47" s="118">
        <f>'BD Team'!H52</f>
        <v>1562</v>
      </c>
      <c r="H47" s="118">
        <f>'BD Team'!I52</f>
        <v>1334</v>
      </c>
      <c r="I47" s="118">
        <f>'BD Team'!J52</f>
        <v>1</v>
      </c>
      <c r="J47" s="103">
        <f t="shared" si="0"/>
        <v>22.429032912</v>
      </c>
      <c r="K47" s="172">
        <f>'BD Team'!K52</f>
        <v>31.36</v>
      </c>
      <c r="L47" s="171">
        <f t="shared" si="1"/>
        <v>31.36</v>
      </c>
      <c r="M47" s="170">
        <f>L47*'Changable Values'!$D$4</f>
        <v>2602.88</v>
      </c>
      <c r="N47" s="170" t="str">
        <f>'BD Team'!E52</f>
        <v>20MM</v>
      </c>
      <c r="O47" s="172">
        <v>2538</v>
      </c>
      <c r="P47" s="241"/>
      <c r="Q47" s="173"/>
      <c r="R47" s="185"/>
      <c r="S47" s="312"/>
      <c r="T47" s="313">
        <f t="shared" si="2"/>
        <v>19.306666666666668</v>
      </c>
      <c r="U47" s="313">
        <f t="shared" si="3"/>
        <v>23.167999999999999</v>
      </c>
      <c r="V47" s="313">
        <f t="shared" si="4"/>
        <v>1.2066666666666668</v>
      </c>
      <c r="W47" s="313">
        <f t="shared" si="5"/>
        <v>19.306666666666668</v>
      </c>
      <c r="X47" s="313">
        <f t="shared" si="6"/>
        <v>38.613333333333337</v>
      </c>
      <c r="Y47" s="313">
        <f t="shared" si="7"/>
        <v>11.584</v>
      </c>
    </row>
    <row r="48" spans="1:25">
      <c r="A48" s="118">
        <f>'BD Team'!A53</f>
        <v>45</v>
      </c>
      <c r="B48" s="118" t="str">
        <f>'BD Team'!B53</f>
        <v>SW19</v>
      </c>
      <c r="C48" s="118" t="str">
        <f>'BD Team'!C53</f>
        <v>M900</v>
      </c>
      <c r="D48" s="118" t="str">
        <f>'BD Team'!D53</f>
        <v>3 TRACK 2 SHUTTER SLIDING WINDOW</v>
      </c>
      <c r="E48" s="118" t="str">
        <f>'BD Team'!F53</f>
        <v>SS</v>
      </c>
      <c r="F48" s="121" t="str">
        <f>'BD Team'!G53</f>
        <v>3F - KITCHEN</v>
      </c>
      <c r="G48" s="118">
        <f>'BD Team'!H53</f>
        <v>1380</v>
      </c>
      <c r="H48" s="118">
        <f>'BD Team'!I53</f>
        <v>897</v>
      </c>
      <c r="I48" s="118">
        <f>'BD Team'!J53</f>
        <v>1</v>
      </c>
      <c r="J48" s="103">
        <f t="shared" si="0"/>
        <v>13.32432504</v>
      </c>
      <c r="K48" s="172">
        <f>'BD Team'!K53</f>
        <v>73.98</v>
      </c>
      <c r="L48" s="171">
        <f t="shared" si="1"/>
        <v>73.98</v>
      </c>
      <c r="M48" s="170">
        <f>L48*'Changable Values'!$D$4</f>
        <v>6140.34</v>
      </c>
      <c r="N48" s="170" t="str">
        <f>'BD Team'!E53</f>
        <v>20MM</v>
      </c>
      <c r="O48" s="172">
        <v>2538</v>
      </c>
      <c r="P48" s="241"/>
      <c r="Q48" s="173">
        <f>35*10.764</f>
        <v>376.73999999999995</v>
      </c>
      <c r="R48" s="185"/>
      <c r="S48" s="312"/>
      <c r="T48" s="313">
        <f t="shared" si="2"/>
        <v>15.18</v>
      </c>
      <c r="U48" s="313">
        <f t="shared" si="3"/>
        <v>18.216000000000001</v>
      </c>
      <c r="V48" s="313">
        <f t="shared" si="4"/>
        <v>0.94874999999999998</v>
      </c>
      <c r="W48" s="313">
        <f t="shared" si="5"/>
        <v>15.18</v>
      </c>
      <c r="X48" s="313">
        <f t="shared" si="6"/>
        <v>30.36</v>
      </c>
      <c r="Y48" s="313">
        <f t="shared" si="7"/>
        <v>9.1080000000000005</v>
      </c>
    </row>
    <row r="49" spans="1:25">
      <c r="A49" s="118">
        <f>'BD Team'!A54</f>
        <v>46</v>
      </c>
      <c r="B49" s="118" t="str">
        <f>'BD Team'!B54</f>
        <v>V7</v>
      </c>
      <c r="C49" s="118" t="str">
        <f>'BD Team'!C54</f>
        <v>M940</v>
      </c>
      <c r="D49" s="118" t="str">
        <f>'BD Team'!D54</f>
        <v>Z LOUVERS</v>
      </c>
      <c r="E49" s="118" t="str">
        <f>'BD Team'!F54</f>
        <v>NO</v>
      </c>
      <c r="F49" s="121" t="str">
        <f>'BD Team'!G54</f>
        <v>3F - STORE</v>
      </c>
      <c r="G49" s="118">
        <f>'BD Team'!H54</f>
        <v>646</v>
      </c>
      <c r="H49" s="118">
        <f>'BD Team'!I54</f>
        <v>592</v>
      </c>
      <c r="I49" s="118">
        <f>'BD Team'!J54</f>
        <v>1</v>
      </c>
      <c r="J49" s="103">
        <f t="shared" si="0"/>
        <v>4.1164980479999995</v>
      </c>
      <c r="K49" s="172">
        <f>'BD Team'!K54</f>
        <v>28.91</v>
      </c>
      <c r="L49" s="171">
        <f t="shared" si="1"/>
        <v>28.91</v>
      </c>
      <c r="M49" s="170">
        <f>L49*'Changable Values'!$D$4</f>
        <v>2399.5300000000002</v>
      </c>
      <c r="N49" s="170" t="str">
        <f>'BD Team'!E54</f>
        <v>NA</v>
      </c>
      <c r="O49" s="172"/>
      <c r="P49" s="241"/>
      <c r="Q49" s="173"/>
      <c r="R49" s="185"/>
      <c r="S49" s="312"/>
      <c r="T49" s="313">
        <f t="shared" si="2"/>
        <v>8.2533333333333339</v>
      </c>
      <c r="U49" s="313">
        <f t="shared" si="3"/>
        <v>9.9039999999999999</v>
      </c>
      <c r="V49" s="313">
        <f t="shared" si="4"/>
        <v>0.51583333333333337</v>
      </c>
      <c r="W49" s="313">
        <f t="shared" si="5"/>
        <v>8.2533333333333339</v>
      </c>
      <c r="X49" s="313">
        <f t="shared" si="6"/>
        <v>16.506666666666668</v>
      </c>
      <c r="Y49" s="313">
        <f t="shared" si="7"/>
        <v>4.952</v>
      </c>
    </row>
    <row r="50" spans="1:25">
      <c r="A50" s="118">
        <f>'BD Team'!A55</f>
        <v>47</v>
      </c>
      <c r="B50" s="118" t="str">
        <f>'BD Team'!B55</f>
        <v>V8</v>
      </c>
      <c r="C50" s="118" t="str">
        <f>'BD Team'!C55</f>
        <v>M940</v>
      </c>
      <c r="D50" s="118" t="str">
        <f>'BD Team'!D55</f>
        <v>Z LOUVERS</v>
      </c>
      <c r="E50" s="118" t="str">
        <f>'BD Team'!F55</f>
        <v>NO</v>
      </c>
      <c r="F50" s="121" t="str">
        <f>'BD Team'!G55</f>
        <v>3F - MD TOILET</v>
      </c>
      <c r="G50" s="118">
        <f>'BD Team'!H55</f>
        <v>573</v>
      </c>
      <c r="H50" s="118">
        <f>'BD Team'!I55</f>
        <v>567</v>
      </c>
      <c r="I50" s="118">
        <f>'BD Team'!J55</f>
        <v>1</v>
      </c>
      <c r="J50" s="103">
        <f t="shared" si="0"/>
        <v>3.4971267240000001</v>
      </c>
      <c r="K50" s="172">
        <f>'BD Team'!K55</f>
        <v>27.880000000000003</v>
      </c>
      <c r="L50" s="171">
        <f t="shared" si="1"/>
        <v>27.880000000000003</v>
      </c>
      <c r="M50" s="170">
        <f>L50*'Changable Values'!$D$4</f>
        <v>2314.0400000000004</v>
      </c>
      <c r="N50" s="170" t="str">
        <f>'BD Team'!E55</f>
        <v>NA</v>
      </c>
      <c r="O50" s="172"/>
      <c r="P50" s="241"/>
      <c r="Q50" s="173"/>
      <c r="R50" s="185"/>
      <c r="S50" s="312"/>
      <c r="T50" s="313">
        <f t="shared" si="2"/>
        <v>7.6</v>
      </c>
      <c r="U50" s="313">
        <f t="shared" si="3"/>
        <v>9.1199999999999992</v>
      </c>
      <c r="V50" s="313">
        <f t="shared" si="4"/>
        <v>0.47499999999999998</v>
      </c>
      <c r="W50" s="313">
        <f t="shared" si="5"/>
        <v>7.6</v>
      </c>
      <c r="X50" s="313">
        <f t="shared" si="6"/>
        <v>15.2</v>
      </c>
      <c r="Y50" s="313">
        <f t="shared" si="7"/>
        <v>4.5599999999999996</v>
      </c>
    </row>
    <row r="51" spans="1:25">
      <c r="A51" s="118">
        <f>'BD Team'!A56</f>
        <v>48</v>
      </c>
      <c r="B51" s="118" t="str">
        <f>'BD Team'!B56</f>
        <v>SW20</v>
      </c>
      <c r="C51" s="118" t="str">
        <f>'BD Team'!C56</f>
        <v>M900</v>
      </c>
      <c r="D51" s="118" t="str">
        <f>'BD Team'!D56</f>
        <v>3 TRACK 2 SHUTTER SLIDING WINDOW</v>
      </c>
      <c r="E51" s="118" t="str">
        <f>'BD Team'!F56</f>
        <v>SS</v>
      </c>
      <c r="F51" s="121" t="str">
        <f>'BD Team'!G56</f>
        <v>3F - MD ROOM</v>
      </c>
      <c r="G51" s="118">
        <f>'BD Team'!H56</f>
        <v>2475</v>
      </c>
      <c r="H51" s="118">
        <f>'BD Team'!I56</f>
        <v>1341</v>
      </c>
      <c r="I51" s="118">
        <f>'BD Team'!J56</f>
        <v>1</v>
      </c>
      <c r="J51" s="103">
        <f t="shared" si="0"/>
        <v>35.725446900000001</v>
      </c>
      <c r="K51" s="172">
        <f>'BD Team'!K56</f>
        <v>107.44</v>
      </c>
      <c r="L51" s="171">
        <f t="shared" si="1"/>
        <v>107.44</v>
      </c>
      <c r="M51" s="170">
        <f>L51*'Changable Values'!$D$4</f>
        <v>8917.52</v>
      </c>
      <c r="N51" s="170" t="str">
        <f>'BD Team'!E56</f>
        <v>20MM</v>
      </c>
      <c r="O51" s="172">
        <v>2538</v>
      </c>
      <c r="P51" s="241"/>
      <c r="Q51" s="173">
        <f t="shared" ref="Q51:Q54" si="13">35*10.764</f>
        <v>376.73999999999995</v>
      </c>
      <c r="R51" s="185"/>
      <c r="S51" s="312"/>
      <c r="T51" s="313">
        <f t="shared" si="2"/>
        <v>25.44</v>
      </c>
      <c r="U51" s="313">
        <f t="shared" si="3"/>
        <v>30.527999999999999</v>
      </c>
      <c r="V51" s="313">
        <f t="shared" si="4"/>
        <v>1.59</v>
      </c>
      <c r="W51" s="313">
        <f t="shared" si="5"/>
        <v>25.44</v>
      </c>
      <c r="X51" s="313">
        <f t="shared" si="6"/>
        <v>50.88</v>
      </c>
      <c r="Y51" s="313">
        <f t="shared" si="7"/>
        <v>15.263999999999999</v>
      </c>
    </row>
    <row r="52" spans="1:25">
      <c r="A52" s="118">
        <f>'BD Team'!A57</f>
        <v>49</v>
      </c>
      <c r="B52" s="118" t="str">
        <f>'BD Team'!B57</f>
        <v>SW21</v>
      </c>
      <c r="C52" s="118" t="str">
        <f>'BD Team'!C57</f>
        <v>M900</v>
      </c>
      <c r="D52" s="118" t="str">
        <f>'BD Team'!D57</f>
        <v>3 TRACK 2 SHUTTER SLIDING WINDOW</v>
      </c>
      <c r="E52" s="118" t="str">
        <f>'BD Team'!F57</f>
        <v>SS</v>
      </c>
      <c r="F52" s="121" t="str">
        <f>'BD Team'!G57</f>
        <v>3F - MD ROOM 2</v>
      </c>
      <c r="G52" s="118">
        <f>'BD Team'!H57</f>
        <v>2447</v>
      </c>
      <c r="H52" s="118">
        <f>'BD Team'!I57</f>
        <v>1332</v>
      </c>
      <c r="I52" s="118">
        <f>'BD Team'!J57</f>
        <v>1</v>
      </c>
      <c r="J52" s="103">
        <f t="shared" si="0"/>
        <v>35.084224655999996</v>
      </c>
      <c r="K52" s="172">
        <f>'BD Team'!K57</f>
        <v>106.66</v>
      </c>
      <c r="L52" s="171">
        <f t="shared" si="1"/>
        <v>106.66</v>
      </c>
      <c r="M52" s="170">
        <f>L52*'Changable Values'!$D$4</f>
        <v>8852.7799999999988</v>
      </c>
      <c r="N52" s="170" t="str">
        <f>'BD Team'!E57</f>
        <v>20MM</v>
      </c>
      <c r="O52" s="172">
        <v>2538</v>
      </c>
      <c r="P52" s="241"/>
      <c r="Q52" s="173">
        <f t="shared" si="13"/>
        <v>376.73999999999995</v>
      </c>
      <c r="R52" s="185"/>
      <c r="S52" s="312"/>
      <c r="T52" s="313">
        <f t="shared" si="2"/>
        <v>25.193333333333332</v>
      </c>
      <c r="U52" s="313">
        <f t="shared" si="3"/>
        <v>30.231999999999999</v>
      </c>
      <c r="V52" s="313">
        <f t="shared" si="4"/>
        <v>1.5745833333333332</v>
      </c>
      <c r="W52" s="313">
        <f t="shared" si="5"/>
        <v>25.193333333333332</v>
      </c>
      <c r="X52" s="313">
        <f t="shared" si="6"/>
        <v>50.386666666666663</v>
      </c>
      <c r="Y52" s="313">
        <f t="shared" si="7"/>
        <v>15.116</v>
      </c>
    </row>
    <row r="53" spans="1:25">
      <c r="A53" s="118">
        <f>'BD Team'!A58</f>
        <v>50</v>
      </c>
      <c r="B53" s="118" t="str">
        <f>'BD Team'!B58</f>
        <v>SW22</v>
      </c>
      <c r="C53" s="118" t="str">
        <f>'BD Team'!C58</f>
        <v>M900</v>
      </c>
      <c r="D53" s="118" t="str">
        <f>'BD Team'!D58</f>
        <v>3 TRACK 2 SHUTTER SLIDING WINDOW</v>
      </c>
      <c r="E53" s="118" t="str">
        <f>'BD Team'!F58</f>
        <v>SS</v>
      </c>
      <c r="F53" s="121" t="str">
        <f>'BD Team'!G58</f>
        <v>3F - MD ROOM 3</v>
      </c>
      <c r="G53" s="118">
        <f>'BD Team'!H58</f>
        <v>1858</v>
      </c>
      <c r="H53" s="118">
        <f>'BD Team'!I58</f>
        <v>1338</v>
      </c>
      <c r="I53" s="118">
        <f>'BD Team'!J58</f>
        <v>1</v>
      </c>
      <c r="J53" s="103">
        <f t="shared" si="0"/>
        <v>26.759347055999999</v>
      </c>
      <c r="K53" s="172">
        <f>'BD Team'!K58</f>
        <v>96.18</v>
      </c>
      <c r="L53" s="171">
        <f t="shared" si="1"/>
        <v>96.18</v>
      </c>
      <c r="M53" s="170">
        <f>L53*'Changable Values'!$D$4</f>
        <v>7982.9400000000005</v>
      </c>
      <c r="N53" s="170" t="str">
        <f>'BD Team'!E58</f>
        <v>20MM</v>
      </c>
      <c r="O53" s="172">
        <v>2538</v>
      </c>
      <c r="P53" s="241"/>
      <c r="Q53" s="173">
        <f t="shared" si="13"/>
        <v>376.73999999999995</v>
      </c>
      <c r="R53" s="185"/>
      <c r="S53" s="312"/>
      <c r="T53" s="313">
        <f t="shared" si="2"/>
        <v>21.306666666666668</v>
      </c>
      <c r="U53" s="313">
        <f t="shared" si="3"/>
        <v>25.568000000000001</v>
      </c>
      <c r="V53" s="313">
        <f t="shared" si="4"/>
        <v>1.3316666666666668</v>
      </c>
      <c r="W53" s="313">
        <f t="shared" si="5"/>
        <v>21.306666666666668</v>
      </c>
      <c r="X53" s="313">
        <f t="shared" si="6"/>
        <v>42.613333333333337</v>
      </c>
      <c r="Y53" s="313">
        <f t="shared" si="7"/>
        <v>12.784000000000001</v>
      </c>
    </row>
    <row r="54" spans="1:25">
      <c r="A54" s="118">
        <f>'BD Team'!A59</f>
        <v>51</v>
      </c>
      <c r="B54" s="118" t="str">
        <f>'BD Team'!B59</f>
        <v>SW23</v>
      </c>
      <c r="C54" s="118" t="str">
        <f>'BD Team'!C59</f>
        <v>M900</v>
      </c>
      <c r="D54" s="118" t="str">
        <f>'BD Team'!D59</f>
        <v>3 TRACK 2 SHUTTER SLIDING WINDOW</v>
      </c>
      <c r="E54" s="118" t="str">
        <f>'BD Team'!F59</f>
        <v>SS</v>
      </c>
      <c r="F54" s="121" t="str">
        <f>'BD Team'!G59</f>
        <v>3F - SMALL ROOM</v>
      </c>
      <c r="G54" s="118">
        <f>'BD Team'!H59</f>
        <v>911</v>
      </c>
      <c r="H54" s="118">
        <f>'BD Team'!I59</f>
        <v>1295</v>
      </c>
      <c r="I54" s="118">
        <f>'BD Team'!J59</f>
        <v>1</v>
      </c>
      <c r="J54" s="103">
        <f t="shared" ref="J54:J103" si="14">G54*H54*I54*10.764/1000000</f>
        <v>12.69877518</v>
      </c>
      <c r="K54" s="172">
        <f>'BD Team'!K59</f>
        <v>77.709999999999994</v>
      </c>
      <c r="L54" s="171">
        <f>K54*I54</f>
        <v>77.709999999999994</v>
      </c>
      <c r="M54" s="170">
        <f>L54*'Changable Values'!$D$4</f>
        <v>6449.9299999999994</v>
      </c>
      <c r="N54" s="170" t="str">
        <f>'BD Team'!E59</f>
        <v>20MM</v>
      </c>
      <c r="O54" s="172">
        <v>2538</v>
      </c>
      <c r="P54" s="241"/>
      <c r="Q54" s="173">
        <f t="shared" si="13"/>
        <v>376.73999999999995</v>
      </c>
      <c r="R54" s="185"/>
      <c r="S54" s="312"/>
      <c r="T54" s="313">
        <f t="shared" si="2"/>
        <v>14.706666666666667</v>
      </c>
      <c r="U54" s="313">
        <f t="shared" si="3"/>
        <v>17.648</v>
      </c>
      <c r="V54" s="313">
        <f t="shared" si="4"/>
        <v>0.91916666666666669</v>
      </c>
      <c r="W54" s="313">
        <f t="shared" si="5"/>
        <v>14.706666666666667</v>
      </c>
      <c r="X54" s="313">
        <f t="shared" si="6"/>
        <v>29.413333333333334</v>
      </c>
      <c r="Y54" s="313">
        <f t="shared" si="7"/>
        <v>8.8239999999999998</v>
      </c>
    </row>
    <row r="55" spans="1:25">
      <c r="A55" s="118">
        <f>'BD Team'!A60</f>
        <v>52</v>
      </c>
      <c r="B55" s="118" t="str">
        <f>'BD Team'!B60</f>
        <v>V9</v>
      </c>
      <c r="C55" s="118" t="str">
        <f>'BD Team'!C60</f>
        <v>M940</v>
      </c>
      <c r="D55" s="118" t="str">
        <f>'BD Team'!D60</f>
        <v>Z LOUVERS</v>
      </c>
      <c r="E55" s="118" t="str">
        <f>'BD Team'!F60</f>
        <v>NO</v>
      </c>
      <c r="F55" s="121" t="str">
        <f>'BD Team'!G60</f>
        <v>3F - TOILET 1</v>
      </c>
      <c r="G55" s="118">
        <f>'BD Team'!H60</f>
        <v>566</v>
      </c>
      <c r="H55" s="118">
        <f>'BD Team'!I60</f>
        <v>566</v>
      </c>
      <c r="I55" s="118">
        <f>'BD Team'!J60</f>
        <v>1</v>
      </c>
      <c r="J55" s="103">
        <f t="shared" si="14"/>
        <v>3.4483119839999996</v>
      </c>
      <c r="K55" s="172">
        <f>'BD Team'!K60</f>
        <v>27.79</v>
      </c>
      <c r="L55" s="171">
        <f t="shared" ref="L55:L103" si="15">K55*I55</f>
        <v>27.79</v>
      </c>
      <c r="M55" s="170">
        <f>L55*'Changable Values'!$D$4</f>
        <v>2306.5699999999997</v>
      </c>
      <c r="N55" s="170" t="str">
        <f>'BD Team'!E60</f>
        <v>NA</v>
      </c>
      <c r="O55" s="172"/>
      <c r="P55" s="241"/>
      <c r="Q55" s="173"/>
      <c r="R55" s="185"/>
      <c r="S55" s="312"/>
      <c r="T55" s="313">
        <f t="shared" si="2"/>
        <v>7.5466666666666669</v>
      </c>
      <c r="U55" s="313">
        <f t="shared" si="3"/>
        <v>9.0559999999999992</v>
      </c>
      <c r="V55" s="313">
        <f t="shared" si="4"/>
        <v>0.47166666666666668</v>
      </c>
      <c r="W55" s="313">
        <f t="shared" si="5"/>
        <v>7.5466666666666669</v>
      </c>
      <c r="X55" s="313">
        <f t="shared" si="6"/>
        <v>15.093333333333334</v>
      </c>
      <c r="Y55" s="313">
        <f t="shared" si="7"/>
        <v>4.5279999999999996</v>
      </c>
    </row>
    <row r="56" spans="1:25">
      <c r="A56" s="118">
        <f>'BD Team'!A61</f>
        <v>53</v>
      </c>
      <c r="B56" s="118" t="str">
        <f>'BD Team'!B61</f>
        <v>V10</v>
      </c>
      <c r="C56" s="118" t="str">
        <f>'BD Team'!C61</f>
        <v>M940</v>
      </c>
      <c r="D56" s="118" t="str">
        <f>'BD Team'!D61</f>
        <v>Z LOUVERS</v>
      </c>
      <c r="E56" s="118" t="str">
        <f>'BD Team'!F61</f>
        <v>NO</v>
      </c>
      <c r="F56" s="121" t="str">
        <f>'BD Team'!G61</f>
        <v>3F - TOILET 2</v>
      </c>
      <c r="G56" s="118">
        <f>'BD Team'!H61</f>
        <v>571</v>
      </c>
      <c r="H56" s="118">
        <f>'BD Team'!I61</f>
        <v>565</v>
      </c>
      <c r="I56" s="118">
        <f>'BD Team'!J61</f>
        <v>1</v>
      </c>
      <c r="J56" s="103">
        <f t="shared" si="14"/>
        <v>3.4726278599999998</v>
      </c>
      <c r="K56" s="172">
        <f>'BD Team'!K61</f>
        <v>27.83</v>
      </c>
      <c r="L56" s="171">
        <f t="shared" si="15"/>
        <v>27.83</v>
      </c>
      <c r="M56" s="170">
        <f>L56*'Changable Values'!$D$4</f>
        <v>2309.89</v>
      </c>
      <c r="N56" s="170" t="str">
        <f>'BD Team'!E61</f>
        <v>NA</v>
      </c>
      <c r="O56" s="172"/>
      <c r="P56" s="241"/>
      <c r="Q56" s="173"/>
      <c r="R56" s="185"/>
      <c r="S56" s="312"/>
      <c r="T56" s="313">
        <f t="shared" si="2"/>
        <v>7.5733333333333333</v>
      </c>
      <c r="U56" s="313">
        <f t="shared" si="3"/>
        <v>9.0879999999999992</v>
      </c>
      <c r="V56" s="313">
        <f t="shared" si="4"/>
        <v>0.47333333333333333</v>
      </c>
      <c r="W56" s="313">
        <f t="shared" si="5"/>
        <v>7.5733333333333333</v>
      </c>
      <c r="X56" s="313">
        <f t="shared" si="6"/>
        <v>15.146666666666667</v>
      </c>
      <c r="Y56" s="313">
        <f t="shared" si="7"/>
        <v>4.5439999999999996</v>
      </c>
    </row>
    <row r="57" spans="1:25">
      <c r="A57" s="118">
        <f>'BD Team'!A62</f>
        <v>54</v>
      </c>
      <c r="B57" s="118" t="str">
        <f>'BD Team'!B62</f>
        <v>FG18</v>
      </c>
      <c r="C57" s="118" t="str">
        <f>'BD Team'!C62</f>
        <v>M940</v>
      </c>
      <c r="D57" s="118" t="str">
        <f>'BD Team'!D62</f>
        <v>FIXED GLASS</v>
      </c>
      <c r="E57" s="118" t="str">
        <f>'BD Team'!F62</f>
        <v>NO</v>
      </c>
      <c r="F57" s="121" t="str">
        <f>'BD Team'!G62</f>
        <v>3F - SERVANT ROOM</v>
      </c>
      <c r="G57" s="118">
        <f>'BD Team'!H62</f>
        <v>865</v>
      </c>
      <c r="H57" s="118">
        <f>'BD Team'!I62</f>
        <v>1269</v>
      </c>
      <c r="I57" s="118">
        <f>'BD Team'!J62</f>
        <v>1</v>
      </c>
      <c r="J57" s="103">
        <f t="shared" si="14"/>
        <v>11.81548134</v>
      </c>
      <c r="K57" s="172">
        <f>'BD Team'!K62</f>
        <v>23.31</v>
      </c>
      <c r="L57" s="171">
        <f t="shared" si="15"/>
        <v>23.31</v>
      </c>
      <c r="M57" s="170">
        <f>L57*'Changable Values'!$D$4</f>
        <v>1934.7299999999998</v>
      </c>
      <c r="N57" s="170" t="str">
        <f>'BD Team'!E62</f>
        <v>20MM</v>
      </c>
      <c r="O57" s="172">
        <v>2538</v>
      </c>
      <c r="P57" s="241"/>
      <c r="Q57" s="173"/>
      <c r="R57" s="185"/>
      <c r="S57" s="312"/>
      <c r="T57" s="313">
        <f t="shared" si="2"/>
        <v>14.226666666666667</v>
      </c>
      <c r="U57" s="313">
        <f t="shared" si="3"/>
        <v>17.071999999999999</v>
      </c>
      <c r="V57" s="313">
        <f t="shared" si="4"/>
        <v>0.88916666666666666</v>
      </c>
      <c r="W57" s="313">
        <f t="shared" si="5"/>
        <v>14.226666666666667</v>
      </c>
      <c r="X57" s="313">
        <f t="shared" si="6"/>
        <v>28.453333333333333</v>
      </c>
      <c r="Y57" s="313">
        <f t="shared" si="7"/>
        <v>8.5359999999999996</v>
      </c>
    </row>
    <row r="58" spans="1:25">
      <c r="A58" s="118">
        <f>'BD Team'!A63</f>
        <v>55</v>
      </c>
      <c r="B58" s="118" t="str">
        <f>'BD Team'!B63</f>
        <v>SW24</v>
      </c>
      <c r="C58" s="118" t="str">
        <f>'BD Team'!C63</f>
        <v>M900</v>
      </c>
      <c r="D58" s="118" t="str">
        <f>'BD Team'!D63</f>
        <v>3 TRACK 2 SHUTTER SLIDING WINDOW</v>
      </c>
      <c r="E58" s="118" t="str">
        <f>'BD Team'!F63</f>
        <v>SS</v>
      </c>
      <c r="F58" s="121" t="str">
        <f>'BD Team'!G63</f>
        <v>3F</v>
      </c>
      <c r="G58" s="118">
        <f>'BD Team'!H63</f>
        <v>1842</v>
      </c>
      <c r="H58" s="118">
        <f>'BD Team'!I63</f>
        <v>1253</v>
      </c>
      <c r="I58" s="118">
        <f>'BD Team'!J63</f>
        <v>1</v>
      </c>
      <c r="J58" s="103">
        <f t="shared" si="14"/>
        <v>24.843591864</v>
      </c>
      <c r="K58" s="172">
        <f>'BD Team'!K63</f>
        <v>93.28</v>
      </c>
      <c r="L58" s="171">
        <f t="shared" si="15"/>
        <v>93.28</v>
      </c>
      <c r="M58" s="170">
        <f>L58*'Changable Values'!$D$4</f>
        <v>7742.24</v>
      </c>
      <c r="N58" s="170" t="str">
        <f>'BD Team'!E63</f>
        <v>20MM</v>
      </c>
      <c r="O58" s="172">
        <v>2538</v>
      </c>
      <c r="P58" s="241"/>
      <c r="Q58" s="173">
        <f t="shared" ref="Q58:Q60" si="16">35*10.764</f>
        <v>376.73999999999995</v>
      </c>
      <c r="R58" s="185"/>
      <c r="S58" s="312"/>
      <c r="T58" s="313">
        <f t="shared" si="2"/>
        <v>20.633333333333333</v>
      </c>
      <c r="U58" s="313">
        <f t="shared" si="3"/>
        <v>24.76</v>
      </c>
      <c r="V58" s="313">
        <f t="shared" si="4"/>
        <v>1.2895833333333333</v>
      </c>
      <c r="W58" s="313">
        <f t="shared" si="5"/>
        <v>20.633333333333333</v>
      </c>
      <c r="X58" s="313">
        <f t="shared" si="6"/>
        <v>41.266666666666666</v>
      </c>
      <c r="Y58" s="313">
        <f t="shared" si="7"/>
        <v>12.38</v>
      </c>
    </row>
    <row r="59" spans="1:25">
      <c r="A59" s="118">
        <f>'BD Team'!A64</f>
        <v>56</v>
      </c>
      <c r="B59" s="118" t="str">
        <f>'BD Team'!B64</f>
        <v>SW25</v>
      </c>
      <c r="C59" s="118" t="str">
        <f>'BD Team'!C64</f>
        <v>M900</v>
      </c>
      <c r="D59" s="118" t="str">
        <f>'BD Team'!D64</f>
        <v>3 TRACK 2 SHUTTER SLIDING WINDOW</v>
      </c>
      <c r="E59" s="118" t="str">
        <f>'BD Team'!F64</f>
        <v>SS</v>
      </c>
      <c r="F59" s="121" t="str">
        <f>'BD Team'!G64</f>
        <v>4F - RECEPTION</v>
      </c>
      <c r="G59" s="118">
        <f>'BD Team'!H64</f>
        <v>3730</v>
      </c>
      <c r="H59" s="118">
        <f>'BD Team'!I64</f>
        <v>1295</v>
      </c>
      <c r="I59" s="118">
        <f>'BD Team'!J64</f>
        <v>1</v>
      </c>
      <c r="J59" s="103">
        <f t="shared" si="14"/>
        <v>51.993887399999998</v>
      </c>
      <c r="K59" s="172">
        <f>'BD Team'!K64</f>
        <v>128.76</v>
      </c>
      <c r="L59" s="171">
        <f t="shared" si="15"/>
        <v>128.76</v>
      </c>
      <c r="M59" s="170">
        <f>L59*'Changable Values'!$D$4</f>
        <v>10687.08</v>
      </c>
      <c r="N59" s="170" t="str">
        <f>'BD Team'!E64</f>
        <v>20MM</v>
      </c>
      <c r="O59" s="172">
        <v>2538</v>
      </c>
      <c r="P59" s="241"/>
      <c r="Q59" s="173">
        <f t="shared" si="16"/>
        <v>376.73999999999995</v>
      </c>
      <c r="R59" s="185"/>
      <c r="S59" s="312"/>
      <c r="T59" s="313">
        <f t="shared" si="2"/>
        <v>33.5</v>
      </c>
      <c r="U59" s="313">
        <f t="shared" si="3"/>
        <v>40.200000000000003</v>
      </c>
      <c r="V59" s="313">
        <f t="shared" si="4"/>
        <v>2.09375</v>
      </c>
      <c r="W59" s="313">
        <f t="shared" si="5"/>
        <v>33.5</v>
      </c>
      <c r="X59" s="313">
        <f t="shared" si="6"/>
        <v>67</v>
      </c>
      <c r="Y59" s="313">
        <f t="shared" si="7"/>
        <v>20.100000000000001</v>
      </c>
    </row>
    <row r="60" spans="1:25">
      <c r="A60" s="118">
        <f>'BD Team'!A65</f>
        <v>57</v>
      </c>
      <c r="B60" s="118" t="str">
        <f>'BD Team'!B65</f>
        <v>SW26</v>
      </c>
      <c r="C60" s="118" t="str">
        <f>'BD Team'!C65</f>
        <v>M900</v>
      </c>
      <c r="D60" s="118" t="str">
        <f>'BD Team'!D65</f>
        <v>3 TRACK 2 SHUTTER SLIDING WINDOW</v>
      </c>
      <c r="E60" s="118" t="str">
        <f>'BD Team'!F65</f>
        <v>SS</v>
      </c>
      <c r="F60" s="121" t="str">
        <f>'BD Team'!G65</f>
        <v>4F - CONFERENCE</v>
      </c>
      <c r="G60" s="118">
        <f>'BD Team'!H65</f>
        <v>2441</v>
      </c>
      <c r="H60" s="118">
        <f>'BD Team'!I65</f>
        <v>1301</v>
      </c>
      <c r="I60" s="118">
        <f>'BD Team'!J65</f>
        <v>1</v>
      </c>
      <c r="J60" s="103">
        <f t="shared" si="14"/>
        <v>34.183676123999994</v>
      </c>
      <c r="K60" s="172">
        <f>'BD Team'!K65</f>
        <v>105.61</v>
      </c>
      <c r="L60" s="171">
        <f t="shared" si="15"/>
        <v>105.61</v>
      </c>
      <c r="M60" s="170">
        <f>L60*'Changable Values'!$D$4</f>
        <v>8765.6299999999992</v>
      </c>
      <c r="N60" s="170" t="str">
        <f>'BD Team'!E65</f>
        <v>20MM</v>
      </c>
      <c r="O60" s="172">
        <v>2538</v>
      </c>
      <c r="P60" s="241"/>
      <c r="Q60" s="173">
        <f t="shared" si="16"/>
        <v>376.73999999999995</v>
      </c>
      <c r="R60" s="185"/>
      <c r="S60" s="312"/>
      <c r="T60" s="313">
        <f t="shared" si="2"/>
        <v>24.946666666666665</v>
      </c>
      <c r="U60" s="313">
        <f t="shared" si="3"/>
        <v>29.936</v>
      </c>
      <c r="V60" s="313">
        <f t="shared" si="4"/>
        <v>1.5591666666666666</v>
      </c>
      <c r="W60" s="313">
        <f t="shared" si="5"/>
        <v>24.946666666666665</v>
      </c>
      <c r="X60" s="313">
        <f t="shared" si="6"/>
        <v>49.893333333333331</v>
      </c>
      <c r="Y60" s="313">
        <f t="shared" si="7"/>
        <v>14.968</v>
      </c>
    </row>
    <row r="61" spans="1:25">
      <c r="A61" s="118">
        <f>'BD Team'!A66</f>
        <v>58</v>
      </c>
      <c r="B61" s="118" t="str">
        <f>'BD Team'!B66</f>
        <v>FG19</v>
      </c>
      <c r="C61" s="118" t="str">
        <f>'BD Team'!C66</f>
        <v>M940</v>
      </c>
      <c r="D61" s="118" t="str">
        <f>'BD Team'!D66</f>
        <v>FIXED GLASS</v>
      </c>
      <c r="E61" s="118" t="str">
        <f>'BD Team'!F66</f>
        <v>NO</v>
      </c>
      <c r="F61" s="121" t="str">
        <f>'BD Team'!G66</f>
        <v>4F - CONFERENCE</v>
      </c>
      <c r="G61" s="118">
        <f>'BD Team'!H66</f>
        <v>1524</v>
      </c>
      <c r="H61" s="118">
        <f>'BD Team'!I66</f>
        <v>1294</v>
      </c>
      <c r="I61" s="118">
        <f>'BD Team'!J66</f>
        <v>1</v>
      </c>
      <c r="J61" s="103">
        <f t="shared" si="14"/>
        <v>21.227210783999997</v>
      </c>
      <c r="K61" s="172">
        <f>'BD Team'!K66</f>
        <v>30.54</v>
      </c>
      <c r="L61" s="171">
        <f t="shared" si="15"/>
        <v>30.54</v>
      </c>
      <c r="M61" s="170">
        <f>L61*'Changable Values'!$D$4</f>
        <v>2534.8199999999997</v>
      </c>
      <c r="N61" s="170" t="str">
        <f>'BD Team'!E66</f>
        <v>20MM</v>
      </c>
      <c r="O61" s="172">
        <v>2538</v>
      </c>
      <c r="P61" s="241"/>
      <c r="Q61" s="173"/>
      <c r="R61" s="185"/>
      <c r="S61" s="312"/>
      <c r="T61" s="313">
        <f t="shared" si="2"/>
        <v>18.786666666666665</v>
      </c>
      <c r="U61" s="313">
        <f t="shared" si="3"/>
        <v>22.544</v>
      </c>
      <c r="V61" s="313">
        <f t="shared" si="4"/>
        <v>1.1741666666666666</v>
      </c>
      <c r="W61" s="313">
        <f t="shared" si="5"/>
        <v>18.786666666666665</v>
      </c>
      <c r="X61" s="313">
        <f t="shared" si="6"/>
        <v>37.573333333333331</v>
      </c>
      <c r="Y61" s="313">
        <f t="shared" si="7"/>
        <v>11.272</v>
      </c>
    </row>
    <row r="62" spans="1:25">
      <c r="A62" s="118">
        <f>'BD Team'!A67</f>
        <v>59</v>
      </c>
      <c r="B62" s="118" t="str">
        <f>'BD Team'!B67</f>
        <v>FG20</v>
      </c>
      <c r="C62" s="118" t="str">
        <f>'BD Team'!C67</f>
        <v>M940</v>
      </c>
      <c r="D62" s="118" t="str">
        <f>'BD Team'!D67</f>
        <v>FIXED GLASS</v>
      </c>
      <c r="E62" s="118" t="str">
        <f>'BD Team'!F67</f>
        <v>NO</v>
      </c>
      <c r="F62" s="121" t="str">
        <f>'BD Team'!G67</f>
        <v>4F - HALL</v>
      </c>
      <c r="G62" s="118">
        <f>'BD Team'!H67</f>
        <v>1564</v>
      </c>
      <c r="H62" s="118">
        <f>'BD Team'!I67</f>
        <v>1337</v>
      </c>
      <c r="I62" s="118">
        <f>'BD Team'!J67</f>
        <v>1</v>
      </c>
      <c r="J62" s="103">
        <f t="shared" si="14"/>
        <v>22.508255951999999</v>
      </c>
      <c r="K62" s="172">
        <f>'BD Team'!K67</f>
        <v>31.41</v>
      </c>
      <c r="L62" s="171">
        <f t="shared" si="15"/>
        <v>31.41</v>
      </c>
      <c r="M62" s="170">
        <f>L62*'Changable Values'!$D$4</f>
        <v>2607.0300000000002</v>
      </c>
      <c r="N62" s="170" t="str">
        <f>'BD Team'!E67</f>
        <v>20MM</v>
      </c>
      <c r="O62" s="172">
        <v>2538</v>
      </c>
      <c r="P62" s="241"/>
      <c r="Q62" s="173"/>
      <c r="R62" s="185"/>
      <c r="S62" s="312"/>
      <c r="T62" s="313">
        <f t="shared" si="2"/>
        <v>19.34</v>
      </c>
      <c r="U62" s="313">
        <f t="shared" si="3"/>
        <v>23.207999999999998</v>
      </c>
      <c r="V62" s="313">
        <f t="shared" si="4"/>
        <v>1.20875</v>
      </c>
      <c r="W62" s="313">
        <f t="shared" si="5"/>
        <v>19.34</v>
      </c>
      <c r="X62" s="313">
        <f t="shared" si="6"/>
        <v>38.68</v>
      </c>
      <c r="Y62" s="313">
        <f t="shared" si="7"/>
        <v>11.603999999999999</v>
      </c>
    </row>
    <row r="63" spans="1:25">
      <c r="A63" s="118">
        <f>'BD Team'!A68</f>
        <v>60</v>
      </c>
      <c r="B63" s="118" t="str">
        <f>'BD Team'!B68</f>
        <v>FG21</v>
      </c>
      <c r="C63" s="118" t="str">
        <f>'BD Team'!C68</f>
        <v>M940</v>
      </c>
      <c r="D63" s="118" t="str">
        <f>'BD Team'!D68</f>
        <v>FIXED GLASS</v>
      </c>
      <c r="E63" s="118" t="str">
        <f>'BD Team'!F68</f>
        <v>NO</v>
      </c>
      <c r="F63" s="121" t="str">
        <f>'BD Team'!G68</f>
        <v>4F - HALL</v>
      </c>
      <c r="G63" s="118">
        <f>'BD Team'!H68</f>
        <v>1564</v>
      </c>
      <c r="H63" s="118">
        <f>'BD Team'!I68</f>
        <v>1336</v>
      </c>
      <c r="I63" s="118">
        <f>'BD Team'!J68</f>
        <v>1</v>
      </c>
      <c r="J63" s="103">
        <f t="shared" si="14"/>
        <v>22.491421055999997</v>
      </c>
      <c r="K63" s="172">
        <f>'BD Team'!K68</f>
        <v>31.4</v>
      </c>
      <c r="L63" s="171">
        <f t="shared" si="15"/>
        <v>31.4</v>
      </c>
      <c r="M63" s="170">
        <f>L63*'Changable Values'!$D$4</f>
        <v>2606.1999999999998</v>
      </c>
      <c r="N63" s="170" t="str">
        <f>'BD Team'!E68</f>
        <v>20MM</v>
      </c>
      <c r="O63" s="172">
        <v>2538</v>
      </c>
      <c r="P63" s="241"/>
      <c r="Q63" s="173"/>
      <c r="R63" s="185"/>
      <c r="S63" s="312"/>
      <c r="T63" s="313">
        <f t="shared" si="2"/>
        <v>19.333333333333332</v>
      </c>
      <c r="U63" s="313">
        <f t="shared" si="3"/>
        <v>23.2</v>
      </c>
      <c r="V63" s="313">
        <f t="shared" si="4"/>
        <v>1.2083333333333333</v>
      </c>
      <c r="W63" s="313">
        <f t="shared" si="5"/>
        <v>19.333333333333332</v>
      </c>
      <c r="X63" s="313">
        <f t="shared" si="6"/>
        <v>38.666666666666664</v>
      </c>
      <c r="Y63" s="313">
        <f t="shared" si="7"/>
        <v>11.6</v>
      </c>
    </row>
    <row r="64" spans="1:25">
      <c r="A64" s="118">
        <f>'BD Team'!A69</f>
        <v>61</v>
      </c>
      <c r="B64" s="118" t="str">
        <f>'BD Team'!B69</f>
        <v>FG22</v>
      </c>
      <c r="C64" s="118" t="str">
        <f>'BD Team'!C69</f>
        <v>M940</v>
      </c>
      <c r="D64" s="118" t="str">
        <f>'BD Team'!D69</f>
        <v>FIXED GLASS</v>
      </c>
      <c r="E64" s="118" t="str">
        <f>'BD Team'!F69</f>
        <v>NO</v>
      </c>
      <c r="F64" s="121" t="str">
        <f>'BD Team'!G69</f>
        <v>4F - HALL</v>
      </c>
      <c r="G64" s="118">
        <f>'BD Team'!H69</f>
        <v>1563</v>
      </c>
      <c r="H64" s="118">
        <f>'BD Team'!I69</f>
        <v>1340</v>
      </c>
      <c r="I64" s="118">
        <f>'BD Team'!J69</f>
        <v>1</v>
      </c>
      <c r="J64" s="103">
        <f t="shared" si="14"/>
        <v>22.544336879999999</v>
      </c>
      <c r="K64" s="172">
        <f>'BD Team'!K69</f>
        <v>31.43</v>
      </c>
      <c r="L64" s="171">
        <f t="shared" si="15"/>
        <v>31.43</v>
      </c>
      <c r="M64" s="170">
        <f>L64*'Changable Values'!$D$4</f>
        <v>2608.69</v>
      </c>
      <c r="N64" s="170" t="str">
        <f>'BD Team'!E69</f>
        <v>20MM</v>
      </c>
      <c r="O64" s="172">
        <v>2538</v>
      </c>
      <c r="P64" s="241"/>
      <c r="Q64" s="173"/>
      <c r="R64" s="185"/>
      <c r="S64" s="312"/>
      <c r="T64" s="313">
        <f t="shared" si="2"/>
        <v>19.353333333333332</v>
      </c>
      <c r="U64" s="313">
        <f t="shared" si="3"/>
        <v>23.224</v>
      </c>
      <c r="V64" s="313">
        <f t="shared" si="4"/>
        <v>1.2095833333333332</v>
      </c>
      <c r="W64" s="313">
        <f t="shared" si="5"/>
        <v>19.353333333333332</v>
      </c>
      <c r="X64" s="313">
        <f t="shared" si="6"/>
        <v>38.706666666666663</v>
      </c>
      <c r="Y64" s="313">
        <f t="shared" si="7"/>
        <v>11.612</v>
      </c>
    </row>
    <row r="65" spans="1:25">
      <c r="A65" s="118">
        <f>'BD Team'!A70</f>
        <v>62</v>
      </c>
      <c r="B65" s="118" t="str">
        <f>'BD Team'!B70</f>
        <v>FG23</v>
      </c>
      <c r="C65" s="118" t="str">
        <f>'BD Team'!C70</f>
        <v>M940</v>
      </c>
      <c r="D65" s="118" t="str">
        <f>'BD Team'!D70</f>
        <v>FIXED GLASS</v>
      </c>
      <c r="E65" s="118" t="str">
        <f>'BD Team'!F70</f>
        <v>NO</v>
      </c>
      <c r="F65" s="121" t="str">
        <f>'BD Team'!G70</f>
        <v>4F - KITCHEN</v>
      </c>
      <c r="G65" s="118">
        <f>'BD Team'!H70</f>
        <v>1562</v>
      </c>
      <c r="H65" s="118">
        <f>'BD Team'!I70</f>
        <v>1336</v>
      </c>
      <c r="I65" s="118">
        <f>'BD Team'!J70</f>
        <v>1</v>
      </c>
      <c r="J65" s="103">
        <f t="shared" si="14"/>
        <v>22.462659647999999</v>
      </c>
      <c r="K65" s="172">
        <f>'BD Team'!K70</f>
        <v>31.38</v>
      </c>
      <c r="L65" s="171">
        <f t="shared" si="15"/>
        <v>31.38</v>
      </c>
      <c r="M65" s="170">
        <f>L65*'Changable Values'!$D$4</f>
        <v>2604.54</v>
      </c>
      <c r="N65" s="170" t="str">
        <f>'BD Team'!E70</f>
        <v>20MM</v>
      </c>
      <c r="O65" s="172">
        <v>2538</v>
      </c>
      <c r="P65" s="241"/>
      <c r="Q65" s="173"/>
      <c r="R65" s="185"/>
      <c r="S65" s="312"/>
      <c r="T65" s="313">
        <f t="shared" si="2"/>
        <v>19.32</v>
      </c>
      <c r="U65" s="313">
        <f t="shared" si="3"/>
        <v>23.184000000000001</v>
      </c>
      <c r="V65" s="313">
        <f t="shared" si="4"/>
        <v>1.2075</v>
      </c>
      <c r="W65" s="313">
        <f t="shared" si="5"/>
        <v>19.32</v>
      </c>
      <c r="X65" s="313">
        <f t="shared" si="6"/>
        <v>38.64</v>
      </c>
      <c r="Y65" s="313">
        <f t="shared" si="7"/>
        <v>11.592000000000001</v>
      </c>
    </row>
    <row r="66" spans="1:25">
      <c r="A66" s="118">
        <f>'BD Team'!A71</f>
        <v>63</v>
      </c>
      <c r="B66" s="118" t="str">
        <f>'BD Team'!B71</f>
        <v>SW27</v>
      </c>
      <c r="C66" s="118" t="str">
        <f>'BD Team'!C71</f>
        <v>M900</v>
      </c>
      <c r="D66" s="118" t="str">
        <f>'BD Team'!D71</f>
        <v>3 TRACK 2 SHUTTER SLIDING WINDOW</v>
      </c>
      <c r="E66" s="118" t="str">
        <f>'BD Team'!F71</f>
        <v>SS</v>
      </c>
      <c r="F66" s="121" t="str">
        <f>'BD Team'!G71</f>
        <v>4F - KITCHEN</v>
      </c>
      <c r="G66" s="118">
        <f>'BD Team'!H71</f>
        <v>2461</v>
      </c>
      <c r="H66" s="118">
        <f>'BD Team'!I71</f>
        <v>1326</v>
      </c>
      <c r="I66" s="118">
        <f>'BD Team'!J71</f>
        <v>1</v>
      </c>
      <c r="J66" s="103">
        <f t="shared" si="14"/>
        <v>35.126010504</v>
      </c>
      <c r="K66" s="172">
        <f>'BD Team'!K71</f>
        <v>106.72999999999999</v>
      </c>
      <c r="L66" s="171">
        <f t="shared" si="15"/>
        <v>106.72999999999999</v>
      </c>
      <c r="M66" s="170">
        <f>L66*'Changable Values'!$D$4</f>
        <v>8858.5899999999983</v>
      </c>
      <c r="N66" s="170" t="str">
        <f>'BD Team'!E71</f>
        <v>20MM</v>
      </c>
      <c r="O66" s="172">
        <v>2538</v>
      </c>
      <c r="P66" s="241"/>
      <c r="Q66" s="173">
        <f>35*10.764</f>
        <v>376.73999999999995</v>
      </c>
      <c r="R66" s="185"/>
      <c r="S66" s="312"/>
      <c r="T66" s="313">
        <f t="shared" si="2"/>
        <v>25.246666666666666</v>
      </c>
      <c r="U66" s="313">
        <f t="shared" si="3"/>
        <v>30.295999999999999</v>
      </c>
      <c r="V66" s="313">
        <f t="shared" si="4"/>
        <v>1.5779166666666666</v>
      </c>
      <c r="W66" s="313">
        <f t="shared" si="5"/>
        <v>25.246666666666666</v>
      </c>
      <c r="X66" s="313">
        <f t="shared" si="6"/>
        <v>50.493333333333332</v>
      </c>
      <c r="Y66" s="313">
        <f t="shared" si="7"/>
        <v>15.148</v>
      </c>
    </row>
    <row r="67" spans="1:25">
      <c r="A67" s="118">
        <f>'BD Team'!A72</f>
        <v>64</v>
      </c>
      <c r="B67" s="118" t="str">
        <f>'BD Team'!B72</f>
        <v>V11</v>
      </c>
      <c r="C67" s="118" t="str">
        <f>'BD Team'!C72</f>
        <v>M940</v>
      </c>
      <c r="D67" s="118" t="str">
        <f>'BD Team'!D72</f>
        <v>Z LOUVERS</v>
      </c>
      <c r="E67" s="118" t="str">
        <f>'BD Team'!F72</f>
        <v>NO</v>
      </c>
      <c r="F67" s="121" t="str">
        <f>'BD Team'!G72</f>
        <v>4F - MD TOILET</v>
      </c>
      <c r="G67" s="118">
        <f>'BD Team'!H72</f>
        <v>568</v>
      </c>
      <c r="H67" s="118">
        <f>'BD Team'!I72</f>
        <v>576</v>
      </c>
      <c r="I67" s="118">
        <f>'BD Team'!J72</f>
        <v>1</v>
      </c>
      <c r="J67" s="103">
        <f t="shared" si="14"/>
        <v>3.5216363519999998</v>
      </c>
      <c r="K67" s="172">
        <f>'BD Team'!K72</f>
        <v>27.92</v>
      </c>
      <c r="L67" s="171">
        <f t="shared" si="15"/>
        <v>27.92</v>
      </c>
      <c r="M67" s="170">
        <f>L67*'Changable Values'!$D$4</f>
        <v>2317.36</v>
      </c>
      <c r="N67" s="170" t="str">
        <f>'BD Team'!E72</f>
        <v>NA</v>
      </c>
      <c r="O67" s="172"/>
      <c r="P67" s="241"/>
      <c r="Q67" s="173"/>
      <c r="R67" s="185"/>
      <c r="S67" s="312"/>
      <c r="T67" s="313">
        <f t="shared" si="2"/>
        <v>7.6266666666666669</v>
      </c>
      <c r="U67" s="313">
        <f t="shared" si="3"/>
        <v>9.1519999999999992</v>
      </c>
      <c r="V67" s="313">
        <f t="shared" si="4"/>
        <v>0.47666666666666668</v>
      </c>
      <c r="W67" s="313">
        <f t="shared" si="5"/>
        <v>7.6266666666666669</v>
      </c>
      <c r="X67" s="313">
        <f t="shared" si="6"/>
        <v>15.253333333333334</v>
      </c>
      <c r="Y67" s="313">
        <f t="shared" si="7"/>
        <v>4.5759999999999996</v>
      </c>
    </row>
    <row r="68" spans="1:25">
      <c r="A68" s="118">
        <f>'BD Team'!A73</f>
        <v>65</v>
      </c>
      <c r="B68" s="118" t="str">
        <f>'BD Team'!B73</f>
        <v>SW28</v>
      </c>
      <c r="C68" s="118" t="str">
        <f>'BD Team'!C73</f>
        <v>M900</v>
      </c>
      <c r="D68" s="118" t="str">
        <f>'BD Team'!D73</f>
        <v>3 TRACK 2 SHUTTER SLIDING WINDOW</v>
      </c>
      <c r="E68" s="118" t="str">
        <f>'BD Team'!F73</f>
        <v>SS</v>
      </c>
      <c r="F68" s="121" t="str">
        <f>'BD Team'!G73</f>
        <v>4F - MD ROOM</v>
      </c>
      <c r="G68" s="118">
        <f>'BD Team'!H73</f>
        <v>2483</v>
      </c>
      <c r="H68" s="118">
        <f>'BD Team'!I73</f>
        <v>1335</v>
      </c>
      <c r="I68" s="118">
        <f>'BD Team'!J73</f>
        <v>1</v>
      </c>
      <c r="J68" s="103">
        <f t="shared" si="14"/>
        <v>35.680561019999999</v>
      </c>
      <c r="K68" s="172">
        <f>'BD Team'!K73</f>
        <v>107.41</v>
      </c>
      <c r="L68" s="171">
        <f t="shared" si="15"/>
        <v>107.41</v>
      </c>
      <c r="M68" s="170">
        <f>L68*'Changable Values'!$D$4</f>
        <v>8915.0299999999988</v>
      </c>
      <c r="N68" s="170" t="str">
        <f>'BD Team'!E73</f>
        <v>20MM</v>
      </c>
      <c r="O68" s="172">
        <v>2538</v>
      </c>
      <c r="P68" s="241"/>
      <c r="Q68" s="173">
        <f t="shared" ref="Q68:Q71" si="17">35*10.764</f>
        <v>376.73999999999995</v>
      </c>
      <c r="R68" s="185"/>
      <c r="S68" s="312"/>
      <c r="T68" s="313">
        <f t="shared" si="2"/>
        <v>25.453333333333333</v>
      </c>
      <c r="U68" s="313">
        <f t="shared" si="3"/>
        <v>30.544</v>
      </c>
      <c r="V68" s="313">
        <f t="shared" si="4"/>
        <v>1.5908333333333333</v>
      </c>
      <c r="W68" s="313">
        <f t="shared" si="5"/>
        <v>25.453333333333333</v>
      </c>
      <c r="X68" s="313">
        <f t="shared" si="6"/>
        <v>50.906666666666666</v>
      </c>
      <c r="Y68" s="313">
        <f t="shared" si="7"/>
        <v>15.272</v>
      </c>
    </row>
    <row r="69" spans="1:25">
      <c r="A69" s="118">
        <f>'BD Team'!A74</f>
        <v>66</v>
      </c>
      <c r="B69" s="118" t="str">
        <f>'BD Team'!B74</f>
        <v>SW29</v>
      </c>
      <c r="C69" s="118" t="str">
        <f>'BD Team'!C74</f>
        <v>M900</v>
      </c>
      <c r="D69" s="118" t="str">
        <f>'BD Team'!D74</f>
        <v>3 TRACK 2 SHUTTER SLIDING WINDOW</v>
      </c>
      <c r="E69" s="118" t="str">
        <f>'BD Team'!F74</f>
        <v>SS</v>
      </c>
      <c r="F69" s="121" t="str">
        <f>'BD Team'!G74</f>
        <v>4F - MD ROOM 2</v>
      </c>
      <c r="G69" s="118">
        <f>'BD Team'!H74</f>
        <v>2481</v>
      </c>
      <c r="H69" s="118">
        <f>'BD Team'!I74</f>
        <v>1335</v>
      </c>
      <c r="I69" s="118">
        <f>'BD Team'!J74</f>
        <v>1</v>
      </c>
      <c r="J69" s="103">
        <f t="shared" si="14"/>
        <v>35.651821140000003</v>
      </c>
      <c r="K69" s="172">
        <f>'BD Team'!K74</f>
        <v>107.37</v>
      </c>
      <c r="L69" s="171">
        <f t="shared" si="15"/>
        <v>107.37</v>
      </c>
      <c r="M69" s="170">
        <f>L69*'Changable Values'!$D$4</f>
        <v>8911.7100000000009</v>
      </c>
      <c r="N69" s="170" t="str">
        <f>'BD Team'!E74</f>
        <v>20MM</v>
      </c>
      <c r="O69" s="172">
        <v>2538</v>
      </c>
      <c r="P69" s="241"/>
      <c r="Q69" s="173">
        <f t="shared" si="17"/>
        <v>376.73999999999995</v>
      </c>
      <c r="R69" s="185"/>
      <c r="S69" s="312"/>
      <c r="T69" s="313">
        <f t="shared" ref="T69:T103" si="18">(G69+H69)*I69*2/300</f>
        <v>25.44</v>
      </c>
      <c r="U69" s="313">
        <f t="shared" ref="U69:U103" si="19">SUM(G69:H69)*I69*2*4/1000</f>
        <v>30.527999999999999</v>
      </c>
      <c r="V69" s="313">
        <f t="shared" ref="V69:V103" si="20">SUM(G69:H69)*I69*5*5*4/(1000*240)</f>
        <v>1.59</v>
      </c>
      <c r="W69" s="313">
        <f t="shared" ref="W69:W103" si="21">T69</f>
        <v>25.44</v>
      </c>
      <c r="X69" s="313">
        <f t="shared" ref="X69:X103" si="22">W69*2</f>
        <v>50.88</v>
      </c>
      <c r="Y69" s="313">
        <f t="shared" ref="Y69:Y103" si="23">SUM(G69:H69)*I69*4/1000</f>
        <v>15.263999999999999</v>
      </c>
    </row>
    <row r="70" spans="1:25">
      <c r="A70" s="118">
        <f>'BD Team'!A75</f>
        <v>67</v>
      </c>
      <c r="B70" s="118" t="str">
        <f>'BD Team'!B75</f>
        <v>SW30</v>
      </c>
      <c r="C70" s="118" t="str">
        <f>'BD Team'!C75</f>
        <v>M900</v>
      </c>
      <c r="D70" s="118" t="str">
        <f>'BD Team'!D75</f>
        <v>3 TRACK 2 SHUTTER SLIDING WINDOW</v>
      </c>
      <c r="E70" s="118" t="str">
        <f>'BD Team'!F75</f>
        <v>SS</v>
      </c>
      <c r="F70" s="121" t="str">
        <f>'BD Team'!G75</f>
        <v>4F - MD ROOM 3</v>
      </c>
      <c r="G70" s="118">
        <f>'BD Team'!H75</f>
        <v>1865</v>
      </c>
      <c r="H70" s="118">
        <f>'BD Team'!I75</f>
        <v>1334</v>
      </c>
      <c r="I70" s="118">
        <f>'BD Team'!J75</f>
        <v>1</v>
      </c>
      <c r="J70" s="103">
        <f t="shared" si="14"/>
        <v>26.779863239999997</v>
      </c>
      <c r="K70" s="172">
        <f>'BD Team'!K75</f>
        <v>96.18</v>
      </c>
      <c r="L70" s="171">
        <f t="shared" si="15"/>
        <v>96.18</v>
      </c>
      <c r="M70" s="170">
        <f>L70*'Changable Values'!$D$4</f>
        <v>7982.9400000000005</v>
      </c>
      <c r="N70" s="170" t="str">
        <f>'BD Team'!E75</f>
        <v>20MM</v>
      </c>
      <c r="O70" s="172">
        <v>2538</v>
      </c>
      <c r="P70" s="241"/>
      <c r="Q70" s="173">
        <f t="shared" si="17"/>
        <v>376.73999999999995</v>
      </c>
      <c r="R70" s="185"/>
      <c r="S70" s="312"/>
      <c r="T70" s="313">
        <f t="shared" si="18"/>
        <v>21.326666666666668</v>
      </c>
      <c r="U70" s="313">
        <f t="shared" si="19"/>
        <v>25.591999999999999</v>
      </c>
      <c r="V70" s="313">
        <f t="shared" si="20"/>
        <v>1.3329166666666667</v>
      </c>
      <c r="W70" s="313">
        <f t="shared" si="21"/>
        <v>21.326666666666668</v>
      </c>
      <c r="X70" s="313">
        <f t="shared" si="22"/>
        <v>42.653333333333336</v>
      </c>
      <c r="Y70" s="313">
        <f t="shared" si="23"/>
        <v>12.795999999999999</v>
      </c>
    </row>
    <row r="71" spans="1:25">
      <c r="A71" s="118">
        <f>'BD Team'!A76</f>
        <v>68</v>
      </c>
      <c r="B71" s="118" t="str">
        <f>'BD Team'!B76</f>
        <v>SW31</v>
      </c>
      <c r="C71" s="118" t="str">
        <f>'BD Team'!C76</f>
        <v>M900</v>
      </c>
      <c r="D71" s="118" t="str">
        <f>'BD Team'!D76</f>
        <v>3 TRACK 2 SHUTTER SLIDING WINDOW</v>
      </c>
      <c r="E71" s="118" t="str">
        <f>'BD Team'!F76</f>
        <v>SS</v>
      </c>
      <c r="F71" s="121" t="str">
        <f>'BD Team'!G76</f>
        <v>4F - SMALL ROOM</v>
      </c>
      <c r="G71" s="118">
        <f>'BD Team'!H76</f>
        <v>914</v>
      </c>
      <c r="H71" s="118">
        <f>'BD Team'!I76</f>
        <v>1295</v>
      </c>
      <c r="I71" s="118">
        <f>'BD Team'!J76</f>
        <v>1</v>
      </c>
      <c r="J71" s="103">
        <f t="shared" si="14"/>
        <v>12.740593319999999</v>
      </c>
      <c r="K71" s="172">
        <f>'BD Team'!K76</f>
        <v>77.759999999999991</v>
      </c>
      <c r="L71" s="171">
        <f t="shared" si="15"/>
        <v>77.759999999999991</v>
      </c>
      <c r="M71" s="170">
        <f>L71*'Changable Values'!$D$4</f>
        <v>6454.079999999999</v>
      </c>
      <c r="N71" s="170" t="str">
        <f>'BD Team'!E76</f>
        <v>20MM</v>
      </c>
      <c r="O71" s="172">
        <v>2538</v>
      </c>
      <c r="P71" s="241"/>
      <c r="Q71" s="173">
        <f t="shared" si="17"/>
        <v>376.73999999999995</v>
      </c>
      <c r="R71" s="185"/>
      <c r="S71" s="312"/>
      <c r="T71" s="313">
        <f t="shared" si="18"/>
        <v>14.726666666666667</v>
      </c>
      <c r="U71" s="313">
        <f t="shared" si="19"/>
        <v>17.672000000000001</v>
      </c>
      <c r="V71" s="313">
        <f t="shared" si="20"/>
        <v>0.92041666666666666</v>
      </c>
      <c r="W71" s="313">
        <f t="shared" si="21"/>
        <v>14.726666666666667</v>
      </c>
      <c r="X71" s="313">
        <f t="shared" si="22"/>
        <v>29.453333333333333</v>
      </c>
      <c r="Y71" s="313">
        <f t="shared" si="23"/>
        <v>8.8360000000000003</v>
      </c>
    </row>
    <row r="72" spans="1:25">
      <c r="A72" s="118">
        <f>'BD Team'!A77</f>
        <v>69</v>
      </c>
      <c r="B72" s="118" t="str">
        <f>'BD Team'!B77</f>
        <v>V12</v>
      </c>
      <c r="C72" s="118" t="str">
        <f>'BD Team'!C77</f>
        <v>M940</v>
      </c>
      <c r="D72" s="118" t="str">
        <f>'BD Team'!D77</f>
        <v>Z LOUVERS</v>
      </c>
      <c r="E72" s="118" t="str">
        <f>'BD Team'!F77</f>
        <v>NO</v>
      </c>
      <c r="F72" s="121" t="str">
        <f>'BD Team'!G77</f>
        <v>4F - TOILET 1</v>
      </c>
      <c r="G72" s="118">
        <f>'BD Team'!H77</f>
        <v>570</v>
      </c>
      <c r="H72" s="118">
        <f>'BD Team'!I77</f>
        <v>569</v>
      </c>
      <c r="I72" s="118">
        <f>'BD Team'!J77</f>
        <v>1</v>
      </c>
      <c r="J72" s="103">
        <f t="shared" si="14"/>
        <v>3.4910881199999997</v>
      </c>
      <c r="K72" s="172">
        <f>'BD Team'!K77</f>
        <v>27.869999999999997</v>
      </c>
      <c r="L72" s="171">
        <f t="shared" si="15"/>
        <v>27.869999999999997</v>
      </c>
      <c r="M72" s="170">
        <f>L72*'Changable Values'!$D$4</f>
        <v>2313.2099999999996</v>
      </c>
      <c r="N72" s="170" t="str">
        <f>'BD Team'!E77</f>
        <v>NA</v>
      </c>
      <c r="O72" s="172"/>
      <c r="P72" s="241"/>
      <c r="Q72" s="173"/>
      <c r="R72" s="185"/>
      <c r="S72" s="312"/>
      <c r="T72" s="313">
        <f t="shared" si="18"/>
        <v>7.5933333333333337</v>
      </c>
      <c r="U72" s="313">
        <f t="shared" si="19"/>
        <v>9.1120000000000001</v>
      </c>
      <c r="V72" s="313">
        <f t="shared" si="20"/>
        <v>0.47458333333333336</v>
      </c>
      <c r="W72" s="313">
        <f t="shared" si="21"/>
        <v>7.5933333333333337</v>
      </c>
      <c r="X72" s="313">
        <f t="shared" si="22"/>
        <v>15.186666666666667</v>
      </c>
      <c r="Y72" s="313">
        <f t="shared" si="23"/>
        <v>4.556</v>
      </c>
    </row>
    <row r="73" spans="1:25">
      <c r="A73" s="118">
        <f>'BD Team'!A78</f>
        <v>70</v>
      </c>
      <c r="B73" s="118" t="str">
        <f>'BD Team'!B78</f>
        <v>V13</v>
      </c>
      <c r="C73" s="118" t="str">
        <f>'BD Team'!C78</f>
        <v>M940</v>
      </c>
      <c r="D73" s="118" t="str">
        <f>'BD Team'!D78</f>
        <v>Z LOUVERS</v>
      </c>
      <c r="E73" s="118" t="str">
        <f>'BD Team'!F78</f>
        <v>NO</v>
      </c>
      <c r="F73" s="121" t="str">
        <f>'BD Team'!G78</f>
        <v>4F - TOILET 2</v>
      </c>
      <c r="G73" s="118">
        <f>'BD Team'!H78</f>
        <v>572</v>
      </c>
      <c r="H73" s="118">
        <f>'BD Team'!I78</f>
        <v>568</v>
      </c>
      <c r="I73" s="118">
        <f>'BD Team'!J78</f>
        <v>1</v>
      </c>
      <c r="J73" s="103">
        <f t="shared" si="14"/>
        <v>3.4971805439999999</v>
      </c>
      <c r="K73" s="172">
        <f>'BD Team'!K78</f>
        <v>27.880000000000003</v>
      </c>
      <c r="L73" s="171">
        <f t="shared" si="15"/>
        <v>27.880000000000003</v>
      </c>
      <c r="M73" s="170">
        <f>L73*'Changable Values'!$D$4</f>
        <v>2314.0400000000004</v>
      </c>
      <c r="N73" s="170" t="str">
        <f>'BD Team'!E78</f>
        <v>NA</v>
      </c>
      <c r="O73" s="172"/>
      <c r="P73" s="241"/>
      <c r="Q73" s="173"/>
      <c r="R73" s="185"/>
      <c r="S73" s="312"/>
      <c r="T73" s="313">
        <f t="shared" si="18"/>
        <v>7.6</v>
      </c>
      <c r="U73" s="313">
        <f t="shared" si="19"/>
        <v>9.1199999999999992</v>
      </c>
      <c r="V73" s="313">
        <f t="shared" si="20"/>
        <v>0.47499999999999998</v>
      </c>
      <c r="W73" s="313">
        <f t="shared" si="21"/>
        <v>7.6</v>
      </c>
      <c r="X73" s="313">
        <f t="shared" si="22"/>
        <v>15.2</v>
      </c>
      <c r="Y73" s="313">
        <f t="shared" si="23"/>
        <v>4.5599999999999996</v>
      </c>
    </row>
    <row r="74" spans="1:25">
      <c r="A74" s="118">
        <f>'BD Team'!A79</f>
        <v>71</v>
      </c>
      <c r="B74" s="118" t="str">
        <f>'BD Team'!B79</f>
        <v>FG24</v>
      </c>
      <c r="C74" s="118" t="str">
        <f>'BD Team'!C79</f>
        <v>M940</v>
      </c>
      <c r="D74" s="118" t="str">
        <f>'BD Team'!D79</f>
        <v>FIXED GLASS</v>
      </c>
      <c r="E74" s="118" t="str">
        <f>'BD Team'!F79</f>
        <v>NO</v>
      </c>
      <c r="F74" s="121" t="str">
        <f>'BD Team'!G79</f>
        <v>4F - SERVANT ROOM</v>
      </c>
      <c r="G74" s="118">
        <f>'BD Team'!H79</f>
        <v>865</v>
      </c>
      <c r="H74" s="118">
        <f>'BD Team'!I79</f>
        <v>1267</v>
      </c>
      <c r="I74" s="118">
        <f>'BD Team'!J79</f>
        <v>1</v>
      </c>
      <c r="J74" s="103">
        <f t="shared" si="14"/>
        <v>11.796859619999999</v>
      </c>
      <c r="K74" s="172">
        <f>'BD Team'!K79</f>
        <v>23.29</v>
      </c>
      <c r="L74" s="171">
        <f t="shared" si="15"/>
        <v>23.29</v>
      </c>
      <c r="M74" s="170">
        <f>L74*'Changable Values'!$D$4</f>
        <v>1933.07</v>
      </c>
      <c r="N74" s="170" t="str">
        <f>'BD Team'!E79</f>
        <v>20MM</v>
      </c>
      <c r="O74" s="172">
        <v>2538</v>
      </c>
      <c r="P74" s="241"/>
      <c r="Q74" s="173"/>
      <c r="R74" s="185"/>
      <c r="S74" s="312"/>
      <c r="T74" s="313">
        <f t="shared" si="18"/>
        <v>14.213333333333333</v>
      </c>
      <c r="U74" s="313">
        <f t="shared" si="19"/>
        <v>17.056000000000001</v>
      </c>
      <c r="V74" s="313">
        <f t="shared" si="20"/>
        <v>0.88833333333333331</v>
      </c>
      <c r="W74" s="313">
        <f t="shared" si="21"/>
        <v>14.213333333333333</v>
      </c>
      <c r="X74" s="313">
        <f t="shared" si="22"/>
        <v>28.426666666666666</v>
      </c>
      <c r="Y74" s="313">
        <f t="shared" si="23"/>
        <v>8.5280000000000005</v>
      </c>
    </row>
    <row r="75" spans="1:25">
      <c r="A75" s="118">
        <f>'BD Team'!A80</f>
        <v>72</v>
      </c>
      <c r="B75" s="118" t="str">
        <f>'BD Team'!B80</f>
        <v>SW32</v>
      </c>
      <c r="C75" s="118" t="str">
        <f>'BD Team'!C80</f>
        <v>M900</v>
      </c>
      <c r="D75" s="118" t="str">
        <f>'BD Team'!D80</f>
        <v>3 TRACK 2 SHUTTER SLIDING WINDOW</v>
      </c>
      <c r="E75" s="118" t="str">
        <f>'BD Team'!F80</f>
        <v>SS</v>
      </c>
      <c r="F75" s="121" t="str">
        <f>'BD Team'!G80</f>
        <v>4F - STAIRCASE</v>
      </c>
      <c r="G75" s="118">
        <f>'BD Team'!H80</f>
        <v>1844</v>
      </c>
      <c r="H75" s="118">
        <f>'BD Team'!I80</f>
        <v>1201</v>
      </c>
      <c r="I75" s="118">
        <f>'BD Team'!J80</f>
        <v>1</v>
      </c>
      <c r="J75" s="103">
        <f t="shared" si="14"/>
        <v>23.838428015999998</v>
      </c>
      <c r="K75" s="172">
        <f>'BD Team'!K80</f>
        <v>91.72</v>
      </c>
      <c r="L75" s="171">
        <f t="shared" si="15"/>
        <v>91.72</v>
      </c>
      <c r="M75" s="170">
        <f>L75*'Changable Values'!$D$4</f>
        <v>7612.76</v>
      </c>
      <c r="N75" s="170" t="str">
        <f>'BD Team'!E80</f>
        <v>20MM</v>
      </c>
      <c r="O75" s="172">
        <v>2538</v>
      </c>
      <c r="P75" s="241"/>
      <c r="Q75" s="173">
        <f>35*10.764</f>
        <v>376.73999999999995</v>
      </c>
      <c r="R75" s="185"/>
      <c r="S75" s="312"/>
      <c r="T75" s="313">
        <f t="shared" si="18"/>
        <v>20.3</v>
      </c>
      <c r="U75" s="313">
        <f t="shared" si="19"/>
        <v>24.36</v>
      </c>
      <c r="V75" s="313">
        <f t="shared" si="20"/>
        <v>1.26875</v>
      </c>
      <c r="W75" s="313">
        <f t="shared" si="21"/>
        <v>20.3</v>
      </c>
      <c r="X75" s="313">
        <f t="shared" si="22"/>
        <v>40.6</v>
      </c>
      <c r="Y75" s="313">
        <f t="shared" si="23"/>
        <v>12.18</v>
      </c>
    </row>
    <row r="76" spans="1:25">
      <c r="A76" s="118">
        <f>'BD Team'!A81</f>
        <v>73</v>
      </c>
      <c r="B76" s="118" t="str">
        <f>'BD Team'!B81</f>
        <v>FG25</v>
      </c>
      <c r="C76" s="118" t="str">
        <f>'BD Team'!C81</f>
        <v>M940</v>
      </c>
      <c r="D76" s="118" t="str">
        <f>'BD Team'!D81</f>
        <v>FIXED GLASS</v>
      </c>
      <c r="E76" s="118" t="str">
        <f>'BD Team'!F81</f>
        <v>NO</v>
      </c>
      <c r="F76" s="121" t="str">
        <f>'BD Team'!G81</f>
        <v>BF - SERVANT ROOM</v>
      </c>
      <c r="G76" s="118">
        <f>'BD Team'!H81</f>
        <v>866</v>
      </c>
      <c r="H76" s="118">
        <f>'BD Team'!I81</f>
        <v>816</v>
      </c>
      <c r="I76" s="118">
        <f>'BD Team'!J81</f>
        <v>1</v>
      </c>
      <c r="J76" s="103">
        <f t="shared" si="14"/>
        <v>7.6064451839999991</v>
      </c>
      <c r="K76" s="172">
        <f>'BD Team'!K81</f>
        <v>18.57</v>
      </c>
      <c r="L76" s="171">
        <f t="shared" si="15"/>
        <v>18.57</v>
      </c>
      <c r="M76" s="170">
        <f>L76*'Changable Values'!$D$4</f>
        <v>1541.31</v>
      </c>
      <c r="N76" s="170" t="str">
        <f>'BD Team'!E81</f>
        <v>20MM</v>
      </c>
      <c r="O76" s="172">
        <v>2538</v>
      </c>
      <c r="P76" s="241"/>
      <c r="Q76" s="173"/>
      <c r="R76" s="185"/>
      <c r="S76" s="312"/>
      <c r="T76" s="313">
        <f t="shared" si="18"/>
        <v>11.213333333333333</v>
      </c>
      <c r="U76" s="313">
        <f t="shared" si="19"/>
        <v>13.456</v>
      </c>
      <c r="V76" s="313">
        <f t="shared" si="20"/>
        <v>0.70083333333333331</v>
      </c>
      <c r="W76" s="313">
        <f t="shared" si="21"/>
        <v>11.213333333333333</v>
      </c>
      <c r="X76" s="313">
        <f t="shared" si="22"/>
        <v>22.426666666666666</v>
      </c>
      <c r="Y76" s="313">
        <f t="shared" si="23"/>
        <v>6.7279999999999998</v>
      </c>
    </row>
    <row r="77" spans="1:25">
      <c r="A77" s="118">
        <f>'BD Team'!A82</f>
        <v>74</v>
      </c>
      <c r="B77" s="118" t="str">
        <f>'BD Team'!B82</f>
        <v>SW33</v>
      </c>
      <c r="C77" s="118" t="str">
        <f>'BD Team'!C82</f>
        <v>M900</v>
      </c>
      <c r="D77" s="118" t="str">
        <f>'BD Team'!D82</f>
        <v>3 TRACK 2 SHUTTER SLIDING WINDOW</v>
      </c>
      <c r="E77" s="118" t="str">
        <f>'BD Team'!F82</f>
        <v>SS</v>
      </c>
      <c r="F77" s="121" t="str">
        <f>'BD Team'!G82</f>
        <v>BF - STAIRCASE</v>
      </c>
      <c r="G77" s="118">
        <f>'BD Team'!H82</f>
        <v>1809</v>
      </c>
      <c r="H77" s="118">
        <f>'BD Team'!I82</f>
        <v>819</v>
      </c>
      <c r="I77" s="118">
        <f>'BD Team'!J82</f>
        <v>1</v>
      </c>
      <c r="J77" s="103">
        <f t="shared" si="14"/>
        <v>15.947630243999999</v>
      </c>
      <c r="K77" s="172">
        <f>'BD Team'!K82</f>
        <v>79.36</v>
      </c>
      <c r="L77" s="171">
        <f t="shared" si="15"/>
        <v>79.36</v>
      </c>
      <c r="M77" s="170">
        <f>L77*'Changable Values'!$D$4</f>
        <v>6586.88</v>
      </c>
      <c r="N77" s="170" t="str">
        <f>'BD Team'!E82</f>
        <v>20MM</v>
      </c>
      <c r="O77" s="172">
        <v>2538</v>
      </c>
      <c r="P77" s="241"/>
      <c r="Q77" s="173">
        <f>35*10.764</f>
        <v>376.73999999999995</v>
      </c>
      <c r="R77" s="185"/>
      <c r="S77" s="312"/>
      <c r="T77" s="313">
        <f t="shared" si="18"/>
        <v>17.52</v>
      </c>
      <c r="U77" s="313">
        <f t="shared" si="19"/>
        <v>21.024000000000001</v>
      </c>
      <c r="V77" s="313">
        <f t="shared" si="20"/>
        <v>1.095</v>
      </c>
      <c r="W77" s="313">
        <f t="shared" si="21"/>
        <v>17.52</v>
      </c>
      <c r="X77" s="313">
        <f t="shared" si="22"/>
        <v>35.04</v>
      </c>
      <c r="Y77" s="313">
        <f t="shared" si="23"/>
        <v>10.512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4"/>
        <v>0</v>
      </c>
      <c r="K78" s="172">
        <f>'BD Team'!K83</f>
        <v>0</v>
      </c>
      <c r="L78" s="171">
        <f t="shared" si="15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8"/>
        <v>0</v>
      </c>
      <c r="U78" s="313">
        <f t="shared" si="19"/>
        <v>0</v>
      </c>
      <c r="V78" s="313">
        <f t="shared" si="20"/>
        <v>0</v>
      </c>
      <c r="W78" s="313">
        <f t="shared" si="21"/>
        <v>0</v>
      </c>
      <c r="X78" s="313">
        <f t="shared" si="22"/>
        <v>0</v>
      </c>
      <c r="Y78" s="313">
        <f t="shared" si="23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4"/>
        <v>0</v>
      </c>
      <c r="K79" s="172">
        <f>'BD Team'!K84</f>
        <v>0</v>
      </c>
      <c r="L79" s="171">
        <f t="shared" si="15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8"/>
        <v>0</v>
      </c>
      <c r="U79" s="313">
        <f t="shared" si="19"/>
        <v>0</v>
      </c>
      <c r="V79" s="313">
        <f t="shared" si="20"/>
        <v>0</v>
      </c>
      <c r="W79" s="313">
        <f t="shared" si="21"/>
        <v>0</v>
      </c>
      <c r="X79" s="313">
        <f t="shared" si="22"/>
        <v>0</v>
      </c>
      <c r="Y79" s="313">
        <f t="shared" si="23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4"/>
        <v>0</v>
      </c>
      <c r="K80" s="172">
        <f>'BD Team'!K85</f>
        <v>0</v>
      </c>
      <c r="L80" s="171">
        <f t="shared" si="15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8"/>
        <v>0</v>
      </c>
      <c r="U80" s="313">
        <f t="shared" si="19"/>
        <v>0</v>
      </c>
      <c r="V80" s="313">
        <f t="shared" si="20"/>
        <v>0</v>
      </c>
      <c r="W80" s="313">
        <f t="shared" si="21"/>
        <v>0</v>
      </c>
      <c r="X80" s="313">
        <f t="shared" si="22"/>
        <v>0</v>
      </c>
      <c r="Y80" s="313">
        <f t="shared" si="23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4"/>
        <v>0</v>
      </c>
      <c r="K81" s="172">
        <f>'BD Team'!K86</f>
        <v>0</v>
      </c>
      <c r="L81" s="171">
        <f t="shared" si="15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8"/>
        <v>0</v>
      </c>
      <c r="U81" s="313">
        <f t="shared" si="19"/>
        <v>0</v>
      </c>
      <c r="V81" s="313">
        <f t="shared" si="20"/>
        <v>0</v>
      </c>
      <c r="W81" s="313">
        <f t="shared" si="21"/>
        <v>0</v>
      </c>
      <c r="X81" s="313">
        <f t="shared" si="22"/>
        <v>0</v>
      </c>
      <c r="Y81" s="313">
        <f t="shared" si="23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4"/>
        <v>0</v>
      </c>
      <c r="K82" s="172">
        <f>'BD Team'!K87</f>
        <v>0</v>
      </c>
      <c r="L82" s="171">
        <f t="shared" si="15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8"/>
        <v>0</v>
      </c>
      <c r="U82" s="313">
        <f t="shared" si="19"/>
        <v>0</v>
      </c>
      <c r="V82" s="313">
        <f t="shared" si="20"/>
        <v>0</v>
      </c>
      <c r="W82" s="313">
        <f t="shared" si="21"/>
        <v>0</v>
      </c>
      <c r="X82" s="313">
        <f t="shared" si="22"/>
        <v>0</v>
      </c>
      <c r="Y82" s="313">
        <f t="shared" si="23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4"/>
        <v>0</v>
      </c>
      <c r="K83" s="172">
        <f>'BD Team'!K88</f>
        <v>0</v>
      </c>
      <c r="L83" s="171">
        <f t="shared" si="15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8"/>
        <v>0</v>
      </c>
      <c r="U83" s="313">
        <f t="shared" si="19"/>
        <v>0</v>
      </c>
      <c r="V83" s="313">
        <f t="shared" si="20"/>
        <v>0</v>
      </c>
      <c r="W83" s="313">
        <f t="shared" si="21"/>
        <v>0</v>
      </c>
      <c r="X83" s="313">
        <f t="shared" si="22"/>
        <v>0</v>
      </c>
      <c r="Y83" s="313">
        <f t="shared" si="23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4"/>
        <v>0</v>
      </c>
      <c r="K84" s="172">
        <f>'BD Team'!K89</f>
        <v>0</v>
      </c>
      <c r="L84" s="171">
        <f t="shared" si="15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8"/>
        <v>0</v>
      </c>
      <c r="U84" s="313">
        <f t="shared" si="19"/>
        <v>0</v>
      </c>
      <c r="V84" s="313">
        <f t="shared" si="20"/>
        <v>0</v>
      </c>
      <c r="W84" s="313">
        <f t="shared" si="21"/>
        <v>0</v>
      </c>
      <c r="X84" s="313">
        <f t="shared" si="22"/>
        <v>0</v>
      </c>
      <c r="Y84" s="313">
        <f t="shared" si="23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4"/>
        <v>0</v>
      </c>
      <c r="K85" s="172">
        <f>'BD Team'!K90</f>
        <v>0</v>
      </c>
      <c r="L85" s="171">
        <f t="shared" si="15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8"/>
        <v>0</v>
      </c>
      <c r="U85" s="313">
        <f t="shared" si="19"/>
        <v>0</v>
      </c>
      <c r="V85" s="313">
        <f t="shared" si="20"/>
        <v>0</v>
      </c>
      <c r="W85" s="313">
        <f t="shared" si="21"/>
        <v>0</v>
      </c>
      <c r="X85" s="313">
        <f t="shared" si="22"/>
        <v>0</v>
      </c>
      <c r="Y85" s="313">
        <f t="shared" si="23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4"/>
        <v>0</v>
      </c>
      <c r="K86" s="172">
        <f>'BD Team'!K91</f>
        <v>0</v>
      </c>
      <c r="L86" s="171">
        <f t="shared" si="15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8"/>
        <v>0</v>
      </c>
      <c r="U86" s="313">
        <f t="shared" si="19"/>
        <v>0</v>
      </c>
      <c r="V86" s="313">
        <f t="shared" si="20"/>
        <v>0</v>
      </c>
      <c r="W86" s="313">
        <f t="shared" si="21"/>
        <v>0</v>
      </c>
      <c r="X86" s="313">
        <f t="shared" si="22"/>
        <v>0</v>
      </c>
      <c r="Y86" s="313">
        <f t="shared" si="23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4"/>
        <v>0</v>
      </c>
      <c r="K87" s="172">
        <f>'BD Team'!K92</f>
        <v>0</v>
      </c>
      <c r="L87" s="171">
        <f t="shared" si="15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8"/>
        <v>0</v>
      </c>
      <c r="U87" s="313">
        <f t="shared" si="19"/>
        <v>0</v>
      </c>
      <c r="V87" s="313">
        <f t="shared" si="20"/>
        <v>0</v>
      </c>
      <c r="W87" s="313">
        <f t="shared" si="21"/>
        <v>0</v>
      </c>
      <c r="X87" s="313">
        <f t="shared" si="22"/>
        <v>0</v>
      </c>
      <c r="Y87" s="313">
        <f t="shared" si="23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4"/>
        <v>0</v>
      </c>
      <c r="K88" s="172">
        <f>'BD Team'!K93</f>
        <v>0</v>
      </c>
      <c r="L88" s="171">
        <f t="shared" si="15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8"/>
        <v>0</v>
      </c>
      <c r="U88" s="313">
        <f t="shared" si="19"/>
        <v>0</v>
      </c>
      <c r="V88" s="313">
        <f t="shared" si="20"/>
        <v>0</v>
      </c>
      <c r="W88" s="313">
        <f t="shared" si="21"/>
        <v>0</v>
      </c>
      <c r="X88" s="313">
        <f t="shared" si="22"/>
        <v>0</v>
      </c>
      <c r="Y88" s="313">
        <f t="shared" si="23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4"/>
        <v>0</v>
      </c>
      <c r="K89" s="172">
        <f>'BD Team'!K94</f>
        <v>0</v>
      </c>
      <c r="L89" s="171">
        <f t="shared" si="15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8"/>
        <v>0</v>
      </c>
      <c r="U89" s="313">
        <f t="shared" si="19"/>
        <v>0</v>
      </c>
      <c r="V89" s="313">
        <f t="shared" si="20"/>
        <v>0</v>
      </c>
      <c r="W89" s="313">
        <f t="shared" si="21"/>
        <v>0</v>
      </c>
      <c r="X89" s="313">
        <f t="shared" si="22"/>
        <v>0</v>
      </c>
      <c r="Y89" s="313">
        <f t="shared" si="23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4"/>
        <v>0</v>
      </c>
      <c r="K90" s="172">
        <f>'BD Team'!K95</f>
        <v>0</v>
      </c>
      <c r="L90" s="171">
        <f t="shared" si="15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8"/>
        <v>0</v>
      </c>
      <c r="U90" s="313">
        <f t="shared" si="19"/>
        <v>0</v>
      </c>
      <c r="V90" s="313">
        <f t="shared" si="20"/>
        <v>0</v>
      </c>
      <c r="W90" s="313">
        <f t="shared" si="21"/>
        <v>0</v>
      </c>
      <c r="X90" s="313">
        <f t="shared" si="22"/>
        <v>0</v>
      </c>
      <c r="Y90" s="313">
        <f t="shared" si="23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4"/>
        <v>0</v>
      </c>
      <c r="K91" s="172">
        <f>'BD Team'!K96</f>
        <v>0</v>
      </c>
      <c r="L91" s="171">
        <f t="shared" si="15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8"/>
        <v>0</v>
      </c>
      <c r="U91" s="313">
        <f t="shared" si="19"/>
        <v>0</v>
      </c>
      <c r="V91" s="313">
        <f t="shared" si="20"/>
        <v>0</v>
      </c>
      <c r="W91" s="313">
        <f t="shared" si="21"/>
        <v>0</v>
      </c>
      <c r="X91" s="313">
        <f t="shared" si="22"/>
        <v>0</v>
      </c>
      <c r="Y91" s="313">
        <f t="shared" si="23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4"/>
        <v>0</v>
      </c>
      <c r="K92" s="172">
        <f>'BD Team'!K97</f>
        <v>0</v>
      </c>
      <c r="L92" s="171">
        <f t="shared" si="15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8"/>
        <v>0</v>
      </c>
      <c r="U92" s="313">
        <f t="shared" si="19"/>
        <v>0</v>
      </c>
      <c r="V92" s="313">
        <f t="shared" si="20"/>
        <v>0</v>
      </c>
      <c r="W92" s="313">
        <f t="shared" si="21"/>
        <v>0</v>
      </c>
      <c r="X92" s="313">
        <f t="shared" si="22"/>
        <v>0</v>
      </c>
      <c r="Y92" s="313">
        <f t="shared" si="23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4"/>
        <v>0</v>
      </c>
      <c r="K93" s="172">
        <f>'BD Team'!K98</f>
        <v>0</v>
      </c>
      <c r="L93" s="171">
        <f t="shared" si="15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8"/>
        <v>0</v>
      </c>
      <c r="U93" s="313">
        <f t="shared" si="19"/>
        <v>0</v>
      </c>
      <c r="V93" s="313">
        <f t="shared" si="20"/>
        <v>0</v>
      </c>
      <c r="W93" s="313">
        <f t="shared" si="21"/>
        <v>0</v>
      </c>
      <c r="X93" s="313">
        <f t="shared" si="22"/>
        <v>0</v>
      </c>
      <c r="Y93" s="313">
        <f t="shared" si="23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4"/>
        <v>0</v>
      </c>
      <c r="K94" s="172">
        <f>'BD Team'!K99</f>
        <v>0</v>
      </c>
      <c r="L94" s="171">
        <f t="shared" si="15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8"/>
        <v>0</v>
      </c>
      <c r="U94" s="313">
        <f t="shared" si="19"/>
        <v>0</v>
      </c>
      <c r="V94" s="313">
        <f t="shared" si="20"/>
        <v>0</v>
      </c>
      <c r="W94" s="313">
        <f t="shared" si="21"/>
        <v>0</v>
      </c>
      <c r="X94" s="313">
        <f t="shared" si="22"/>
        <v>0</v>
      </c>
      <c r="Y94" s="313">
        <f t="shared" si="23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4"/>
        <v>0</v>
      </c>
      <c r="K95" s="172">
        <f>'BD Team'!K100</f>
        <v>0</v>
      </c>
      <c r="L95" s="171">
        <f t="shared" si="15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8"/>
        <v>0</v>
      </c>
      <c r="U95" s="313">
        <f t="shared" si="19"/>
        <v>0</v>
      </c>
      <c r="V95" s="313">
        <f t="shared" si="20"/>
        <v>0</v>
      </c>
      <c r="W95" s="313">
        <f t="shared" si="21"/>
        <v>0</v>
      </c>
      <c r="X95" s="313">
        <f t="shared" si="22"/>
        <v>0</v>
      </c>
      <c r="Y95" s="313">
        <f t="shared" si="23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4"/>
        <v>0</v>
      </c>
      <c r="K96" s="172">
        <f>'BD Team'!K101</f>
        <v>0</v>
      </c>
      <c r="L96" s="171">
        <f t="shared" si="15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8"/>
        <v>0</v>
      </c>
      <c r="U96" s="313">
        <f t="shared" si="19"/>
        <v>0</v>
      </c>
      <c r="V96" s="313">
        <f t="shared" si="20"/>
        <v>0</v>
      </c>
      <c r="W96" s="313">
        <f t="shared" si="21"/>
        <v>0</v>
      </c>
      <c r="X96" s="313">
        <f t="shared" si="22"/>
        <v>0</v>
      </c>
      <c r="Y96" s="313">
        <f t="shared" si="23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4"/>
        <v>0</v>
      </c>
      <c r="K97" s="172">
        <f>'BD Team'!K102</f>
        <v>0</v>
      </c>
      <c r="L97" s="171">
        <f t="shared" si="15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8"/>
        <v>0</v>
      </c>
      <c r="U97" s="313">
        <f t="shared" si="19"/>
        <v>0</v>
      </c>
      <c r="V97" s="313">
        <f t="shared" si="20"/>
        <v>0</v>
      </c>
      <c r="W97" s="313">
        <f t="shared" si="21"/>
        <v>0</v>
      </c>
      <c r="X97" s="313">
        <f t="shared" si="22"/>
        <v>0</v>
      </c>
      <c r="Y97" s="313">
        <f t="shared" si="23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4"/>
        <v>0</v>
      </c>
      <c r="K98" s="172">
        <f>'BD Team'!K103</f>
        <v>0</v>
      </c>
      <c r="L98" s="171">
        <f t="shared" si="15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8"/>
        <v>0</v>
      </c>
      <c r="U98" s="313">
        <f t="shared" si="19"/>
        <v>0</v>
      </c>
      <c r="V98" s="313">
        <f t="shared" si="20"/>
        <v>0</v>
      </c>
      <c r="W98" s="313">
        <f t="shared" si="21"/>
        <v>0</v>
      </c>
      <c r="X98" s="313">
        <f t="shared" si="22"/>
        <v>0</v>
      </c>
      <c r="Y98" s="313">
        <f t="shared" si="23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4"/>
        <v>0</v>
      </c>
      <c r="K99" s="172">
        <f>'BD Team'!K104</f>
        <v>0</v>
      </c>
      <c r="L99" s="171">
        <f t="shared" si="15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8"/>
        <v>0</v>
      </c>
      <c r="U99" s="313">
        <f t="shared" si="19"/>
        <v>0</v>
      </c>
      <c r="V99" s="313">
        <f t="shared" si="20"/>
        <v>0</v>
      </c>
      <c r="W99" s="313">
        <f t="shared" si="21"/>
        <v>0</v>
      </c>
      <c r="X99" s="313">
        <f t="shared" si="22"/>
        <v>0</v>
      </c>
      <c r="Y99" s="313">
        <f t="shared" si="23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4"/>
        <v>0</v>
      </c>
      <c r="K100" s="172">
        <f>'BD Team'!K105</f>
        <v>0</v>
      </c>
      <c r="L100" s="171">
        <f t="shared" si="15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8"/>
        <v>0</v>
      </c>
      <c r="U100" s="313">
        <f t="shared" si="19"/>
        <v>0</v>
      </c>
      <c r="V100" s="313">
        <f t="shared" si="20"/>
        <v>0</v>
      </c>
      <c r="W100" s="313">
        <f t="shared" si="21"/>
        <v>0</v>
      </c>
      <c r="X100" s="313">
        <f t="shared" si="22"/>
        <v>0</v>
      </c>
      <c r="Y100" s="313">
        <f t="shared" si="23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4"/>
        <v>0</v>
      </c>
      <c r="K101" s="172">
        <f>'BD Team'!K106</f>
        <v>0</v>
      </c>
      <c r="L101" s="171">
        <f t="shared" si="15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8"/>
        <v>0</v>
      </c>
      <c r="U101" s="313">
        <f t="shared" si="19"/>
        <v>0</v>
      </c>
      <c r="V101" s="313">
        <f t="shared" si="20"/>
        <v>0</v>
      </c>
      <c r="W101" s="313">
        <f t="shared" si="21"/>
        <v>0</v>
      </c>
      <c r="X101" s="313">
        <f t="shared" si="22"/>
        <v>0</v>
      </c>
      <c r="Y101" s="313">
        <f t="shared" si="23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4"/>
        <v>0</v>
      </c>
      <c r="K102" s="172">
        <f>'BD Team'!K107</f>
        <v>0</v>
      </c>
      <c r="L102" s="171">
        <f t="shared" si="15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8"/>
        <v>0</v>
      </c>
      <c r="U102" s="313">
        <f t="shared" si="19"/>
        <v>0</v>
      </c>
      <c r="V102" s="313">
        <f t="shared" si="20"/>
        <v>0</v>
      </c>
      <c r="W102" s="313">
        <f t="shared" si="21"/>
        <v>0</v>
      </c>
      <c r="X102" s="313">
        <f t="shared" si="22"/>
        <v>0</v>
      </c>
      <c r="Y102" s="313">
        <f t="shared" si="23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4"/>
        <v>0</v>
      </c>
      <c r="K103" s="172">
        <f>'BD Team'!K108</f>
        <v>0</v>
      </c>
      <c r="L103" s="171">
        <f t="shared" si="15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8"/>
        <v>0</v>
      </c>
      <c r="U103" s="313">
        <f t="shared" si="19"/>
        <v>0</v>
      </c>
      <c r="V103" s="313">
        <f t="shared" si="20"/>
        <v>0</v>
      </c>
      <c r="W103" s="313">
        <f t="shared" si="21"/>
        <v>0</v>
      </c>
      <c r="X103" s="313">
        <f t="shared" si="22"/>
        <v>0</v>
      </c>
      <c r="Y103" s="313">
        <f t="shared" si="23"/>
        <v>0</v>
      </c>
    </row>
    <row r="104" spans="1:25">
      <c r="K104" s="168">
        <f>SUM(K4:K103)</f>
        <v>4614.6299999999992</v>
      </c>
      <c r="L104" s="168">
        <f>SUM(L4:L103)</f>
        <v>4614.6299999999992</v>
      </c>
      <c r="M104" s="168">
        <f>SUM(M4:M103)</f>
        <v>383014.2900000001</v>
      </c>
      <c r="T104" s="314">
        <f t="shared" ref="T104:Y104" si="24">SUM(T4:T103)</f>
        <v>1356.2066666666663</v>
      </c>
      <c r="U104" s="314">
        <f t="shared" si="24"/>
        <v>1627.4480000000003</v>
      </c>
      <c r="V104" s="314">
        <f t="shared" si="24"/>
        <v>84.762916666666641</v>
      </c>
      <c r="W104" s="314">
        <f t="shared" si="24"/>
        <v>1356.2066666666663</v>
      </c>
      <c r="X104" s="314">
        <f t="shared" si="24"/>
        <v>2712.4133333333325</v>
      </c>
      <c r="Y104" s="314">
        <f t="shared" si="24"/>
        <v>813.72400000000016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2537.64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2.5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FG</v>
      </c>
      <c r="E8" s="132" t="str">
        <f>Pricing!N4</f>
        <v>20MM</v>
      </c>
      <c r="F8" s="68">
        <f>Pricing!G4</f>
        <v>861</v>
      </c>
      <c r="G8" s="68">
        <f>Pricing!H4</f>
        <v>1270</v>
      </c>
      <c r="H8" s="100">
        <f t="shared" ref="H8:H57" si="0">(F8*G8)/1000000</f>
        <v>1.0934699999999999</v>
      </c>
      <c r="I8" s="70">
        <f>Pricing!I4</f>
        <v>1</v>
      </c>
      <c r="J8" s="69">
        <f t="shared" ref="J8" si="1">H8*I8</f>
        <v>1.0934699999999999</v>
      </c>
      <c r="K8" s="71">
        <f t="shared" ref="K8" si="2">J8*10.764</f>
        <v>11.77011108</v>
      </c>
      <c r="L8" s="69"/>
      <c r="M8" s="72"/>
      <c r="N8" s="72"/>
      <c r="O8" s="72">
        <f t="shared" ref="O8:O35" si="3">N8*M8*L8/1000000</f>
        <v>0</v>
      </c>
      <c r="P8" s="73">
        <f>Pricing!M4</f>
        <v>1932.24</v>
      </c>
      <c r="Q8" s="74">
        <f t="shared" ref="Q8:Q56" si="4">P8*$Q$6</f>
        <v>193.22400000000002</v>
      </c>
      <c r="R8" s="74">
        <f t="shared" ref="R8:R56" si="5">(P8+Q8)*$R$6</f>
        <v>233.80104</v>
      </c>
      <c r="S8" s="74">
        <f t="shared" ref="S8:S56" si="6">(P8+Q8+R8)*$S$6</f>
        <v>11.796325199999998</v>
      </c>
      <c r="T8" s="74">
        <f t="shared" ref="T8:T56" si="7">(P8+Q8+R8+S8)*$T$6</f>
        <v>23.710613651999999</v>
      </c>
      <c r="U8" s="72">
        <f t="shared" ref="U8:U56" si="8">SUM(P8:T8)</f>
        <v>2394.7719788519998</v>
      </c>
      <c r="V8" s="74">
        <f t="shared" ref="V8:V56" si="9">U8*$V$6</f>
        <v>35.921579682779999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2775.2268599999998</v>
      </c>
      <c r="AE8" s="76">
        <f>((((F8+G8)*2)/305)*I8*$AE$7)</f>
        <v>349.34426229508199</v>
      </c>
      <c r="AF8" s="346">
        <f>(((((F8*4)+(G8*4))/1000)*$AF$6*$AG$6)/300)*I8*$AF$7</f>
        <v>358.00799999999992</v>
      </c>
      <c r="AG8" s="347"/>
      <c r="AH8" s="76">
        <f>(((F8+G8))*I8/1000)*8*$AH$7</f>
        <v>12.785999999999998</v>
      </c>
      <c r="AI8" s="76">
        <f t="shared" ref="AI8:AI57" si="15">(((F8+G8)*2*I8)/1000)*2*$AI$7</f>
        <v>42.62</v>
      </c>
      <c r="AJ8" s="76">
        <f>J8*Pricing!Q4</f>
        <v>0</v>
      </c>
      <c r="AK8" s="76">
        <f>J8*Pricing!R4</f>
        <v>0</v>
      </c>
      <c r="AL8" s="76">
        <f t="shared" ref="AL8:AL39" si="16">J8*$AL$6</f>
        <v>1177.0111079999997</v>
      </c>
      <c r="AM8" s="77">
        <f t="shared" ref="AM8:AM39" si="17">$AM$6*J8</f>
        <v>0</v>
      </c>
      <c r="AN8" s="76">
        <f t="shared" ref="AN8:AN39" si="18">$AN$6*J8</f>
        <v>941.60888639999985</v>
      </c>
      <c r="AO8" s="72">
        <f t="shared" ref="AO8:AO39" si="19">SUM(U8:V8)+SUM(AC8:AI8)-AD8</f>
        <v>3193.4518208298614</v>
      </c>
      <c r="AP8" s="74">
        <f t="shared" ref="AP8:AP39" si="20">AO8*$AP$6</f>
        <v>7983.6295520746535</v>
      </c>
      <c r="AQ8" s="74">
        <f t="shared" ref="AQ8:AQ56" si="21">(AO8+AP8)*$AQ$6</f>
        <v>0</v>
      </c>
      <c r="AR8" s="74">
        <f t="shared" ref="AR8:AR39" si="22">SUM(AO8:AQ8)/J8</f>
        <v>10221.662572274059</v>
      </c>
      <c r="AS8" s="72">
        <f t="shared" ref="AS8:AS39" si="23">SUM(AJ8:AQ8)+AD8+AB8</f>
        <v>16070.928227304514</v>
      </c>
      <c r="AT8" s="72">
        <f t="shared" ref="AT8:AT39" si="24">AS8/J8</f>
        <v>14697.182572274058</v>
      </c>
      <c r="AU8" s="78">
        <f t="shared" ref="AU8:AU56" si="25">AT8/10.764</f>
        <v>1365.4015767627332</v>
      </c>
      <c r="AV8" s="79">
        <f t="shared" ref="AV8:AV39" si="26">K8/$K$109</f>
        <v>7.4336036574414966E-3</v>
      </c>
      <c r="AW8" s="80">
        <f t="shared" ref="AW8:AW39" si="27">(U8+V8)/(J8*10.764)</f>
        <v>206.5140712788226</v>
      </c>
      <c r="AX8" s="81">
        <f t="shared" ref="AX8:AX39" si="28">SUM(W8:AN8,AP8)/(J8*10.764)</f>
        <v>1158.8875054839104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SW</v>
      </c>
      <c r="E9" s="132" t="str">
        <f>Pricing!N5</f>
        <v>20MM</v>
      </c>
      <c r="F9" s="68">
        <f>Pricing!G5</f>
        <v>1803</v>
      </c>
      <c r="G9" s="68">
        <f>Pricing!H5</f>
        <v>1292</v>
      </c>
      <c r="H9" s="100">
        <f t="shared" si="0"/>
        <v>2.3294760000000001</v>
      </c>
      <c r="I9" s="70">
        <f>Pricing!I5</f>
        <v>1</v>
      </c>
      <c r="J9" s="69">
        <f t="shared" ref="J9:J58" si="30">H9*I9</f>
        <v>2.3294760000000001</v>
      </c>
      <c r="K9" s="71">
        <f t="shared" ref="K9:K58" si="31">J9*10.764</f>
        <v>25.074479663999998</v>
      </c>
      <c r="L9" s="69"/>
      <c r="M9" s="72"/>
      <c r="N9" s="72"/>
      <c r="O9" s="72">
        <f t="shared" si="3"/>
        <v>0</v>
      </c>
      <c r="P9" s="73">
        <f>Pricing!M5</f>
        <v>7782.91</v>
      </c>
      <c r="Q9" s="74">
        <f t="shared" ref="Q9:Q14" si="32">P9*$Q$6</f>
        <v>778.29100000000005</v>
      </c>
      <c r="R9" s="74">
        <f t="shared" ref="R9:R14" si="33">(P9+Q9)*$R$6</f>
        <v>941.73210999999992</v>
      </c>
      <c r="S9" s="74">
        <f t="shared" ref="S9:S14" si="34">(P9+Q9+R9)*$S$6</f>
        <v>47.514665549999989</v>
      </c>
      <c r="T9" s="74">
        <f t="shared" ref="T9:T14" si="35">(P9+Q9+R9+S9)*$T$6</f>
        <v>95.504477755499977</v>
      </c>
      <c r="U9" s="72">
        <f t="shared" ref="U9:U14" si="36">SUM(P9:T9)</f>
        <v>9645.9522533054969</v>
      </c>
      <c r="V9" s="74">
        <f t="shared" ref="V9:V14" si="37">U9*$V$6</f>
        <v>144.68928379958246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5912.2100879999998</v>
      </c>
      <c r="AE9" s="76">
        <f t="shared" ref="AE9:AE57" si="43">((((F9+G9)*2)/305)*I9*$AE$7)</f>
        <v>507.37704918032784</v>
      </c>
      <c r="AF9" s="346">
        <f t="shared" ref="AF9:AF57" si="44">(((((F9*4)+(G9*4))/1000)*$AF$6*$AG$6)/300)*I9*$AF$7</f>
        <v>519.96</v>
      </c>
      <c r="AG9" s="347"/>
      <c r="AH9" s="76">
        <f t="shared" ref="AH9:AH72" si="45">(((F9+G9))*I9/1000)*8*$AH$7</f>
        <v>18.57</v>
      </c>
      <c r="AI9" s="76">
        <f t="shared" si="15"/>
        <v>61.900000000000006</v>
      </c>
      <c r="AJ9" s="76">
        <f>J9*Pricing!Q5</f>
        <v>877.6067882399999</v>
      </c>
      <c r="AK9" s="76">
        <f>J9*Pricing!R5</f>
        <v>0</v>
      </c>
      <c r="AL9" s="76">
        <f t="shared" si="16"/>
        <v>2507.4479663999996</v>
      </c>
      <c r="AM9" s="77">
        <f t="shared" si="17"/>
        <v>0</v>
      </c>
      <c r="AN9" s="76">
        <f t="shared" si="18"/>
        <v>2005.9583731199998</v>
      </c>
      <c r="AO9" s="72">
        <f t="shared" si="19"/>
        <v>10898.448586285405</v>
      </c>
      <c r="AP9" s="74">
        <f t="shared" si="20"/>
        <v>27246.121465713513</v>
      </c>
      <c r="AQ9" s="74">
        <f t="shared" ref="AQ9:AQ14" si="46">(AO9+AP9)*$AQ$6</f>
        <v>0</v>
      </c>
      <c r="AR9" s="74">
        <f t="shared" si="22"/>
        <v>16374.742668307772</v>
      </c>
      <c r="AS9" s="72">
        <f t="shared" si="23"/>
        <v>49447.79326775892</v>
      </c>
      <c r="AT9" s="72">
        <f t="shared" si="24"/>
        <v>21227.002668307774</v>
      </c>
      <c r="AU9" s="78">
        <f t="shared" ref="AU9:AU14" si="47">AT9/10.764</f>
        <v>1972.0366655804326</v>
      </c>
      <c r="AV9" s="79">
        <f t="shared" si="26"/>
        <v>1.5836192409048433E-2</v>
      </c>
      <c r="AW9" s="80">
        <f t="shared" si="27"/>
        <v>390.46240114652215</v>
      </c>
      <c r="AX9" s="81">
        <f t="shared" si="28"/>
        <v>1581.5742644339105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SW1</v>
      </c>
      <c r="E10" s="132" t="str">
        <f>Pricing!N6</f>
        <v>20MM</v>
      </c>
      <c r="F10" s="68">
        <f>Pricing!G6</f>
        <v>3743</v>
      </c>
      <c r="G10" s="68">
        <f>Pricing!H6</f>
        <v>1295</v>
      </c>
      <c r="H10" s="100">
        <f t="shared" si="0"/>
        <v>4.8471849999999996</v>
      </c>
      <c r="I10" s="70">
        <f>Pricing!I6</f>
        <v>1</v>
      </c>
      <c r="J10" s="69">
        <f t="shared" si="30"/>
        <v>4.8471849999999996</v>
      </c>
      <c r="K10" s="71">
        <f t="shared" si="31"/>
        <v>52.175099339999996</v>
      </c>
      <c r="L10" s="69"/>
      <c r="M10" s="72"/>
      <c r="N10" s="72"/>
      <c r="O10" s="72">
        <f t="shared" si="3"/>
        <v>0</v>
      </c>
      <c r="P10" s="73">
        <f>Pricing!M6</f>
        <v>12553.75</v>
      </c>
      <c r="Q10" s="74">
        <f t="shared" si="32"/>
        <v>1255.375</v>
      </c>
      <c r="R10" s="74">
        <f t="shared" si="33"/>
        <v>1519.0037500000001</v>
      </c>
      <c r="S10" s="74">
        <f t="shared" si="34"/>
        <v>76.640643749999995</v>
      </c>
      <c r="T10" s="74">
        <f t="shared" si="35"/>
        <v>154.04769393750001</v>
      </c>
      <c r="U10" s="72">
        <f t="shared" si="36"/>
        <v>15558.817087687501</v>
      </c>
      <c r="V10" s="74">
        <f t="shared" si="37"/>
        <v>233.3822563153125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12302.155529999998</v>
      </c>
      <c r="AE10" s="76">
        <f t="shared" si="43"/>
        <v>825.90163934426232</v>
      </c>
      <c r="AF10" s="346">
        <f t="shared" si="44"/>
        <v>846.38400000000001</v>
      </c>
      <c r="AG10" s="347"/>
      <c r="AH10" s="76">
        <f t="shared" si="45"/>
        <v>30.228000000000002</v>
      </c>
      <c r="AI10" s="76">
        <f t="shared" si="15"/>
        <v>100.76</v>
      </c>
      <c r="AJ10" s="76">
        <f>J10*Pricing!Q6</f>
        <v>1826.1284768999997</v>
      </c>
      <c r="AK10" s="76">
        <f>J10*Pricing!R6</f>
        <v>0</v>
      </c>
      <c r="AL10" s="76">
        <f t="shared" si="16"/>
        <v>5217.5099339999988</v>
      </c>
      <c r="AM10" s="77">
        <f t="shared" si="17"/>
        <v>0</v>
      </c>
      <c r="AN10" s="76">
        <f t="shared" si="18"/>
        <v>4174.0079471999989</v>
      </c>
      <c r="AO10" s="72">
        <f t="shared" si="19"/>
        <v>17595.472983347077</v>
      </c>
      <c r="AP10" s="74">
        <f t="shared" si="20"/>
        <v>43988.682458367693</v>
      </c>
      <c r="AQ10" s="74">
        <f t="shared" si="46"/>
        <v>0</v>
      </c>
      <c r="AR10" s="74">
        <f t="shared" si="22"/>
        <v>12705.138228005488</v>
      </c>
      <c r="AS10" s="72">
        <f t="shared" si="23"/>
        <v>85103.957329814773</v>
      </c>
      <c r="AT10" s="72">
        <f t="shared" si="24"/>
        <v>17557.398228005488</v>
      </c>
      <c r="AU10" s="78">
        <f t="shared" si="47"/>
        <v>1631.1220947608222</v>
      </c>
      <c r="AV10" s="79">
        <f t="shared" si="26"/>
        <v>3.2952026250647533E-2</v>
      </c>
      <c r="AW10" s="80">
        <f t="shared" si="27"/>
        <v>302.67693868856202</v>
      </c>
      <c r="AX10" s="81">
        <f t="shared" si="28"/>
        <v>1328.4451560722596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SW2</v>
      </c>
      <c r="E11" s="132" t="str">
        <f>Pricing!N7</f>
        <v>20MM</v>
      </c>
      <c r="F11" s="68">
        <f>Pricing!G7</f>
        <v>2443</v>
      </c>
      <c r="G11" s="68">
        <f>Pricing!H7</f>
        <v>1295</v>
      </c>
      <c r="H11" s="100">
        <f t="shared" si="0"/>
        <v>3.1636850000000001</v>
      </c>
      <c r="I11" s="70">
        <f>Pricing!I7</f>
        <v>1</v>
      </c>
      <c r="J11" s="69">
        <f t="shared" si="30"/>
        <v>3.1636850000000001</v>
      </c>
      <c r="K11" s="71">
        <f t="shared" si="31"/>
        <v>34.05390534</v>
      </c>
      <c r="L11" s="69"/>
      <c r="M11" s="72"/>
      <c r="N11" s="72"/>
      <c r="O11" s="72">
        <f t="shared" si="3"/>
        <v>0</v>
      </c>
      <c r="P11" s="73">
        <f>Pricing!M7</f>
        <v>8752.35</v>
      </c>
      <c r="Q11" s="74">
        <f t="shared" si="32"/>
        <v>875.23500000000013</v>
      </c>
      <c r="R11" s="74">
        <f t="shared" si="33"/>
        <v>1059.0343500000001</v>
      </c>
      <c r="S11" s="74">
        <f t="shared" si="34"/>
        <v>53.433096750000004</v>
      </c>
      <c r="T11" s="74">
        <f t="shared" si="35"/>
        <v>107.40052446750001</v>
      </c>
      <c r="U11" s="72">
        <f t="shared" si="36"/>
        <v>10847.452971217501</v>
      </c>
      <c r="V11" s="74">
        <f t="shared" si="37"/>
        <v>162.71179456826252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8029.43253</v>
      </c>
      <c r="AE11" s="76">
        <f t="shared" si="43"/>
        <v>612.78688524590166</v>
      </c>
      <c r="AF11" s="346">
        <f t="shared" si="44"/>
        <v>627.98400000000004</v>
      </c>
      <c r="AG11" s="347"/>
      <c r="AH11" s="76">
        <f t="shared" si="45"/>
        <v>22.428000000000001</v>
      </c>
      <c r="AI11" s="76">
        <f t="shared" si="15"/>
        <v>74.760000000000005</v>
      </c>
      <c r="AJ11" s="76">
        <f>J11*Pricing!Q7</f>
        <v>1191.8866868999999</v>
      </c>
      <c r="AK11" s="76">
        <f>J11*Pricing!R7</f>
        <v>0</v>
      </c>
      <c r="AL11" s="76">
        <f t="shared" si="16"/>
        <v>3405.3905339999997</v>
      </c>
      <c r="AM11" s="77">
        <f t="shared" si="17"/>
        <v>0</v>
      </c>
      <c r="AN11" s="76">
        <f t="shared" si="18"/>
        <v>2724.3124271999995</v>
      </c>
      <c r="AO11" s="72">
        <f t="shared" si="19"/>
        <v>12348.123651031665</v>
      </c>
      <c r="AP11" s="74">
        <f t="shared" si="20"/>
        <v>30870.309127579163</v>
      </c>
      <c r="AQ11" s="74">
        <f t="shared" si="46"/>
        <v>0</v>
      </c>
      <c r="AR11" s="74">
        <f t="shared" si="22"/>
        <v>13660.788851801246</v>
      </c>
      <c r="AS11" s="72">
        <f t="shared" si="23"/>
        <v>58569.454956710826</v>
      </c>
      <c r="AT11" s="72">
        <f t="shared" si="24"/>
        <v>18513.048851801246</v>
      </c>
      <c r="AU11" s="78">
        <f t="shared" si="47"/>
        <v>1719.9042039949134</v>
      </c>
      <c r="AV11" s="79">
        <f t="shared" si="26"/>
        <v>2.1507293649567709E-2</v>
      </c>
      <c r="AW11" s="80">
        <f t="shared" si="27"/>
        <v>323.31577408988483</v>
      </c>
      <c r="AX11" s="81">
        <f t="shared" si="28"/>
        <v>1396.5884299050285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</v>
      </c>
      <c r="D12" s="131" t="str">
        <f>Pricing!B8</f>
        <v>FG1</v>
      </c>
      <c r="E12" s="132" t="str">
        <f>Pricing!N8</f>
        <v>20MM</v>
      </c>
      <c r="F12" s="68">
        <f>Pricing!G8</f>
        <v>1527</v>
      </c>
      <c r="G12" s="68">
        <f>Pricing!H8</f>
        <v>1291</v>
      </c>
      <c r="H12" s="100">
        <f t="shared" si="0"/>
        <v>1.971357</v>
      </c>
      <c r="I12" s="70">
        <f>Pricing!I8</f>
        <v>1</v>
      </c>
      <c r="J12" s="69">
        <f t="shared" si="30"/>
        <v>1.971357</v>
      </c>
      <c r="K12" s="71">
        <f t="shared" si="31"/>
        <v>21.219686747999997</v>
      </c>
      <c r="L12" s="69"/>
      <c r="M12" s="72"/>
      <c r="N12" s="72"/>
      <c r="O12" s="72">
        <f t="shared" si="3"/>
        <v>0</v>
      </c>
      <c r="P12" s="73">
        <f>Pricing!M8</f>
        <v>2534.8199999999997</v>
      </c>
      <c r="Q12" s="74">
        <f t="shared" si="32"/>
        <v>253.48199999999997</v>
      </c>
      <c r="R12" s="74">
        <f t="shared" si="33"/>
        <v>306.71321999999998</v>
      </c>
      <c r="S12" s="74">
        <f t="shared" si="34"/>
        <v>15.475076099999999</v>
      </c>
      <c r="T12" s="74">
        <f t="shared" si="35"/>
        <v>31.104902960999997</v>
      </c>
      <c r="U12" s="72">
        <f t="shared" si="36"/>
        <v>3141.5951990609997</v>
      </c>
      <c r="V12" s="74">
        <f t="shared" si="37"/>
        <v>47.123927985914996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5003.3040659999997</v>
      </c>
      <c r="AE12" s="76">
        <f t="shared" si="43"/>
        <v>461.96721311475414</v>
      </c>
      <c r="AF12" s="346">
        <f t="shared" si="44"/>
        <v>473.42400000000004</v>
      </c>
      <c r="AG12" s="347"/>
      <c r="AH12" s="76">
        <f t="shared" si="45"/>
        <v>16.908000000000001</v>
      </c>
      <c r="AI12" s="76">
        <f t="shared" si="15"/>
        <v>56.36</v>
      </c>
      <c r="AJ12" s="76">
        <f>J12*Pricing!Q8</f>
        <v>0</v>
      </c>
      <c r="AK12" s="76">
        <f>J12*Pricing!R8</f>
        <v>0</v>
      </c>
      <c r="AL12" s="76">
        <f t="shared" si="16"/>
        <v>2121.9686747999999</v>
      </c>
      <c r="AM12" s="77">
        <f t="shared" si="17"/>
        <v>0</v>
      </c>
      <c r="AN12" s="76">
        <f t="shared" si="18"/>
        <v>1697.5749398399998</v>
      </c>
      <c r="AO12" s="72">
        <f t="shared" si="19"/>
        <v>4197.3783401616683</v>
      </c>
      <c r="AP12" s="74">
        <f t="shared" si="20"/>
        <v>10493.44585040417</v>
      </c>
      <c r="AQ12" s="74">
        <f t="shared" si="46"/>
        <v>0</v>
      </c>
      <c r="AR12" s="74">
        <f t="shared" si="22"/>
        <v>7452.1378880465791</v>
      </c>
      <c r="AS12" s="72">
        <f t="shared" si="23"/>
        <v>23513.671871205839</v>
      </c>
      <c r="AT12" s="72">
        <f t="shared" si="24"/>
        <v>11927.657888046579</v>
      </c>
      <c r="AU12" s="78">
        <f t="shared" si="47"/>
        <v>1108.1064555970438</v>
      </c>
      <c r="AV12" s="79">
        <f t="shared" si="26"/>
        <v>1.3401635715038268E-2</v>
      </c>
      <c r="AW12" s="80">
        <f t="shared" si="27"/>
        <v>150.27173421150803</v>
      </c>
      <c r="AX12" s="81">
        <f t="shared" si="28"/>
        <v>957.83472138553577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FG2</v>
      </c>
      <c r="E13" s="132" t="str">
        <f>Pricing!N9</f>
        <v>20MM</v>
      </c>
      <c r="F13" s="68">
        <f>Pricing!G9</f>
        <v>1561</v>
      </c>
      <c r="G13" s="68">
        <f>Pricing!H9</f>
        <v>1328</v>
      </c>
      <c r="H13" s="100">
        <f t="shared" si="0"/>
        <v>2.0730080000000002</v>
      </c>
      <c r="I13" s="70">
        <f>Pricing!I9</f>
        <v>1</v>
      </c>
      <c r="J13" s="69">
        <f t="shared" si="30"/>
        <v>2.0730080000000002</v>
      </c>
      <c r="K13" s="71">
        <f t="shared" si="31"/>
        <v>22.313858112000002</v>
      </c>
      <c r="L13" s="69"/>
      <c r="M13" s="72"/>
      <c r="N13" s="72"/>
      <c r="O13" s="72">
        <f t="shared" si="3"/>
        <v>0</v>
      </c>
      <c r="P13" s="73">
        <f>Pricing!M9</f>
        <v>2596.2400000000002</v>
      </c>
      <c r="Q13" s="74">
        <f t="shared" si="32"/>
        <v>259.62400000000002</v>
      </c>
      <c r="R13" s="74">
        <f t="shared" si="33"/>
        <v>314.14504000000005</v>
      </c>
      <c r="S13" s="74">
        <f t="shared" si="34"/>
        <v>15.850045200000002</v>
      </c>
      <c r="T13" s="74">
        <f t="shared" si="35"/>
        <v>31.858590852000003</v>
      </c>
      <c r="U13" s="72">
        <f t="shared" si="36"/>
        <v>3217.7176760520001</v>
      </c>
      <c r="V13" s="74">
        <f t="shared" si="37"/>
        <v>48.265765140779997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5261.2943040000009</v>
      </c>
      <c r="AE13" s="76">
        <f t="shared" si="43"/>
        <v>473.60655737704917</v>
      </c>
      <c r="AF13" s="346">
        <f t="shared" si="44"/>
        <v>485.35199999999998</v>
      </c>
      <c r="AG13" s="347"/>
      <c r="AH13" s="76">
        <f t="shared" si="45"/>
        <v>17.334</v>
      </c>
      <c r="AI13" s="76">
        <f t="shared" si="15"/>
        <v>57.779999999999994</v>
      </c>
      <c r="AJ13" s="76">
        <f>J13*Pricing!Q9</f>
        <v>0</v>
      </c>
      <c r="AK13" s="76">
        <f>J13*Pricing!R9</f>
        <v>0</v>
      </c>
      <c r="AL13" s="76">
        <f t="shared" si="16"/>
        <v>2231.3858111999998</v>
      </c>
      <c r="AM13" s="77">
        <f t="shared" si="17"/>
        <v>0</v>
      </c>
      <c r="AN13" s="76">
        <f t="shared" si="18"/>
        <v>1785.10864896</v>
      </c>
      <c r="AO13" s="72">
        <f t="shared" si="19"/>
        <v>4300.0559985698292</v>
      </c>
      <c r="AP13" s="74">
        <f t="shared" si="20"/>
        <v>10750.139996424572</v>
      </c>
      <c r="AQ13" s="74">
        <f t="shared" si="46"/>
        <v>0</v>
      </c>
      <c r="AR13" s="74">
        <f t="shared" si="22"/>
        <v>7260.0761767414306</v>
      </c>
      <c r="AS13" s="72">
        <f t="shared" si="23"/>
        <v>24327.984759154402</v>
      </c>
      <c r="AT13" s="72">
        <f t="shared" si="24"/>
        <v>11735.59617674143</v>
      </c>
      <c r="AU13" s="78">
        <f t="shared" si="47"/>
        <v>1090.2634872483677</v>
      </c>
      <c r="AV13" s="79">
        <f t="shared" si="26"/>
        <v>1.4092677303177484E-2</v>
      </c>
      <c r="AW13" s="80">
        <f t="shared" si="27"/>
        <v>146.36569905570886</v>
      </c>
      <c r="AX13" s="81">
        <f t="shared" si="28"/>
        <v>943.89778819265894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FG3</v>
      </c>
      <c r="E14" s="132" t="str">
        <f>Pricing!N10</f>
        <v>20MM</v>
      </c>
      <c r="F14" s="68">
        <f>Pricing!G10</f>
        <v>1565</v>
      </c>
      <c r="G14" s="68">
        <f>Pricing!H10</f>
        <v>1340</v>
      </c>
      <c r="H14" s="100">
        <f t="shared" si="0"/>
        <v>2.0971000000000002</v>
      </c>
      <c r="I14" s="70">
        <f>Pricing!I10</f>
        <v>1</v>
      </c>
      <c r="J14" s="69">
        <f t="shared" si="30"/>
        <v>2.0971000000000002</v>
      </c>
      <c r="K14" s="71">
        <f t="shared" si="31"/>
        <v>22.573184400000002</v>
      </c>
      <c r="L14" s="69"/>
      <c r="M14" s="72"/>
      <c r="N14" s="72"/>
      <c r="O14" s="72">
        <f t="shared" si="3"/>
        <v>0</v>
      </c>
      <c r="P14" s="73">
        <f>Pricing!M10</f>
        <v>2610.35</v>
      </c>
      <c r="Q14" s="74">
        <f t="shared" si="32"/>
        <v>261.03500000000003</v>
      </c>
      <c r="R14" s="74">
        <f t="shared" si="33"/>
        <v>315.85235</v>
      </c>
      <c r="S14" s="74">
        <f t="shared" si="34"/>
        <v>15.936186749999999</v>
      </c>
      <c r="T14" s="74">
        <f t="shared" si="35"/>
        <v>32.031735367499998</v>
      </c>
      <c r="U14" s="72">
        <f t="shared" si="36"/>
        <v>3235.2052721175</v>
      </c>
      <c r="V14" s="74">
        <f t="shared" si="37"/>
        <v>48.528079081762499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5322.4398000000001</v>
      </c>
      <c r="AE14" s="76">
        <f t="shared" si="43"/>
        <v>476.22950819672133</v>
      </c>
      <c r="AF14" s="346">
        <f t="shared" si="44"/>
        <v>488.04</v>
      </c>
      <c r="AG14" s="347"/>
      <c r="AH14" s="76">
        <f t="shared" si="45"/>
        <v>17.43</v>
      </c>
      <c r="AI14" s="76">
        <f t="shared" si="15"/>
        <v>58.099999999999994</v>
      </c>
      <c r="AJ14" s="76">
        <f>J14*Pricing!Q10</f>
        <v>0</v>
      </c>
      <c r="AK14" s="76">
        <f>J14*Pricing!R10</f>
        <v>0</v>
      </c>
      <c r="AL14" s="76">
        <f t="shared" si="16"/>
        <v>2257.31844</v>
      </c>
      <c r="AM14" s="77">
        <f t="shared" si="17"/>
        <v>0</v>
      </c>
      <c r="AN14" s="76">
        <f t="shared" si="18"/>
        <v>1805.854752</v>
      </c>
      <c r="AO14" s="72">
        <f t="shared" si="19"/>
        <v>4323.5328593959839</v>
      </c>
      <c r="AP14" s="74">
        <f t="shared" si="20"/>
        <v>10808.832148489961</v>
      </c>
      <c r="AQ14" s="74">
        <f t="shared" si="46"/>
        <v>0</v>
      </c>
      <c r="AR14" s="74">
        <f t="shared" si="22"/>
        <v>7215.8528481645808</v>
      </c>
      <c r="AS14" s="72">
        <f t="shared" si="23"/>
        <v>24517.977999885945</v>
      </c>
      <c r="AT14" s="72">
        <f t="shared" si="24"/>
        <v>11691.372848164581</v>
      </c>
      <c r="AU14" s="78">
        <f t="shared" si="47"/>
        <v>1086.1550397774602</v>
      </c>
      <c r="AV14" s="79">
        <f t="shared" si="26"/>
        <v>1.4256459006667367E-2</v>
      </c>
      <c r="AW14" s="80">
        <f t="shared" si="27"/>
        <v>145.47054119662718</v>
      </c>
      <c r="AX14" s="81">
        <f t="shared" si="28"/>
        <v>940.68449858083295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FG4</v>
      </c>
      <c r="E15" s="132" t="str">
        <f>Pricing!N11</f>
        <v>20MM</v>
      </c>
      <c r="F15" s="68">
        <f>Pricing!G11</f>
        <v>1560</v>
      </c>
      <c r="G15" s="68">
        <f>Pricing!H11</f>
        <v>1334</v>
      </c>
      <c r="H15" s="100">
        <f t="shared" si="0"/>
        <v>2.0810399999999998</v>
      </c>
      <c r="I15" s="70">
        <f>Pricing!I11</f>
        <v>1</v>
      </c>
      <c r="J15" s="69">
        <f t="shared" si="30"/>
        <v>2.0810399999999998</v>
      </c>
      <c r="K15" s="71">
        <f t="shared" si="31"/>
        <v>22.400314559999995</v>
      </c>
      <c r="L15" s="69"/>
      <c r="M15" s="72"/>
      <c r="N15" s="72"/>
      <c r="O15" s="72">
        <f t="shared" si="3"/>
        <v>0</v>
      </c>
      <c r="P15" s="73">
        <f>Pricing!M11</f>
        <v>2601.2199999999998</v>
      </c>
      <c r="Q15" s="74">
        <f t="shared" si="4"/>
        <v>260.12200000000001</v>
      </c>
      <c r="R15" s="74">
        <f t="shared" si="5"/>
        <v>314.74761999999998</v>
      </c>
      <c r="S15" s="74">
        <f t="shared" si="6"/>
        <v>15.880448099999999</v>
      </c>
      <c r="T15" s="74">
        <f t="shared" si="7"/>
        <v>31.919700680999998</v>
      </c>
      <c r="U15" s="72">
        <f t="shared" si="8"/>
        <v>3223.8897687809999</v>
      </c>
      <c r="V15" s="74">
        <f t="shared" si="9"/>
        <v>48.358346531715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5281.6795199999997</v>
      </c>
      <c r="AE15" s="76">
        <f t="shared" si="43"/>
        <v>474.42622950819668</v>
      </c>
      <c r="AF15" s="346">
        <f t="shared" si="44"/>
        <v>486.19199999999995</v>
      </c>
      <c r="AG15" s="347"/>
      <c r="AH15" s="76">
        <f t="shared" si="45"/>
        <v>17.364000000000001</v>
      </c>
      <c r="AI15" s="76">
        <f t="shared" ref="AI15:AI20" si="49">(((F15+G15)*2*I15)/1000)*2*$AI$7</f>
        <v>57.88</v>
      </c>
      <c r="AJ15" s="76">
        <f>J15*Pricing!Q11</f>
        <v>0</v>
      </c>
      <c r="AK15" s="76">
        <f>J15*Pricing!R11</f>
        <v>0</v>
      </c>
      <c r="AL15" s="76">
        <f t="shared" si="16"/>
        <v>2240.0314559999993</v>
      </c>
      <c r="AM15" s="77">
        <f t="shared" si="17"/>
        <v>0</v>
      </c>
      <c r="AN15" s="76">
        <f t="shared" si="18"/>
        <v>1792.0251647999996</v>
      </c>
      <c r="AO15" s="72">
        <f t="shared" si="19"/>
        <v>4308.1103448209124</v>
      </c>
      <c r="AP15" s="74">
        <f t="shared" si="20"/>
        <v>10770.27586205228</v>
      </c>
      <c r="AQ15" s="74">
        <f t="shared" si="21"/>
        <v>0</v>
      </c>
      <c r="AR15" s="74">
        <f t="shared" si="22"/>
        <v>7245.6013372511788</v>
      </c>
      <c r="AS15" s="72">
        <f t="shared" si="23"/>
        <v>24392.12234767319</v>
      </c>
      <c r="AT15" s="72">
        <f t="shared" si="24"/>
        <v>11721.121337251179</v>
      </c>
      <c r="AU15" s="78">
        <f t="shared" si="25"/>
        <v>1088.9187418479357</v>
      </c>
      <c r="AV15" s="79">
        <f t="shared" si="26"/>
        <v>1.4147280268578059E-2</v>
      </c>
      <c r="AW15" s="80">
        <f t="shared" si="27"/>
        <v>146.08045376094557</v>
      </c>
      <c r="AX15" s="81">
        <f t="shared" si="28"/>
        <v>942.83828808699013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FG5</v>
      </c>
      <c r="E16" s="132" t="str">
        <f>Pricing!N12</f>
        <v>20MM</v>
      </c>
      <c r="F16" s="68">
        <f>Pricing!G12</f>
        <v>1556</v>
      </c>
      <c r="G16" s="68">
        <f>Pricing!H12</f>
        <v>1327</v>
      </c>
      <c r="H16" s="100">
        <f t="shared" si="0"/>
        <v>2.0648119999999999</v>
      </c>
      <c r="I16" s="70">
        <f>Pricing!I12</f>
        <v>1</v>
      </c>
      <c r="J16" s="69">
        <f t="shared" si="30"/>
        <v>2.0648119999999999</v>
      </c>
      <c r="K16" s="71">
        <f t="shared" si="31"/>
        <v>22.225636367999996</v>
      </c>
      <c r="L16" s="69"/>
      <c r="M16" s="72"/>
      <c r="N16" s="72"/>
      <c r="O16" s="72">
        <f t="shared" si="3"/>
        <v>0</v>
      </c>
      <c r="P16" s="73">
        <f>Pricing!M12</f>
        <v>2591.2599999999998</v>
      </c>
      <c r="Q16" s="74">
        <f t="shared" si="4"/>
        <v>259.12599999999998</v>
      </c>
      <c r="R16" s="74">
        <f t="shared" si="5"/>
        <v>313.54245999999995</v>
      </c>
      <c r="S16" s="74">
        <f t="shared" si="6"/>
        <v>15.819642299999998</v>
      </c>
      <c r="T16" s="74">
        <f t="shared" si="7"/>
        <v>31.797481022999996</v>
      </c>
      <c r="U16" s="72">
        <f t="shared" si="8"/>
        <v>3211.5455833229994</v>
      </c>
      <c r="V16" s="74">
        <f t="shared" si="9"/>
        <v>48.173183749844988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5240.4928559999998</v>
      </c>
      <c r="AE16" s="76">
        <f t="shared" si="43"/>
        <v>472.6229508196721</v>
      </c>
      <c r="AF16" s="346">
        <f t="shared" si="44"/>
        <v>484.34400000000005</v>
      </c>
      <c r="AG16" s="347"/>
      <c r="AH16" s="76">
        <f t="shared" si="45"/>
        <v>17.298000000000002</v>
      </c>
      <c r="AI16" s="76">
        <f t="shared" si="49"/>
        <v>57.66</v>
      </c>
      <c r="AJ16" s="76">
        <f>J16*Pricing!Q12</f>
        <v>0</v>
      </c>
      <c r="AK16" s="76">
        <f>J16*Pricing!R12</f>
        <v>0</v>
      </c>
      <c r="AL16" s="76">
        <f t="shared" si="16"/>
        <v>2222.5636367999996</v>
      </c>
      <c r="AM16" s="77">
        <f t="shared" si="17"/>
        <v>0</v>
      </c>
      <c r="AN16" s="76">
        <f t="shared" si="18"/>
        <v>1778.0509094399997</v>
      </c>
      <c r="AO16" s="72">
        <f t="shared" si="19"/>
        <v>4291.6437178925162</v>
      </c>
      <c r="AP16" s="74">
        <f t="shared" si="20"/>
        <v>10729.10929473129</v>
      </c>
      <c r="AQ16" s="74">
        <f t="shared" si="21"/>
        <v>0</v>
      </c>
      <c r="AR16" s="74">
        <f t="shared" si="22"/>
        <v>7274.6346944050138</v>
      </c>
      <c r="AS16" s="72">
        <f t="shared" si="23"/>
        <v>24261.860414863808</v>
      </c>
      <c r="AT16" s="72">
        <f t="shared" si="24"/>
        <v>11750.154694405015</v>
      </c>
      <c r="AU16" s="78">
        <f t="shared" si="25"/>
        <v>1091.6160065407855</v>
      </c>
      <c r="AV16" s="79">
        <f t="shared" si="26"/>
        <v>1.4036959436590935E-2</v>
      </c>
      <c r="AW16" s="80">
        <f t="shared" si="27"/>
        <v>146.66481144117515</v>
      </c>
      <c r="AX16" s="81">
        <f t="shared" si="28"/>
        <v>944.95119509961046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SW3</v>
      </c>
      <c r="E17" s="132" t="str">
        <f>Pricing!N13</f>
        <v>20MM</v>
      </c>
      <c r="F17" s="68">
        <f>Pricing!G13</f>
        <v>1377</v>
      </c>
      <c r="G17" s="68">
        <f>Pricing!H13</f>
        <v>904</v>
      </c>
      <c r="H17" s="100">
        <f t="shared" si="0"/>
        <v>1.2448079999999999</v>
      </c>
      <c r="I17" s="70">
        <f>Pricing!I13</f>
        <v>1</v>
      </c>
      <c r="J17" s="69">
        <f t="shared" si="30"/>
        <v>1.2448079999999999</v>
      </c>
      <c r="K17" s="71">
        <f t="shared" si="31"/>
        <v>13.399113311999999</v>
      </c>
      <c r="L17" s="69"/>
      <c r="M17" s="72"/>
      <c r="N17" s="72"/>
      <c r="O17" s="72">
        <f t="shared" si="3"/>
        <v>0</v>
      </c>
      <c r="P17" s="73">
        <f>Pricing!M13</f>
        <v>6153.62</v>
      </c>
      <c r="Q17" s="74">
        <f t="shared" si="4"/>
        <v>615.36200000000008</v>
      </c>
      <c r="R17" s="74">
        <f t="shared" si="5"/>
        <v>744.58802000000003</v>
      </c>
      <c r="S17" s="74">
        <f t="shared" si="6"/>
        <v>37.567850100000001</v>
      </c>
      <c r="T17" s="74">
        <f t="shared" si="7"/>
        <v>75.511378700999998</v>
      </c>
      <c r="U17" s="72">
        <f t="shared" si="8"/>
        <v>7626.6492488009999</v>
      </c>
      <c r="V17" s="74">
        <f t="shared" si="9"/>
        <v>114.399738732015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3159.3227039999997</v>
      </c>
      <c r="AE17" s="76">
        <f t="shared" si="43"/>
        <v>373.93442622950823</v>
      </c>
      <c r="AF17" s="346">
        <f t="shared" si="44"/>
        <v>383.20800000000003</v>
      </c>
      <c r="AG17" s="347"/>
      <c r="AH17" s="76">
        <f t="shared" si="45"/>
        <v>13.686</v>
      </c>
      <c r="AI17" s="76">
        <f t="shared" si="49"/>
        <v>45.620000000000005</v>
      </c>
      <c r="AJ17" s="76">
        <f>J17*Pricing!Q13</f>
        <v>468.9689659199999</v>
      </c>
      <c r="AK17" s="76">
        <f>J17*Pricing!R13</f>
        <v>0</v>
      </c>
      <c r="AL17" s="76">
        <f t="shared" si="16"/>
        <v>1339.9113311999997</v>
      </c>
      <c r="AM17" s="77">
        <f t="shared" si="17"/>
        <v>0</v>
      </c>
      <c r="AN17" s="76">
        <f t="shared" si="18"/>
        <v>1071.9290649599998</v>
      </c>
      <c r="AO17" s="72">
        <f t="shared" si="19"/>
        <v>8557.4974137625231</v>
      </c>
      <c r="AP17" s="74">
        <f t="shared" si="20"/>
        <v>21393.743534406309</v>
      </c>
      <c r="AQ17" s="74">
        <f t="shared" si="21"/>
        <v>0</v>
      </c>
      <c r="AR17" s="74">
        <f t="shared" si="22"/>
        <v>24060.93224671502</v>
      </c>
      <c r="AS17" s="72">
        <f t="shared" si="23"/>
        <v>35991.373014248828</v>
      </c>
      <c r="AT17" s="72">
        <f t="shared" si="24"/>
        <v>28913.192246715018</v>
      </c>
      <c r="AU17" s="78">
        <f t="shared" si="25"/>
        <v>2686.1011005866794</v>
      </c>
      <c r="AV17" s="79">
        <f t="shared" si="26"/>
        <v>8.4624263140391908E-3</v>
      </c>
      <c r="AW17" s="80">
        <f t="shared" si="27"/>
        <v>577.72845167301284</v>
      </c>
      <c r="AX17" s="81">
        <f t="shared" si="28"/>
        <v>2108.372648913667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Z LOUVERS</v>
      </c>
      <c r="D18" s="131" t="str">
        <f>Pricing!B14</f>
        <v>V</v>
      </c>
      <c r="E18" s="132" t="str">
        <f>Pricing!N14</f>
        <v>NA</v>
      </c>
      <c r="F18" s="68">
        <f>Pricing!G14</f>
        <v>653</v>
      </c>
      <c r="G18" s="68">
        <f>Pricing!H14</f>
        <v>590</v>
      </c>
      <c r="H18" s="100">
        <f t="shared" si="0"/>
        <v>0.38527</v>
      </c>
      <c r="I18" s="70">
        <f>Pricing!I14</f>
        <v>1</v>
      </c>
      <c r="J18" s="69">
        <f t="shared" si="30"/>
        <v>0.38527</v>
      </c>
      <c r="K18" s="71">
        <f t="shared" si="31"/>
        <v>4.1470462799999996</v>
      </c>
      <c r="L18" s="69"/>
      <c r="M18" s="72"/>
      <c r="N18" s="72"/>
      <c r="O18" s="72">
        <f t="shared" si="3"/>
        <v>0</v>
      </c>
      <c r="P18" s="73">
        <f>Pricing!M14</f>
        <v>2403.6800000000003</v>
      </c>
      <c r="Q18" s="74">
        <f t="shared" si="4"/>
        <v>240.36800000000005</v>
      </c>
      <c r="R18" s="74">
        <f t="shared" si="5"/>
        <v>290.84528</v>
      </c>
      <c r="S18" s="74">
        <f t="shared" si="6"/>
        <v>14.674466400000002</v>
      </c>
      <c r="T18" s="74">
        <f t="shared" si="7"/>
        <v>29.495677464</v>
      </c>
      <c r="U18" s="72">
        <f t="shared" si="8"/>
        <v>2979.063423864</v>
      </c>
      <c r="V18" s="74">
        <f t="shared" si="9"/>
        <v>44.685951357960001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203.77049180327867</v>
      </c>
      <c r="AF18" s="346">
        <f t="shared" si="44"/>
        <v>208.82400000000001</v>
      </c>
      <c r="AG18" s="347"/>
      <c r="AH18" s="76">
        <f t="shared" si="45"/>
        <v>7.4580000000000002</v>
      </c>
      <c r="AI18" s="76">
        <f t="shared" si="49"/>
        <v>24.860000000000003</v>
      </c>
      <c r="AJ18" s="76">
        <f>J18*Pricing!Q14</f>
        <v>0</v>
      </c>
      <c r="AK18" s="76">
        <f>J18*Pricing!R14</f>
        <v>0</v>
      </c>
      <c r="AL18" s="76">
        <f t="shared" si="16"/>
        <v>414.70462799999996</v>
      </c>
      <c r="AM18" s="77">
        <f t="shared" si="17"/>
        <v>0</v>
      </c>
      <c r="AN18" s="76">
        <f t="shared" si="18"/>
        <v>331.76370239999994</v>
      </c>
      <c r="AO18" s="72">
        <f t="shared" si="19"/>
        <v>3468.6618670252392</v>
      </c>
      <c r="AP18" s="74">
        <f t="shared" si="20"/>
        <v>8671.654667563098</v>
      </c>
      <c r="AQ18" s="74">
        <f t="shared" si="21"/>
        <v>0</v>
      </c>
      <c r="AR18" s="74">
        <f t="shared" si="22"/>
        <v>31511.190942944784</v>
      </c>
      <c r="AS18" s="72">
        <f t="shared" si="23"/>
        <v>12886.784864988338</v>
      </c>
      <c r="AT18" s="72">
        <f t="shared" si="24"/>
        <v>33448.710942944788</v>
      </c>
      <c r="AU18" s="78">
        <f t="shared" si="25"/>
        <v>3107.4610686496462</v>
      </c>
      <c r="AV18" s="79">
        <f t="shared" si="26"/>
        <v>2.6191340238895309E-3</v>
      </c>
      <c r="AW18" s="80">
        <f t="shared" si="27"/>
        <v>729.13326041347204</v>
      </c>
      <c r="AX18" s="81">
        <f t="shared" si="28"/>
        <v>2378.3278082361735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Z LOUVERS</v>
      </c>
      <c r="D19" s="131" t="str">
        <f>Pricing!B15</f>
        <v>V1</v>
      </c>
      <c r="E19" s="132" t="str">
        <f>Pricing!N15</f>
        <v>NA</v>
      </c>
      <c r="F19" s="68">
        <f>Pricing!G15</f>
        <v>573</v>
      </c>
      <c r="G19" s="68">
        <f>Pricing!H15</f>
        <v>563</v>
      </c>
      <c r="H19" s="100">
        <f t="shared" si="0"/>
        <v>0.32259900000000002</v>
      </c>
      <c r="I19" s="70">
        <f>Pricing!I15</f>
        <v>1</v>
      </c>
      <c r="J19" s="69">
        <f t="shared" si="30"/>
        <v>0.32259900000000002</v>
      </c>
      <c r="K19" s="71">
        <f t="shared" si="31"/>
        <v>3.4724556359999998</v>
      </c>
      <c r="L19" s="69"/>
      <c r="M19" s="72"/>
      <c r="N19" s="72"/>
      <c r="O19" s="72">
        <f t="shared" si="3"/>
        <v>0</v>
      </c>
      <c r="P19" s="73">
        <f>Pricing!M15</f>
        <v>2309.89</v>
      </c>
      <c r="Q19" s="74">
        <f t="shared" si="4"/>
        <v>230.989</v>
      </c>
      <c r="R19" s="74">
        <f t="shared" si="5"/>
        <v>279.49669</v>
      </c>
      <c r="S19" s="74">
        <f t="shared" si="6"/>
        <v>14.101878449999999</v>
      </c>
      <c r="T19" s="74">
        <f t="shared" si="7"/>
        <v>28.3447756845</v>
      </c>
      <c r="U19" s="72">
        <f t="shared" si="8"/>
        <v>2862.8223441344999</v>
      </c>
      <c r="V19" s="74">
        <f t="shared" si="9"/>
        <v>42.9423351620175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186.2295081967213</v>
      </c>
      <c r="AF19" s="346">
        <f t="shared" si="44"/>
        <v>190.84799999999996</v>
      </c>
      <c r="AG19" s="347"/>
      <c r="AH19" s="76">
        <f t="shared" si="45"/>
        <v>6.8159999999999989</v>
      </c>
      <c r="AI19" s="76">
        <f t="shared" si="49"/>
        <v>22.72</v>
      </c>
      <c r="AJ19" s="76">
        <f>J19*Pricing!Q15</f>
        <v>0</v>
      </c>
      <c r="AK19" s="76">
        <f>J19*Pricing!R15</f>
        <v>0</v>
      </c>
      <c r="AL19" s="76">
        <f t="shared" si="16"/>
        <v>347.24556359999997</v>
      </c>
      <c r="AM19" s="77">
        <f t="shared" si="17"/>
        <v>0</v>
      </c>
      <c r="AN19" s="76">
        <f t="shared" si="18"/>
        <v>277.79645088000001</v>
      </c>
      <c r="AO19" s="72">
        <f t="shared" si="19"/>
        <v>3312.3781874932388</v>
      </c>
      <c r="AP19" s="74">
        <f t="shared" si="20"/>
        <v>8280.9454687330963</v>
      </c>
      <c r="AQ19" s="74">
        <f t="shared" si="21"/>
        <v>0</v>
      </c>
      <c r="AR19" s="74">
        <f t="shared" si="22"/>
        <v>35937.258504292746</v>
      </c>
      <c r="AS19" s="72">
        <f t="shared" si="23"/>
        <v>12218.365670706335</v>
      </c>
      <c r="AT19" s="72">
        <f t="shared" si="24"/>
        <v>37874.778504292743</v>
      </c>
      <c r="AU19" s="78">
        <f t="shared" si="25"/>
        <v>3518.6527781765835</v>
      </c>
      <c r="AV19" s="79">
        <f t="shared" si="26"/>
        <v>2.1930854127566093E-3</v>
      </c>
      <c r="AW19" s="80">
        <f t="shared" si="27"/>
        <v>836.80397502320102</v>
      </c>
      <c r="AX19" s="81">
        <f t="shared" si="28"/>
        <v>2681.8488031533825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SW4</v>
      </c>
      <c r="E20" s="132" t="str">
        <f>Pricing!N16</f>
        <v>20MM</v>
      </c>
      <c r="F20" s="68">
        <f>Pricing!G16</f>
        <v>2477</v>
      </c>
      <c r="G20" s="68">
        <f>Pricing!H16</f>
        <v>1333</v>
      </c>
      <c r="H20" s="100">
        <f t="shared" si="0"/>
        <v>3.301841</v>
      </c>
      <c r="I20" s="70">
        <f>Pricing!I16</f>
        <v>1</v>
      </c>
      <c r="J20" s="69">
        <f t="shared" si="30"/>
        <v>3.301841</v>
      </c>
      <c r="K20" s="71">
        <f t="shared" si="31"/>
        <v>35.541016524</v>
      </c>
      <c r="L20" s="69"/>
      <c r="M20" s="72"/>
      <c r="N20" s="72"/>
      <c r="O20" s="72">
        <f t="shared" si="3"/>
        <v>0</v>
      </c>
      <c r="P20" s="73">
        <f>Pricing!M16</f>
        <v>8900.0899999999983</v>
      </c>
      <c r="Q20" s="74">
        <f t="shared" si="4"/>
        <v>890.0089999999999</v>
      </c>
      <c r="R20" s="74">
        <f t="shared" si="5"/>
        <v>1076.9108899999999</v>
      </c>
      <c r="S20" s="74">
        <f t="shared" si="6"/>
        <v>54.335049449999985</v>
      </c>
      <c r="T20" s="74">
        <f t="shared" si="7"/>
        <v>109.21344939449997</v>
      </c>
      <c r="U20" s="72">
        <f t="shared" si="8"/>
        <v>11030.558388844496</v>
      </c>
      <c r="V20" s="74">
        <f t="shared" si="9"/>
        <v>165.45837583266743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8380.0724580000006</v>
      </c>
      <c r="AE20" s="76">
        <f t="shared" si="43"/>
        <v>624.59016393442619</v>
      </c>
      <c r="AF20" s="346">
        <f t="shared" si="44"/>
        <v>640.08000000000004</v>
      </c>
      <c r="AG20" s="347"/>
      <c r="AH20" s="76">
        <f t="shared" si="45"/>
        <v>22.86</v>
      </c>
      <c r="AI20" s="76">
        <f t="shared" si="49"/>
        <v>76.2</v>
      </c>
      <c r="AJ20" s="76">
        <f>J20*Pricing!Q16</f>
        <v>1243.9355783399999</v>
      </c>
      <c r="AK20" s="76">
        <f>J20*Pricing!R16</f>
        <v>0</v>
      </c>
      <c r="AL20" s="76">
        <f t="shared" si="16"/>
        <v>3554.1016523999997</v>
      </c>
      <c r="AM20" s="77">
        <f t="shared" si="17"/>
        <v>0</v>
      </c>
      <c r="AN20" s="76">
        <f t="shared" si="18"/>
        <v>2843.2813219199998</v>
      </c>
      <c r="AO20" s="72">
        <f t="shared" si="19"/>
        <v>12559.74692861159</v>
      </c>
      <c r="AP20" s="74">
        <f t="shared" si="20"/>
        <v>31399.367321528975</v>
      </c>
      <c r="AQ20" s="74">
        <f t="shared" si="21"/>
        <v>0</v>
      </c>
      <c r="AR20" s="74">
        <f t="shared" si="22"/>
        <v>13313.516383781218</v>
      </c>
      <c r="AS20" s="72">
        <f t="shared" si="23"/>
        <v>59980.505260800564</v>
      </c>
      <c r="AT20" s="72">
        <f t="shared" si="24"/>
        <v>18165.77638378122</v>
      </c>
      <c r="AU20" s="78">
        <f t="shared" si="25"/>
        <v>1687.6418045133055</v>
      </c>
      <c r="AV20" s="79">
        <f t="shared" si="26"/>
        <v>2.2446502724254247E-2</v>
      </c>
      <c r="AW20" s="80">
        <f t="shared" si="27"/>
        <v>315.01678510283358</v>
      </c>
      <c r="AX20" s="81">
        <f t="shared" si="28"/>
        <v>1372.6250194104721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SW5</v>
      </c>
      <c r="E21" s="132" t="str">
        <f>Pricing!N17</f>
        <v>20MM</v>
      </c>
      <c r="F21" s="68">
        <f>Pricing!G17</f>
        <v>2477</v>
      </c>
      <c r="G21" s="68">
        <f>Pricing!H17</f>
        <v>1324</v>
      </c>
      <c r="H21" s="100">
        <f t="shared" si="0"/>
        <v>3.2795480000000001</v>
      </c>
      <c r="I21" s="70">
        <f>Pricing!I17</f>
        <v>1</v>
      </c>
      <c r="J21" s="69">
        <f t="shared" si="30"/>
        <v>3.2795480000000001</v>
      </c>
      <c r="K21" s="71">
        <f t="shared" si="31"/>
        <v>35.301054671999999</v>
      </c>
      <c r="L21" s="69"/>
      <c r="M21" s="72"/>
      <c r="N21" s="72"/>
      <c r="O21" s="72">
        <f t="shared" si="3"/>
        <v>0</v>
      </c>
      <c r="P21" s="73">
        <f>Pricing!M17</f>
        <v>8877.68</v>
      </c>
      <c r="Q21" s="74">
        <f t="shared" ref="Q21:Q26" si="50">P21*$Q$6</f>
        <v>887.76800000000003</v>
      </c>
      <c r="R21" s="74">
        <f t="shared" ref="R21:R26" si="51">(P21+Q21)*$R$6</f>
        <v>1074.19928</v>
      </c>
      <c r="S21" s="74">
        <f t="shared" ref="S21:S26" si="52">(P21+Q21+R21)*$S$6</f>
        <v>54.198236400000006</v>
      </c>
      <c r="T21" s="74">
        <f t="shared" ref="T21:T26" si="53">(P21+Q21+R21+S21)*$T$6</f>
        <v>108.938455164</v>
      </c>
      <c r="U21" s="72">
        <f t="shared" ref="U21:U26" si="54">SUM(P21:T21)</f>
        <v>11002.783971564</v>
      </c>
      <c r="V21" s="74">
        <f t="shared" ref="V21:V26" si="55">U21*$V$6</f>
        <v>165.04175957345998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8323.4928240000008</v>
      </c>
      <c r="AE21" s="76">
        <f t="shared" si="43"/>
        <v>623.11475409836066</v>
      </c>
      <c r="AF21" s="346">
        <f t="shared" si="44"/>
        <v>638.56799999999998</v>
      </c>
      <c r="AG21" s="347"/>
      <c r="AH21" s="76">
        <f t="shared" si="45"/>
        <v>22.806000000000001</v>
      </c>
      <c r="AI21" s="76">
        <f t="shared" si="15"/>
        <v>76.02000000000001</v>
      </c>
      <c r="AJ21" s="76">
        <f>J21*Pricing!Q17</f>
        <v>1235.5369135199999</v>
      </c>
      <c r="AK21" s="76">
        <f>J21*Pricing!R17</f>
        <v>0</v>
      </c>
      <c r="AL21" s="76">
        <f t="shared" si="16"/>
        <v>3530.1054671999996</v>
      </c>
      <c r="AM21" s="77">
        <f t="shared" si="17"/>
        <v>0</v>
      </c>
      <c r="AN21" s="76">
        <f t="shared" si="18"/>
        <v>2824.0843737599998</v>
      </c>
      <c r="AO21" s="72">
        <f t="shared" si="19"/>
        <v>12528.33448523582</v>
      </c>
      <c r="AP21" s="74">
        <f t="shared" si="20"/>
        <v>31320.836213089551</v>
      </c>
      <c r="AQ21" s="74">
        <f t="shared" ref="AQ21:AQ26" si="61">(AO21+AP21)*$AQ$6</f>
        <v>0</v>
      </c>
      <c r="AR21" s="74">
        <f t="shared" si="22"/>
        <v>13370.492122184327</v>
      </c>
      <c r="AS21" s="72">
        <f t="shared" si="23"/>
        <v>59762.390276805367</v>
      </c>
      <c r="AT21" s="72">
        <f t="shared" si="24"/>
        <v>18222.752122184327</v>
      </c>
      <c r="AU21" s="78">
        <f t="shared" ref="AU21:AU26" si="62">AT21/10.764</f>
        <v>1692.9349797644304</v>
      </c>
      <c r="AV21" s="79">
        <f t="shared" si="26"/>
        <v>2.2294950942920198E-2</v>
      </c>
      <c r="AW21" s="80">
        <f t="shared" si="27"/>
        <v>316.35954888326688</v>
      </c>
      <c r="AX21" s="81">
        <f t="shared" si="28"/>
        <v>1376.5754308811636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SW6</v>
      </c>
      <c r="E22" s="132" t="str">
        <f>Pricing!N18</f>
        <v>20MM</v>
      </c>
      <c r="F22" s="68">
        <f>Pricing!G18</f>
        <v>1861</v>
      </c>
      <c r="G22" s="68">
        <f>Pricing!H18</f>
        <v>1333</v>
      </c>
      <c r="H22" s="100">
        <f t="shared" si="0"/>
        <v>2.4807130000000002</v>
      </c>
      <c r="I22" s="70">
        <f>Pricing!I18</f>
        <v>1</v>
      </c>
      <c r="J22" s="69">
        <f t="shared" si="30"/>
        <v>2.4807130000000002</v>
      </c>
      <c r="K22" s="71">
        <f t="shared" si="31"/>
        <v>26.702394732000002</v>
      </c>
      <c r="L22" s="69"/>
      <c r="M22" s="72"/>
      <c r="N22" s="72"/>
      <c r="O22" s="72">
        <f t="shared" si="3"/>
        <v>0</v>
      </c>
      <c r="P22" s="73">
        <f>Pricing!M18</f>
        <v>7974.6399999999994</v>
      </c>
      <c r="Q22" s="74">
        <f t="shared" si="50"/>
        <v>797.46399999999994</v>
      </c>
      <c r="R22" s="74">
        <f t="shared" si="51"/>
        <v>964.93143999999995</v>
      </c>
      <c r="S22" s="74">
        <f t="shared" si="52"/>
        <v>48.685177199999998</v>
      </c>
      <c r="T22" s="74">
        <f t="shared" si="53"/>
        <v>97.857206172000005</v>
      </c>
      <c r="U22" s="72">
        <f t="shared" si="54"/>
        <v>9883.5778233720011</v>
      </c>
      <c r="V22" s="74">
        <f t="shared" si="55"/>
        <v>148.25366735058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6296.0495940000001</v>
      </c>
      <c r="AE22" s="76">
        <f t="shared" si="43"/>
        <v>523.60655737704917</v>
      </c>
      <c r="AF22" s="346">
        <f t="shared" si="44"/>
        <v>536.59199999999998</v>
      </c>
      <c r="AG22" s="347"/>
      <c r="AH22" s="76">
        <f t="shared" si="45"/>
        <v>19.164000000000001</v>
      </c>
      <c r="AI22" s="76">
        <f t="shared" si="15"/>
        <v>63.879999999999995</v>
      </c>
      <c r="AJ22" s="76">
        <f>J22*Pricing!Q18</f>
        <v>934.58381562</v>
      </c>
      <c r="AK22" s="76">
        <f>J22*Pricing!R18</f>
        <v>0</v>
      </c>
      <c r="AL22" s="76">
        <f t="shared" si="16"/>
        <v>2670.2394731999998</v>
      </c>
      <c r="AM22" s="77">
        <f t="shared" si="17"/>
        <v>0</v>
      </c>
      <c r="AN22" s="76">
        <f t="shared" si="18"/>
        <v>2136.1915785599999</v>
      </c>
      <c r="AO22" s="72">
        <f t="shared" si="19"/>
        <v>11175.074048099628</v>
      </c>
      <c r="AP22" s="74">
        <f t="shared" si="20"/>
        <v>27937.685120249072</v>
      </c>
      <c r="AQ22" s="74">
        <f t="shared" si="61"/>
        <v>0</v>
      </c>
      <c r="AR22" s="74">
        <f t="shared" si="22"/>
        <v>15766.740920190565</v>
      </c>
      <c r="AS22" s="72">
        <f t="shared" si="23"/>
        <v>51149.823629728693</v>
      </c>
      <c r="AT22" s="72">
        <f t="shared" si="24"/>
        <v>20619.000920190563</v>
      </c>
      <c r="AU22" s="78">
        <f t="shared" si="62"/>
        <v>1915.5519249526724</v>
      </c>
      <c r="AV22" s="79">
        <f t="shared" si="26"/>
        <v>1.6864328449671843E-2</v>
      </c>
      <c r="AW22" s="80">
        <f t="shared" si="27"/>
        <v>375.69033007741774</v>
      </c>
      <c r="AX22" s="81">
        <f t="shared" si="28"/>
        <v>1539.8615948752547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</v>
      </c>
      <c r="D23" s="131" t="str">
        <f>Pricing!B19</f>
        <v>SW7</v>
      </c>
      <c r="E23" s="132" t="str">
        <f>Pricing!N19</f>
        <v>20MM</v>
      </c>
      <c r="F23" s="68">
        <f>Pricing!G19</f>
        <v>917</v>
      </c>
      <c r="G23" s="68">
        <f>Pricing!H19</f>
        <v>1299</v>
      </c>
      <c r="H23" s="100">
        <f t="shared" si="0"/>
        <v>1.1911830000000001</v>
      </c>
      <c r="I23" s="70">
        <f>Pricing!I19</f>
        <v>1</v>
      </c>
      <c r="J23" s="69">
        <f t="shared" si="30"/>
        <v>1.1911830000000001</v>
      </c>
      <c r="K23" s="71">
        <f t="shared" si="31"/>
        <v>12.821893812000001</v>
      </c>
      <c r="L23" s="69"/>
      <c r="M23" s="72"/>
      <c r="N23" s="72"/>
      <c r="O23" s="72">
        <f t="shared" si="3"/>
        <v>0</v>
      </c>
      <c r="P23" s="73">
        <f>Pricing!M19</f>
        <v>6468.1900000000005</v>
      </c>
      <c r="Q23" s="74">
        <f t="shared" si="50"/>
        <v>646.81900000000007</v>
      </c>
      <c r="R23" s="74">
        <f t="shared" si="51"/>
        <v>782.65099000000009</v>
      </c>
      <c r="S23" s="74">
        <f t="shared" si="52"/>
        <v>39.488299950000005</v>
      </c>
      <c r="T23" s="74">
        <f t="shared" si="53"/>
        <v>79.371482899500009</v>
      </c>
      <c r="U23" s="72">
        <f t="shared" si="54"/>
        <v>8016.5197728495004</v>
      </c>
      <c r="V23" s="74">
        <f t="shared" si="55"/>
        <v>120.2477965927425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3023.2224540000002</v>
      </c>
      <c r="AE23" s="76">
        <f t="shared" si="43"/>
        <v>363.27868852459017</v>
      </c>
      <c r="AF23" s="346">
        <f t="shared" si="44"/>
        <v>372.28800000000007</v>
      </c>
      <c r="AG23" s="347"/>
      <c r="AH23" s="76">
        <f t="shared" si="45"/>
        <v>13.296000000000001</v>
      </c>
      <c r="AI23" s="76">
        <f t="shared" si="15"/>
        <v>44.320000000000007</v>
      </c>
      <c r="AJ23" s="76">
        <f>J23*Pricing!Q19</f>
        <v>448.76628341999998</v>
      </c>
      <c r="AK23" s="76">
        <f>J23*Pricing!R19</f>
        <v>0</v>
      </c>
      <c r="AL23" s="76">
        <f t="shared" si="16"/>
        <v>1282.1893811999998</v>
      </c>
      <c r="AM23" s="77">
        <f t="shared" si="17"/>
        <v>0</v>
      </c>
      <c r="AN23" s="76">
        <f t="shared" si="18"/>
        <v>1025.7515049599999</v>
      </c>
      <c r="AO23" s="72">
        <f t="shared" si="19"/>
        <v>8929.9502579668333</v>
      </c>
      <c r="AP23" s="74">
        <f t="shared" si="20"/>
        <v>22324.875644917083</v>
      </c>
      <c r="AQ23" s="74">
        <f t="shared" si="61"/>
        <v>0</v>
      </c>
      <c r="AR23" s="74">
        <f t="shared" si="22"/>
        <v>26238.475450777853</v>
      </c>
      <c r="AS23" s="72">
        <f t="shared" si="23"/>
        <v>37034.755526463923</v>
      </c>
      <c r="AT23" s="72">
        <f t="shared" si="24"/>
        <v>31090.735450777858</v>
      </c>
      <c r="AU23" s="78">
        <f t="shared" si="62"/>
        <v>2888.3998003323914</v>
      </c>
      <c r="AV23" s="79">
        <f t="shared" si="26"/>
        <v>8.0978740207615536E-3</v>
      </c>
      <c r="AW23" s="80">
        <f t="shared" si="27"/>
        <v>634.59951304752258</v>
      </c>
      <c r="AX23" s="81">
        <f t="shared" si="28"/>
        <v>2253.8002872848679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Z LOUVERS</v>
      </c>
      <c r="D24" s="131" t="str">
        <f>Pricing!B20</f>
        <v>V2</v>
      </c>
      <c r="E24" s="132" t="str">
        <f>Pricing!N20</f>
        <v>NA</v>
      </c>
      <c r="F24" s="68">
        <f>Pricing!G20</f>
        <v>571</v>
      </c>
      <c r="G24" s="68">
        <f>Pricing!H20</f>
        <v>561</v>
      </c>
      <c r="H24" s="100">
        <f t="shared" si="0"/>
        <v>0.32033099999999998</v>
      </c>
      <c r="I24" s="70">
        <f>Pricing!I20</f>
        <v>1</v>
      </c>
      <c r="J24" s="69">
        <f t="shared" si="30"/>
        <v>0.32033099999999998</v>
      </c>
      <c r="K24" s="71">
        <f t="shared" si="31"/>
        <v>3.4480428839999995</v>
      </c>
      <c r="L24" s="69"/>
      <c r="M24" s="72"/>
      <c r="N24" s="72"/>
      <c r="O24" s="72">
        <f t="shared" si="3"/>
        <v>0</v>
      </c>
      <c r="P24" s="73">
        <f>Pricing!M20</f>
        <v>2306.5699999999997</v>
      </c>
      <c r="Q24" s="74">
        <f t="shared" si="50"/>
        <v>230.65699999999998</v>
      </c>
      <c r="R24" s="74">
        <f t="shared" si="51"/>
        <v>279.09496999999999</v>
      </c>
      <c r="S24" s="74">
        <f t="shared" si="52"/>
        <v>14.08160985</v>
      </c>
      <c r="T24" s="74">
        <f t="shared" si="53"/>
        <v>28.304035798499999</v>
      </c>
      <c r="U24" s="72">
        <f t="shared" si="54"/>
        <v>2858.7076156485</v>
      </c>
      <c r="V24" s="74">
        <f t="shared" si="55"/>
        <v>42.880614234727496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185.57377049180329</v>
      </c>
      <c r="AF24" s="346">
        <f t="shared" si="44"/>
        <v>190.17599999999999</v>
      </c>
      <c r="AG24" s="347"/>
      <c r="AH24" s="76">
        <f t="shared" si="45"/>
        <v>6.7919999999999998</v>
      </c>
      <c r="AI24" s="76">
        <f t="shared" si="15"/>
        <v>22.639999999999997</v>
      </c>
      <c r="AJ24" s="76">
        <f>J24*Pricing!Q20</f>
        <v>0</v>
      </c>
      <c r="AK24" s="76">
        <f>J24*Pricing!R20</f>
        <v>0</v>
      </c>
      <c r="AL24" s="76">
        <f t="shared" si="16"/>
        <v>344.8042883999999</v>
      </c>
      <c r="AM24" s="77">
        <f t="shared" si="17"/>
        <v>0</v>
      </c>
      <c r="AN24" s="76">
        <f t="shared" si="18"/>
        <v>275.84343071999996</v>
      </c>
      <c r="AO24" s="72">
        <f t="shared" si="19"/>
        <v>3306.7700003750306</v>
      </c>
      <c r="AP24" s="74">
        <f t="shared" si="20"/>
        <v>8266.9250009375755</v>
      </c>
      <c r="AQ24" s="74">
        <f t="shared" si="61"/>
        <v>0</v>
      </c>
      <c r="AR24" s="74">
        <f t="shared" si="22"/>
        <v>36130.424471289407</v>
      </c>
      <c r="AS24" s="72">
        <f t="shared" si="23"/>
        <v>12194.342720432607</v>
      </c>
      <c r="AT24" s="72">
        <f t="shared" si="24"/>
        <v>38067.944471289411</v>
      </c>
      <c r="AU24" s="78">
        <f t="shared" si="62"/>
        <v>3536.5983343821454</v>
      </c>
      <c r="AV24" s="79">
        <f t="shared" si="26"/>
        <v>2.1776671451360272E-3</v>
      </c>
      <c r="AW24" s="80">
        <f t="shared" si="27"/>
        <v>841.5174426476849</v>
      </c>
      <c r="AX24" s="81">
        <f t="shared" si="28"/>
        <v>2695.0808917344598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Z LOUVERS</v>
      </c>
      <c r="D25" s="131" t="str">
        <f>Pricing!B21</f>
        <v>V3</v>
      </c>
      <c r="E25" s="132" t="str">
        <f>Pricing!N21</f>
        <v>NA</v>
      </c>
      <c r="F25" s="68">
        <f>Pricing!G21</f>
        <v>573</v>
      </c>
      <c r="G25" s="68">
        <f>Pricing!H21</f>
        <v>563</v>
      </c>
      <c r="H25" s="100">
        <f t="shared" si="0"/>
        <v>0.32259900000000002</v>
      </c>
      <c r="I25" s="70">
        <f>Pricing!I21</f>
        <v>1</v>
      </c>
      <c r="J25" s="69">
        <f t="shared" si="30"/>
        <v>0.32259900000000002</v>
      </c>
      <c r="K25" s="71">
        <f t="shared" si="31"/>
        <v>3.4724556359999998</v>
      </c>
      <c r="L25" s="69"/>
      <c r="M25" s="72"/>
      <c r="N25" s="72"/>
      <c r="O25" s="72">
        <f t="shared" si="3"/>
        <v>0</v>
      </c>
      <c r="P25" s="73">
        <f>Pricing!M21</f>
        <v>2309.89</v>
      </c>
      <c r="Q25" s="74">
        <f t="shared" si="50"/>
        <v>230.989</v>
      </c>
      <c r="R25" s="74">
        <f t="shared" si="51"/>
        <v>279.49669</v>
      </c>
      <c r="S25" s="74">
        <f t="shared" si="52"/>
        <v>14.101878449999999</v>
      </c>
      <c r="T25" s="74">
        <f t="shared" si="53"/>
        <v>28.3447756845</v>
      </c>
      <c r="U25" s="72">
        <f t="shared" si="54"/>
        <v>2862.8223441344999</v>
      </c>
      <c r="V25" s="74">
        <f t="shared" si="55"/>
        <v>42.9423351620175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186.2295081967213</v>
      </c>
      <c r="AF25" s="346">
        <f t="shared" si="44"/>
        <v>190.84799999999996</v>
      </c>
      <c r="AG25" s="347"/>
      <c r="AH25" s="76">
        <f t="shared" si="45"/>
        <v>6.8159999999999989</v>
      </c>
      <c r="AI25" s="76">
        <f t="shared" si="15"/>
        <v>22.72</v>
      </c>
      <c r="AJ25" s="76">
        <f>J25*Pricing!Q21</f>
        <v>0</v>
      </c>
      <c r="AK25" s="76">
        <f>J25*Pricing!R21</f>
        <v>0</v>
      </c>
      <c r="AL25" s="76">
        <f t="shared" si="16"/>
        <v>347.24556359999997</v>
      </c>
      <c r="AM25" s="77">
        <f t="shared" si="17"/>
        <v>0</v>
      </c>
      <c r="AN25" s="76">
        <f t="shared" si="18"/>
        <v>277.79645088000001</v>
      </c>
      <c r="AO25" s="72">
        <f t="shared" si="19"/>
        <v>3312.3781874932388</v>
      </c>
      <c r="AP25" s="74">
        <f t="shared" si="20"/>
        <v>8280.9454687330963</v>
      </c>
      <c r="AQ25" s="74">
        <f t="shared" si="61"/>
        <v>0</v>
      </c>
      <c r="AR25" s="74">
        <f t="shared" si="22"/>
        <v>35937.258504292746</v>
      </c>
      <c r="AS25" s="72">
        <f t="shared" si="23"/>
        <v>12218.365670706335</v>
      </c>
      <c r="AT25" s="72">
        <f t="shared" si="24"/>
        <v>37874.778504292743</v>
      </c>
      <c r="AU25" s="78">
        <f t="shared" si="62"/>
        <v>3518.6527781765835</v>
      </c>
      <c r="AV25" s="79">
        <f t="shared" si="26"/>
        <v>2.1930854127566093E-3</v>
      </c>
      <c r="AW25" s="80">
        <f t="shared" si="27"/>
        <v>836.80397502320102</v>
      </c>
      <c r="AX25" s="81">
        <f t="shared" si="28"/>
        <v>2681.8488031533825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</v>
      </c>
      <c r="D26" s="131" t="str">
        <f>Pricing!B22</f>
        <v>FG6</v>
      </c>
      <c r="E26" s="132" t="str">
        <f>Pricing!N22</f>
        <v>20MM</v>
      </c>
      <c r="F26" s="68">
        <f>Pricing!G22</f>
        <v>864</v>
      </c>
      <c r="G26" s="68">
        <f>Pricing!H22</f>
        <v>1270</v>
      </c>
      <c r="H26" s="100">
        <f t="shared" si="0"/>
        <v>1.09728</v>
      </c>
      <c r="I26" s="70">
        <f>Pricing!I22</f>
        <v>1</v>
      </c>
      <c r="J26" s="69">
        <f t="shared" si="30"/>
        <v>1.09728</v>
      </c>
      <c r="K26" s="71">
        <f t="shared" si="31"/>
        <v>11.81112192</v>
      </c>
      <c r="L26" s="69"/>
      <c r="M26" s="72"/>
      <c r="N26" s="72"/>
      <c r="O26" s="72">
        <f t="shared" si="3"/>
        <v>0</v>
      </c>
      <c r="P26" s="73">
        <f>Pricing!M22</f>
        <v>1934.7299999999998</v>
      </c>
      <c r="Q26" s="74">
        <f t="shared" si="50"/>
        <v>193.47299999999998</v>
      </c>
      <c r="R26" s="74">
        <f t="shared" si="51"/>
        <v>234.10232999999999</v>
      </c>
      <c r="S26" s="74">
        <f t="shared" si="52"/>
        <v>11.811526650000001</v>
      </c>
      <c r="T26" s="74">
        <f t="shared" si="53"/>
        <v>23.741168566500001</v>
      </c>
      <c r="U26" s="72">
        <f t="shared" si="54"/>
        <v>2397.8580252165002</v>
      </c>
      <c r="V26" s="74">
        <f t="shared" si="55"/>
        <v>35.967870378247504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2784.8966399999999</v>
      </c>
      <c r="AE26" s="76">
        <f t="shared" si="43"/>
        <v>349.8360655737705</v>
      </c>
      <c r="AF26" s="346">
        <f t="shared" si="44"/>
        <v>358.51199999999989</v>
      </c>
      <c r="AG26" s="347"/>
      <c r="AH26" s="76">
        <f t="shared" si="45"/>
        <v>12.803999999999998</v>
      </c>
      <c r="AI26" s="76">
        <f t="shared" si="15"/>
        <v>42.68</v>
      </c>
      <c r="AJ26" s="76">
        <f>J26*Pricing!Q22</f>
        <v>0</v>
      </c>
      <c r="AK26" s="76">
        <f>J26*Pricing!R22</f>
        <v>0</v>
      </c>
      <c r="AL26" s="76">
        <f t="shared" si="16"/>
        <v>1181.1121919999998</v>
      </c>
      <c r="AM26" s="77">
        <f t="shared" si="17"/>
        <v>0</v>
      </c>
      <c r="AN26" s="76">
        <f t="shared" si="18"/>
        <v>944.88975359999995</v>
      </c>
      <c r="AO26" s="72">
        <f t="shared" si="19"/>
        <v>3197.6579611685183</v>
      </c>
      <c r="AP26" s="74">
        <f t="shared" si="20"/>
        <v>7994.1449029212963</v>
      </c>
      <c r="AQ26" s="74">
        <f t="shared" si="61"/>
        <v>0</v>
      </c>
      <c r="AR26" s="74">
        <f t="shared" si="22"/>
        <v>10199.58703711889</v>
      </c>
      <c r="AS26" s="72">
        <f t="shared" si="23"/>
        <v>16102.701449689815</v>
      </c>
      <c r="AT26" s="72">
        <f t="shared" si="24"/>
        <v>14675.107037118889</v>
      </c>
      <c r="AU26" s="78">
        <f t="shared" si="62"/>
        <v>1363.3507095056568</v>
      </c>
      <c r="AV26" s="79">
        <f t="shared" si="26"/>
        <v>7.459504715481363E-3</v>
      </c>
      <c r="AW26" s="80">
        <f t="shared" si="27"/>
        <v>206.06221086190834</v>
      </c>
      <c r="AX26" s="81">
        <f t="shared" si="28"/>
        <v>1157.2884986437484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WINDOW</v>
      </c>
      <c r="D27" s="131" t="str">
        <f>Pricing!B23</f>
        <v>SW8</v>
      </c>
      <c r="E27" s="132" t="str">
        <f>Pricing!N23</f>
        <v>20MM</v>
      </c>
      <c r="F27" s="68">
        <f>Pricing!G23</f>
        <v>1841</v>
      </c>
      <c r="G27" s="68">
        <f>Pricing!H23</f>
        <v>1249</v>
      </c>
      <c r="H27" s="100">
        <f t="shared" si="0"/>
        <v>2.2994089999999998</v>
      </c>
      <c r="I27" s="70">
        <f>Pricing!I23</f>
        <v>1</v>
      </c>
      <c r="J27" s="69">
        <f t="shared" si="30"/>
        <v>2.2994089999999998</v>
      </c>
      <c r="K27" s="71">
        <f t="shared" si="31"/>
        <v>24.750838475999995</v>
      </c>
      <c r="L27" s="69"/>
      <c r="M27" s="72"/>
      <c r="N27" s="72"/>
      <c r="O27" s="72">
        <f t="shared" si="3"/>
        <v>0</v>
      </c>
      <c r="P27" s="73">
        <f>Pricing!M23</f>
        <v>7729.79</v>
      </c>
      <c r="Q27" s="74">
        <f t="shared" si="4"/>
        <v>772.97900000000004</v>
      </c>
      <c r="R27" s="74">
        <f t="shared" si="5"/>
        <v>935.30459000000008</v>
      </c>
      <c r="S27" s="74">
        <f t="shared" si="6"/>
        <v>47.190367950000002</v>
      </c>
      <c r="T27" s="74">
        <f t="shared" si="7"/>
        <v>94.852639579499993</v>
      </c>
      <c r="U27" s="72">
        <f t="shared" si="8"/>
        <v>9580.1165975294989</v>
      </c>
      <c r="V27" s="74">
        <f t="shared" si="9"/>
        <v>143.70174896294247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5835.9000419999993</v>
      </c>
      <c r="AE27" s="76">
        <f t="shared" si="43"/>
        <v>506.55737704918033</v>
      </c>
      <c r="AF27" s="346">
        <f t="shared" si="44"/>
        <v>519.12</v>
      </c>
      <c r="AG27" s="347"/>
      <c r="AH27" s="76">
        <f t="shared" si="45"/>
        <v>18.54</v>
      </c>
      <c r="AI27" s="76">
        <f t="shared" ref="AI27:AI32" si="64">(((F27+G27)*2*I27)/1000)*2*$AI$7</f>
        <v>61.8</v>
      </c>
      <c r="AJ27" s="76">
        <f>J27*Pricing!Q23</f>
        <v>866.27934665999987</v>
      </c>
      <c r="AK27" s="76">
        <f>J27*Pricing!R23</f>
        <v>0</v>
      </c>
      <c r="AL27" s="76">
        <f t="shared" si="16"/>
        <v>2475.0838475999994</v>
      </c>
      <c r="AM27" s="77">
        <f t="shared" si="17"/>
        <v>0</v>
      </c>
      <c r="AN27" s="76">
        <f t="shared" si="18"/>
        <v>1980.0670780799996</v>
      </c>
      <c r="AO27" s="72">
        <f t="shared" si="19"/>
        <v>10829.835723541621</v>
      </c>
      <c r="AP27" s="74">
        <f t="shared" si="20"/>
        <v>27074.589308854051</v>
      </c>
      <c r="AQ27" s="74">
        <f t="shared" si="21"/>
        <v>0</v>
      </c>
      <c r="AR27" s="74">
        <f t="shared" si="22"/>
        <v>16484.420576067885</v>
      </c>
      <c r="AS27" s="72">
        <f t="shared" si="23"/>
        <v>49061.75534673567</v>
      </c>
      <c r="AT27" s="72">
        <f t="shared" si="24"/>
        <v>21336.680576067884</v>
      </c>
      <c r="AU27" s="78">
        <f t="shared" si="25"/>
        <v>1982.2259918309071</v>
      </c>
      <c r="AV27" s="79">
        <f t="shared" si="26"/>
        <v>1.5631791592228311E-2</v>
      </c>
      <c r="AW27" s="80">
        <f t="shared" si="27"/>
        <v>392.86823983443145</v>
      </c>
      <c r="AX27" s="81">
        <f t="shared" si="28"/>
        <v>1589.3577519964756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WINDOW</v>
      </c>
      <c r="D28" s="131" t="str">
        <f>Pricing!B24</f>
        <v>SW9</v>
      </c>
      <c r="E28" s="132" t="str">
        <f>Pricing!N24</f>
        <v>20MM</v>
      </c>
      <c r="F28" s="68">
        <f>Pricing!G24</f>
        <v>3735</v>
      </c>
      <c r="G28" s="68">
        <f>Pricing!H24</f>
        <v>1296</v>
      </c>
      <c r="H28" s="100">
        <f t="shared" si="0"/>
        <v>4.84056</v>
      </c>
      <c r="I28" s="70">
        <f>Pricing!I24</f>
        <v>1</v>
      </c>
      <c r="J28" s="69">
        <f t="shared" si="30"/>
        <v>4.84056</v>
      </c>
      <c r="K28" s="71">
        <f t="shared" si="31"/>
        <v>52.103787839999995</v>
      </c>
      <c r="L28" s="69"/>
      <c r="M28" s="72"/>
      <c r="N28" s="72"/>
      <c r="O28" s="72">
        <f t="shared" si="3"/>
        <v>0</v>
      </c>
      <c r="P28" s="73">
        <f>Pricing!M24</f>
        <v>10697.039999999999</v>
      </c>
      <c r="Q28" s="74">
        <f t="shared" si="4"/>
        <v>1069.704</v>
      </c>
      <c r="R28" s="74">
        <f t="shared" si="5"/>
        <v>1294.3418399999998</v>
      </c>
      <c r="S28" s="74">
        <f t="shared" si="6"/>
        <v>65.305429199999992</v>
      </c>
      <c r="T28" s="74">
        <f t="shared" si="7"/>
        <v>131.26391269199999</v>
      </c>
      <c r="U28" s="72">
        <f t="shared" si="8"/>
        <v>13257.655181891998</v>
      </c>
      <c r="V28" s="74">
        <f t="shared" si="9"/>
        <v>198.86482772837996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12285.341280000001</v>
      </c>
      <c r="AE28" s="76">
        <f t="shared" si="43"/>
        <v>824.75409836065569</v>
      </c>
      <c r="AF28" s="346">
        <f t="shared" si="44"/>
        <v>845.20799999999986</v>
      </c>
      <c r="AG28" s="347"/>
      <c r="AH28" s="76">
        <f t="shared" si="45"/>
        <v>30.186</v>
      </c>
      <c r="AI28" s="76">
        <f t="shared" si="64"/>
        <v>100.61999999999999</v>
      </c>
      <c r="AJ28" s="76">
        <f>J28*Pricing!Q24</f>
        <v>1823.6325743999998</v>
      </c>
      <c r="AK28" s="76">
        <f>J28*Pricing!R24</f>
        <v>0</v>
      </c>
      <c r="AL28" s="76">
        <f t="shared" si="16"/>
        <v>5210.3787839999995</v>
      </c>
      <c r="AM28" s="77">
        <f t="shared" si="17"/>
        <v>0</v>
      </c>
      <c r="AN28" s="76">
        <f t="shared" si="18"/>
        <v>4168.3030271999996</v>
      </c>
      <c r="AO28" s="72">
        <f t="shared" si="19"/>
        <v>15257.288107981032</v>
      </c>
      <c r="AP28" s="74">
        <f t="shared" si="20"/>
        <v>38143.220269952581</v>
      </c>
      <c r="AQ28" s="74">
        <f t="shared" si="21"/>
        <v>0</v>
      </c>
      <c r="AR28" s="74">
        <f t="shared" si="22"/>
        <v>11031.886471386289</v>
      </c>
      <c r="AS28" s="72">
        <f t="shared" si="23"/>
        <v>76888.164043533616</v>
      </c>
      <c r="AT28" s="72">
        <f t="shared" si="24"/>
        <v>15884.14647138629</v>
      </c>
      <c r="AU28" s="78">
        <f t="shared" si="25"/>
        <v>1475.6732136181986</v>
      </c>
      <c r="AV28" s="79">
        <f t="shared" si="26"/>
        <v>3.2906988321641205E-2</v>
      </c>
      <c r="AW28" s="80">
        <f t="shared" si="27"/>
        <v>258.26375715605514</v>
      </c>
      <c r="AX28" s="81">
        <f t="shared" si="28"/>
        <v>1217.4094564621435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SW10</v>
      </c>
      <c r="E29" s="132" t="str">
        <f>Pricing!N25</f>
        <v>20MM</v>
      </c>
      <c r="F29" s="68">
        <f>Pricing!G25</f>
        <v>2442</v>
      </c>
      <c r="G29" s="68">
        <f>Pricing!H25</f>
        <v>1294</v>
      </c>
      <c r="H29" s="100">
        <f t="shared" si="0"/>
        <v>3.159948</v>
      </c>
      <c r="I29" s="70">
        <f>Pricing!I25</f>
        <v>1</v>
      </c>
      <c r="J29" s="69">
        <f t="shared" si="30"/>
        <v>3.159948</v>
      </c>
      <c r="K29" s="71">
        <f t="shared" si="31"/>
        <v>34.013680271999995</v>
      </c>
      <c r="L29" s="69"/>
      <c r="M29" s="72"/>
      <c r="N29" s="72"/>
      <c r="O29" s="72">
        <f t="shared" si="3"/>
        <v>0</v>
      </c>
      <c r="P29" s="73">
        <f>Pricing!M25</f>
        <v>8749.0299999999988</v>
      </c>
      <c r="Q29" s="74">
        <f t="shared" si="4"/>
        <v>874.90299999999991</v>
      </c>
      <c r="R29" s="74">
        <f t="shared" si="5"/>
        <v>1058.6326299999998</v>
      </c>
      <c r="S29" s="74">
        <f t="shared" si="6"/>
        <v>53.412828149999996</v>
      </c>
      <c r="T29" s="74">
        <f t="shared" si="7"/>
        <v>107.35978458149999</v>
      </c>
      <c r="U29" s="72">
        <f t="shared" si="8"/>
        <v>10843.338242731499</v>
      </c>
      <c r="V29" s="74">
        <f t="shared" si="9"/>
        <v>162.65007364097249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8019.9480240000003</v>
      </c>
      <c r="AE29" s="76">
        <f t="shared" si="43"/>
        <v>612.45901639344265</v>
      </c>
      <c r="AF29" s="346">
        <f t="shared" si="44"/>
        <v>627.64800000000002</v>
      </c>
      <c r="AG29" s="347"/>
      <c r="AH29" s="76">
        <f t="shared" si="45"/>
        <v>22.416</v>
      </c>
      <c r="AI29" s="76">
        <f t="shared" si="64"/>
        <v>74.72</v>
      </c>
      <c r="AJ29" s="76">
        <f>J29*Pricing!Q25</f>
        <v>1190.4788095199999</v>
      </c>
      <c r="AK29" s="76">
        <f>J29*Pricing!R25</f>
        <v>0</v>
      </c>
      <c r="AL29" s="76">
        <f t="shared" si="16"/>
        <v>3401.3680271999997</v>
      </c>
      <c r="AM29" s="77">
        <f t="shared" si="17"/>
        <v>0</v>
      </c>
      <c r="AN29" s="76">
        <f t="shared" si="18"/>
        <v>2721.0944217599995</v>
      </c>
      <c r="AO29" s="72">
        <f t="shared" si="19"/>
        <v>12343.23133276591</v>
      </c>
      <c r="AP29" s="74">
        <f t="shared" si="20"/>
        <v>30858.078331914774</v>
      </c>
      <c r="AQ29" s="74">
        <f t="shared" si="21"/>
        <v>0</v>
      </c>
      <c r="AR29" s="74">
        <f t="shared" si="22"/>
        <v>13671.525501267957</v>
      </c>
      <c r="AS29" s="72">
        <f t="shared" si="23"/>
        <v>58534.198947160679</v>
      </c>
      <c r="AT29" s="72">
        <f t="shared" si="24"/>
        <v>18523.785501267957</v>
      </c>
      <c r="AU29" s="78">
        <f t="shared" si="25"/>
        <v>1720.9016630683723</v>
      </c>
      <c r="AV29" s="79">
        <f t="shared" si="26"/>
        <v>2.1481888858519156E-2</v>
      </c>
      <c r="AW29" s="80">
        <f t="shared" si="27"/>
        <v>323.57534463662796</v>
      </c>
      <c r="AX29" s="81">
        <f t="shared" si="28"/>
        <v>1397.3263184317445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</v>
      </c>
      <c r="D30" s="131" t="str">
        <f>Pricing!B26</f>
        <v>FG7</v>
      </c>
      <c r="E30" s="132" t="str">
        <f>Pricing!N26</f>
        <v>20MM</v>
      </c>
      <c r="F30" s="68">
        <f>Pricing!G26</f>
        <v>1521</v>
      </c>
      <c r="G30" s="68">
        <f>Pricing!H26</f>
        <v>1295</v>
      </c>
      <c r="H30" s="100">
        <f t="shared" si="0"/>
        <v>1.969695</v>
      </c>
      <c r="I30" s="70">
        <f>Pricing!I26</f>
        <v>1</v>
      </c>
      <c r="J30" s="69">
        <f t="shared" si="30"/>
        <v>1.969695</v>
      </c>
      <c r="K30" s="71">
        <f t="shared" si="31"/>
        <v>21.201796979999997</v>
      </c>
      <c r="L30" s="69"/>
      <c r="M30" s="72"/>
      <c r="N30" s="72"/>
      <c r="O30" s="72">
        <f t="shared" si="3"/>
        <v>0</v>
      </c>
      <c r="P30" s="73">
        <f>Pricing!M26</f>
        <v>2533.16</v>
      </c>
      <c r="Q30" s="74">
        <f t="shared" si="4"/>
        <v>253.316</v>
      </c>
      <c r="R30" s="74">
        <f t="shared" si="5"/>
        <v>306.51235999999994</v>
      </c>
      <c r="S30" s="74">
        <f t="shared" si="6"/>
        <v>15.464941799999997</v>
      </c>
      <c r="T30" s="74">
        <f t="shared" si="7"/>
        <v>31.084533017999995</v>
      </c>
      <c r="U30" s="72">
        <f t="shared" si="8"/>
        <v>3139.5378348179993</v>
      </c>
      <c r="V30" s="74">
        <f t="shared" si="9"/>
        <v>47.09306752226999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4999.0859099999998</v>
      </c>
      <c r="AE30" s="76">
        <f t="shared" si="43"/>
        <v>461.63934426229514</v>
      </c>
      <c r="AF30" s="346">
        <f t="shared" si="44"/>
        <v>473.08800000000002</v>
      </c>
      <c r="AG30" s="347"/>
      <c r="AH30" s="76">
        <f t="shared" si="45"/>
        <v>16.896000000000001</v>
      </c>
      <c r="AI30" s="76">
        <f t="shared" si="64"/>
        <v>56.319999999999993</v>
      </c>
      <c r="AJ30" s="76">
        <f>J30*Pricing!Q26</f>
        <v>0</v>
      </c>
      <c r="AK30" s="76">
        <f>J30*Pricing!R26</f>
        <v>0</v>
      </c>
      <c r="AL30" s="76">
        <f t="shared" si="16"/>
        <v>2120.1796979999999</v>
      </c>
      <c r="AM30" s="77">
        <f t="shared" si="17"/>
        <v>0</v>
      </c>
      <c r="AN30" s="76">
        <f t="shared" si="18"/>
        <v>1696.1437583999998</v>
      </c>
      <c r="AO30" s="72">
        <f t="shared" si="19"/>
        <v>4194.574246602564</v>
      </c>
      <c r="AP30" s="74">
        <f t="shared" si="20"/>
        <v>10486.435616506409</v>
      </c>
      <c r="AQ30" s="74">
        <f t="shared" si="21"/>
        <v>0</v>
      </c>
      <c r="AR30" s="74">
        <f t="shared" si="22"/>
        <v>7453.4432300985554</v>
      </c>
      <c r="AS30" s="72">
        <f t="shared" si="23"/>
        <v>23496.419229508974</v>
      </c>
      <c r="AT30" s="72">
        <f t="shared" si="24"/>
        <v>11928.963230098556</v>
      </c>
      <c r="AU30" s="78">
        <f t="shared" si="25"/>
        <v>1108.2277248326418</v>
      </c>
      <c r="AV30" s="79">
        <f t="shared" si="26"/>
        <v>1.3390337143263398E-2</v>
      </c>
      <c r="AW30" s="80">
        <f t="shared" si="27"/>
        <v>150.30003849891924</v>
      </c>
      <c r="AX30" s="81">
        <f t="shared" si="28"/>
        <v>957.92768633372248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FG8</v>
      </c>
      <c r="E31" s="132" t="str">
        <f>Pricing!N27</f>
        <v>20MM</v>
      </c>
      <c r="F31" s="68">
        <f>Pricing!G27</f>
        <v>1557</v>
      </c>
      <c r="G31" s="68">
        <f>Pricing!H27</f>
        <v>1332</v>
      </c>
      <c r="H31" s="100">
        <f t="shared" si="0"/>
        <v>2.0739239999999999</v>
      </c>
      <c r="I31" s="70">
        <f>Pricing!I27</f>
        <v>1</v>
      </c>
      <c r="J31" s="69">
        <f t="shared" si="30"/>
        <v>2.0739239999999999</v>
      </c>
      <c r="K31" s="71">
        <f t="shared" si="31"/>
        <v>22.323717935999998</v>
      </c>
      <c r="L31" s="69"/>
      <c r="M31" s="72"/>
      <c r="N31" s="72"/>
      <c r="O31" s="72">
        <f t="shared" si="3"/>
        <v>0</v>
      </c>
      <c r="P31" s="73">
        <f>Pricing!M27</f>
        <v>2596.2400000000002</v>
      </c>
      <c r="Q31" s="74">
        <f t="shared" si="4"/>
        <v>259.62400000000002</v>
      </c>
      <c r="R31" s="74">
        <f t="shared" si="5"/>
        <v>314.14504000000005</v>
      </c>
      <c r="S31" s="74">
        <f t="shared" si="6"/>
        <v>15.850045200000002</v>
      </c>
      <c r="T31" s="74">
        <f t="shared" si="7"/>
        <v>31.858590852000003</v>
      </c>
      <c r="U31" s="72">
        <f t="shared" si="8"/>
        <v>3217.7176760520001</v>
      </c>
      <c r="V31" s="74">
        <f t="shared" si="9"/>
        <v>48.265765140779997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5263.6191119999994</v>
      </c>
      <c r="AE31" s="76">
        <f t="shared" si="43"/>
        <v>473.60655737704917</v>
      </c>
      <c r="AF31" s="346">
        <f t="shared" si="44"/>
        <v>485.35199999999998</v>
      </c>
      <c r="AG31" s="347"/>
      <c r="AH31" s="76">
        <f t="shared" si="45"/>
        <v>17.334</v>
      </c>
      <c r="AI31" s="76">
        <f t="shared" si="64"/>
        <v>57.779999999999994</v>
      </c>
      <c r="AJ31" s="76">
        <f>J31*Pricing!Q27</f>
        <v>0</v>
      </c>
      <c r="AK31" s="76">
        <f>J31*Pricing!R27</f>
        <v>0</v>
      </c>
      <c r="AL31" s="76">
        <f t="shared" si="16"/>
        <v>2232.3717935999994</v>
      </c>
      <c r="AM31" s="77">
        <f t="shared" si="17"/>
        <v>0</v>
      </c>
      <c r="AN31" s="76">
        <f t="shared" si="18"/>
        <v>1785.8974348799998</v>
      </c>
      <c r="AO31" s="72">
        <f t="shared" si="19"/>
        <v>4300.0559985698283</v>
      </c>
      <c r="AP31" s="74">
        <f t="shared" si="20"/>
        <v>10750.13999642457</v>
      </c>
      <c r="AQ31" s="74">
        <f t="shared" si="21"/>
        <v>0</v>
      </c>
      <c r="AR31" s="74">
        <f t="shared" si="22"/>
        <v>7256.8695839357661</v>
      </c>
      <c r="AS31" s="72">
        <f t="shared" si="23"/>
        <v>24332.084335474399</v>
      </c>
      <c r="AT31" s="72">
        <f t="shared" si="24"/>
        <v>11732.389583935766</v>
      </c>
      <c r="AU31" s="78">
        <f t="shared" si="25"/>
        <v>1089.9655875079679</v>
      </c>
      <c r="AV31" s="79">
        <f t="shared" si="26"/>
        <v>1.4098904434191791E-2</v>
      </c>
      <c r="AW31" s="80">
        <f t="shared" si="27"/>
        <v>146.30105301258723</v>
      </c>
      <c r="AX31" s="81">
        <f t="shared" si="28"/>
        <v>943.66453449538074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FG9</v>
      </c>
      <c r="E32" s="132" t="str">
        <f>Pricing!N28</f>
        <v>20MM</v>
      </c>
      <c r="F32" s="68">
        <f>Pricing!G28</f>
        <v>1558</v>
      </c>
      <c r="G32" s="68">
        <f>Pricing!H28</f>
        <v>1332</v>
      </c>
      <c r="H32" s="100">
        <f t="shared" si="0"/>
        <v>2.075256</v>
      </c>
      <c r="I32" s="70">
        <f>Pricing!I28</f>
        <v>1</v>
      </c>
      <c r="J32" s="69">
        <f t="shared" si="30"/>
        <v>2.075256</v>
      </c>
      <c r="K32" s="71">
        <f t="shared" si="31"/>
        <v>22.338055583999999</v>
      </c>
      <c r="L32" s="69"/>
      <c r="M32" s="72"/>
      <c r="N32" s="72"/>
      <c r="O32" s="72">
        <f t="shared" si="3"/>
        <v>0</v>
      </c>
      <c r="P32" s="73">
        <f>Pricing!M28</f>
        <v>2597.9</v>
      </c>
      <c r="Q32" s="74">
        <f t="shared" si="4"/>
        <v>259.79000000000002</v>
      </c>
      <c r="R32" s="74">
        <f t="shared" si="5"/>
        <v>314.34590000000003</v>
      </c>
      <c r="S32" s="74">
        <f t="shared" si="6"/>
        <v>15.860179499999999</v>
      </c>
      <c r="T32" s="74">
        <f t="shared" si="7"/>
        <v>31.878960794999998</v>
      </c>
      <c r="U32" s="72">
        <f t="shared" si="8"/>
        <v>3219.7750402949996</v>
      </c>
      <c r="V32" s="74">
        <f t="shared" si="9"/>
        <v>48.296625604424989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5266.9997279999998</v>
      </c>
      <c r="AE32" s="76">
        <f t="shared" si="43"/>
        <v>473.77049180327867</v>
      </c>
      <c r="AF32" s="346">
        <f t="shared" si="44"/>
        <v>485.52</v>
      </c>
      <c r="AG32" s="347"/>
      <c r="AH32" s="76">
        <f t="shared" si="45"/>
        <v>17.34</v>
      </c>
      <c r="AI32" s="76">
        <f t="shared" si="64"/>
        <v>57.800000000000004</v>
      </c>
      <c r="AJ32" s="76">
        <f>J32*Pricing!Q28</f>
        <v>0</v>
      </c>
      <c r="AK32" s="76">
        <f>J32*Pricing!R28</f>
        <v>0</v>
      </c>
      <c r="AL32" s="76">
        <f t="shared" si="16"/>
        <v>2233.8055583999999</v>
      </c>
      <c r="AM32" s="77">
        <f t="shared" si="17"/>
        <v>0</v>
      </c>
      <c r="AN32" s="76">
        <f t="shared" si="18"/>
        <v>1787.0444467199998</v>
      </c>
      <c r="AO32" s="72">
        <f t="shared" si="19"/>
        <v>4302.5021577027046</v>
      </c>
      <c r="AP32" s="74">
        <f t="shared" si="20"/>
        <v>10756.255394256761</v>
      </c>
      <c r="AQ32" s="74">
        <f t="shared" si="21"/>
        <v>0</v>
      </c>
      <c r="AR32" s="74">
        <f t="shared" si="22"/>
        <v>7256.3373154731098</v>
      </c>
      <c r="AS32" s="72">
        <f t="shared" si="23"/>
        <v>24346.607285079463</v>
      </c>
      <c r="AT32" s="72">
        <f t="shared" si="24"/>
        <v>11731.857315473109</v>
      </c>
      <c r="AU32" s="78">
        <f t="shared" si="25"/>
        <v>1089.9161385612329</v>
      </c>
      <c r="AV32" s="79">
        <f t="shared" si="26"/>
        <v>1.4107959607238801E-2</v>
      </c>
      <c r="AW32" s="80">
        <f t="shared" si="27"/>
        <v>146.30063273010364</v>
      </c>
      <c r="AX32" s="81">
        <f t="shared" si="28"/>
        <v>943.6155058311291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FG10</v>
      </c>
      <c r="E33" s="132" t="str">
        <f>Pricing!N29</f>
        <v>20MM</v>
      </c>
      <c r="F33" s="68">
        <f>Pricing!G29</f>
        <v>1561</v>
      </c>
      <c r="G33" s="68">
        <f>Pricing!H29</f>
        <v>1334</v>
      </c>
      <c r="H33" s="100">
        <f t="shared" si="0"/>
        <v>2.0823740000000002</v>
      </c>
      <c r="I33" s="70">
        <f>Pricing!I29</f>
        <v>1</v>
      </c>
      <c r="J33" s="69">
        <f t="shared" si="30"/>
        <v>2.0823740000000002</v>
      </c>
      <c r="K33" s="71">
        <f t="shared" si="31"/>
        <v>22.414673736000001</v>
      </c>
      <c r="L33" s="69"/>
      <c r="M33" s="72"/>
      <c r="N33" s="72"/>
      <c r="O33" s="72">
        <f t="shared" si="3"/>
        <v>0</v>
      </c>
      <c r="P33" s="73">
        <f>Pricing!M29</f>
        <v>2602.0500000000002</v>
      </c>
      <c r="Q33" s="74">
        <f t="shared" ref="Q33:Q38" si="65">P33*$Q$6</f>
        <v>260.20500000000004</v>
      </c>
      <c r="R33" s="74">
        <f t="shared" ref="R33:R38" si="66">(P33+Q33)*$R$6</f>
        <v>314.84805</v>
      </c>
      <c r="S33" s="74">
        <f t="shared" ref="S33:S38" si="67">(P33+Q33+R33)*$S$6</f>
        <v>15.885515250000001</v>
      </c>
      <c r="T33" s="74">
        <f t="shared" ref="T33:T38" si="68">(P33+Q33+R33+S33)*$T$6</f>
        <v>31.929885652500001</v>
      </c>
      <c r="U33" s="72">
        <f t="shared" ref="U33:U38" si="69">SUM(P33:T33)</f>
        <v>3224.9184509025004</v>
      </c>
      <c r="V33" s="74">
        <f t="shared" ref="V33:V38" si="70">U33*$V$6</f>
        <v>48.373776763537506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5285.0652120000004</v>
      </c>
      <c r="AE33" s="76">
        <f t="shared" si="43"/>
        <v>474.59016393442619</v>
      </c>
      <c r="AF33" s="346">
        <f t="shared" si="44"/>
        <v>486.35999999999996</v>
      </c>
      <c r="AG33" s="347"/>
      <c r="AH33" s="76">
        <f t="shared" si="45"/>
        <v>17.37</v>
      </c>
      <c r="AI33" s="76">
        <f t="shared" si="15"/>
        <v>57.9</v>
      </c>
      <c r="AJ33" s="76">
        <f>J33*Pricing!Q29</f>
        <v>0</v>
      </c>
      <c r="AK33" s="76">
        <f>J33*Pricing!R29</f>
        <v>0</v>
      </c>
      <c r="AL33" s="76">
        <f t="shared" si="16"/>
        <v>2241.4673736</v>
      </c>
      <c r="AM33" s="77">
        <f t="shared" si="17"/>
        <v>0</v>
      </c>
      <c r="AN33" s="76">
        <f t="shared" si="18"/>
        <v>1793.17389888</v>
      </c>
      <c r="AO33" s="72">
        <f t="shared" si="19"/>
        <v>4309.5123916004641</v>
      </c>
      <c r="AP33" s="74">
        <f t="shared" si="20"/>
        <v>10773.78097900116</v>
      </c>
      <c r="AQ33" s="74">
        <f t="shared" ref="AQ33:AQ38" si="76">(AO33+AP33)*$AQ$6</f>
        <v>0</v>
      </c>
      <c r="AR33" s="74">
        <f t="shared" si="22"/>
        <v>7243.316220141829</v>
      </c>
      <c r="AS33" s="72">
        <f t="shared" si="23"/>
        <v>24402.999855081624</v>
      </c>
      <c r="AT33" s="72">
        <f t="shared" si="24"/>
        <v>11718.836220141829</v>
      </c>
      <c r="AU33" s="78">
        <f t="shared" ref="AU33:AU38" si="77">AT33/10.764</f>
        <v>1088.7064492885386</v>
      </c>
      <c r="AV33" s="79">
        <f t="shared" si="26"/>
        <v>1.4156349037980997E-2</v>
      </c>
      <c r="AW33" s="80">
        <f t="shared" si="27"/>
        <v>146.03345407650673</v>
      </c>
      <c r="AX33" s="81">
        <f t="shared" si="28"/>
        <v>942.67299521203176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</v>
      </c>
      <c r="D34" s="131" t="str">
        <f>Pricing!B30</f>
        <v>FG11</v>
      </c>
      <c r="E34" s="132" t="str">
        <f>Pricing!N30</f>
        <v>20MM</v>
      </c>
      <c r="F34" s="68">
        <f>Pricing!G30</f>
        <v>1553</v>
      </c>
      <c r="G34" s="68">
        <f>Pricing!H30</f>
        <v>1338</v>
      </c>
      <c r="H34" s="100">
        <f t="shared" si="0"/>
        <v>2.0779139999999998</v>
      </c>
      <c r="I34" s="70">
        <f>Pricing!I30</f>
        <v>1</v>
      </c>
      <c r="J34" s="69">
        <f t="shared" si="30"/>
        <v>2.0779139999999998</v>
      </c>
      <c r="K34" s="71">
        <f t="shared" si="31"/>
        <v>22.366666295999998</v>
      </c>
      <c r="L34" s="69"/>
      <c r="M34" s="72"/>
      <c r="N34" s="72"/>
      <c r="O34" s="72">
        <f t="shared" si="3"/>
        <v>0</v>
      </c>
      <c r="P34" s="73">
        <f>Pricing!M30</f>
        <v>2598.73</v>
      </c>
      <c r="Q34" s="74">
        <f t="shared" si="65"/>
        <v>259.87299999999999</v>
      </c>
      <c r="R34" s="74">
        <f t="shared" si="66"/>
        <v>314.44632999999999</v>
      </c>
      <c r="S34" s="74">
        <f t="shared" si="67"/>
        <v>15.86524665</v>
      </c>
      <c r="T34" s="74">
        <f t="shared" si="68"/>
        <v>31.889145766499997</v>
      </c>
      <c r="U34" s="72">
        <f t="shared" si="69"/>
        <v>3220.8037224164996</v>
      </c>
      <c r="V34" s="74">
        <f t="shared" si="70"/>
        <v>48.312055836247495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5273.7457319999994</v>
      </c>
      <c r="AE34" s="76">
        <f t="shared" si="43"/>
        <v>473.93442622950818</v>
      </c>
      <c r="AF34" s="346">
        <f t="shared" si="44"/>
        <v>485.68799999999993</v>
      </c>
      <c r="AG34" s="347"/>
      <c r="AH34" s="76">
        <f t="shared" si="45"/>
        <v>17.346</v>
      </c>
      <c r="AI34" s="76">
        <f t="shared" si="15"/>
        <v>57.82</v>
      </c>
      <c r="AJ34" s="76">
        <f>J34*Pricing!Q30</f>
        <v>0</v>
      </c>
      <c r="AK34" s="76">
        <f>J34*Pricing!R30</f>
        <v>0</v>
      </c>
      <c r="AL34" s="76">
        <f t="shared" si="16"/>
        <v>2236.6666295999994</v>
      </c>
      <c r="AM34" s="77">
        <f t="shared" si="17"/>
        <v>0</v>
      </c>
      <c r="AN34" s="76">
        <f t="shared" si="18"/>
        <v>1789.3333036799995</v>
      </c>
      <c r="AO34" s="72">
        <f t="shared" si="19"/>
        <v>4303.9042044822545</v>
      </c>
      <c r="AP34" s="74">
        <f t="shared" si="20"/>
        <v>10759.760511205637</v>
      </c>
      <c r="AQ34" s="74">
        <f t="shared" si="76"/>
        <v>0</v>
      </c>
      <c r="AR34" s="74">
        <f t="shared" si="22"/>
        <v>7249.4168265327116</v>
      </c>
      <c r="AS34" s="72">
        <f t="shared" si="23"/>
        <v>24363.410380967889</v>
      </c>
      <c r="AT34" s="72">
        <f t="shared" si="24"/>
        <v>11724.93682653271</v>
      </c>
      <c r="AU34" s="78">
        <f t="shared" si="77"/>
        <v>1089.2732094511994</v>
      </c>
      <c r="AV34" s="79">
        <f t="shared" si="26"/>
        <v>1.4126029164265037E-2</v>
      </c>
      <c r="AW34" s="80">
        <f t="shared" si="27"/>
        <v>146.16017134557902</v>
      </c>
      <c r="AX34" s="81">
        <f t="shared" si="28"/>
        <v>943.11303810562038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SW11</v>
      </c>
      <c r="E35" s="132" t="str">
        <f>Pricing!N31</f>
        <v>20MM</v>
      </c>
      <c r="F35" s="68">
        <f>Pricing!G31</f>
        <v>2464</v>
      </c>
      <c r="G35" s="68">
        <f>Pricing!H31</f>
        <v>1323</v>
      </c>
      <c r="H35" s="100">
        <f t="shared" si="0"/>
        <v>3.2598720000000001</v>
      </c>
      <c r="I35" s="70">
        <f>Pricing!I31</f>
        <v>1</v>
      </c>
      <c r="J35" s="69">
        <f t="shared" si="30"/>
        <v>3.2598720000000001</v>
      </c>
      <c r="K35" s="71">
        <f t="shared" si="31"/>
        <v>35.089262208000001</v>
      </c>
      <c r="L35" s="69"/>
      <c r="M35" s="72"/>
      <c r="N35" s="72"/>
      <c r="O35" s="72">
        <f t="shared" si="3"/>
        <v>0</v>
      </c>
      <c r="P35" s="73">
        <f>Pricing!M31</f>
        <v>10702.850000000002</v>
      </c>
      <c r="Q35" s="74">
        <f t="shared" si="65"/>
        <v>1070.2850000000003</v>
      </c>
      <c r="R35" s="74">
        <f t="shared" si="66"/>
        <v>1295.0448500000002</v>
      </c>
      <c r="S35" s="74">
        <f t="shared" si="67"/>
        <v>65.340899250000007</v>
      </c>
      <c r="T35" s="74">
        <f t="shared" si="68"/>
        <v>131.33520749250005</v>
      </c>
      <c r="U35" s="72">
        <f t="shared" si="69"/>
        <v>13264.855956742504</v>
      </c>
      <c r="V35" s="74">
        <f t="shared" si="70"/>
        <v>198.97283935113754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8273.5551360000009</v>
      </c>
      <c r="AE35" s="76">
        <f t="shared" si="43"/>
        <v>620.81967213114751</v>
      </c>
      <c r="AF35" s="346">
        <f t="shared" si="44"/>
        <v>636.21599999999989</v>
      </c>
      <c r="AG35" s="347"/>
      <c r="AH35" s="76">
        <f t="shared" si="45"/>
        <v>22.722000000000001</v>
      </c>
      <c r="AI35" s="76">
        <f t="shared" si="15"/>
        <v>75.739999999999995</v>
      </c>
      <c r="AJ35" s="76">
        <f>J35*Pricing!Q31</f>
        <v>1228.1241772799999</v>
      </c>
      <c r="AK35" s="76">
        <f>J35*Pricing!R31</f>
        <v>0</v>
      </c>
      <c r="AL35" s="76">
        <f t="shared" si="16"/>
        <v>3508.9262207999996</v>
      </c>
      <c r="AM35" s="77">
        <f t="shared" si="17"/>
        <v>0</v>
      </c>
      <c r="AN35" s="76">
        <f t="shared" si="18"/>
        <v>2807.1409766399997</v>
      </c>
      <c r="AO35" s="72">
        <f t="shared" si="19"/>
        <v>14819.326468224788</v>
      </c>
      <c r="AP35" s="74">
        <f t="shared" si="20"/>
        <v>37048.316170561971</v>
      </c>
      <c r="AQ35" s="74">
        <f t="shared" si="76"/>
        <v>0</v>
      </c>
      <c r="AR35" s="74">
        <f t="shared" si="22"/>
        <v>15910.944552051969</v>
      </c>
      <c r="AS35" s="72">
        <f t="shared" si="23"/>
        <v>67685.389149506751</v>
      </c>
      <c r="AT35" s="72">
        <f t="shared" si="24"/>
        <v>20763.204552051968</v>
      </c>
      <c r="AU35" s="78">
        <f t="shared" si="77"/>
        <v>1928.9487692355972</v>
      </c>
      <c r="AV35" s="79">
        <f t="shared" si="26"/>
        <v>2.2161189993315893E-2</v>
      </c>
      <c r="AW35" s="80">
        <f t="shared" si="27"/>
        <v>383.70224817733623</v>
      </c>
      <c r="AX35" s="81">
        <f t="shared" si="28"/>
        <v>1545.2465210582611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Z LOUVERS</v>
      </c>
      <c r="D36" s="131" t="str">
        <f>Pricing!B32</f>
        <v>V4</v>
      </c>
      <c r="E36" s="132" t="str">
        <f>Pricing!N32</f>
        <v>NA</v>
      </c>
      <c r="F36" s="68">
        <f>Pricing!G32</f>
        <v>564</v>
      </c>
      <c r="G36" s="68">
        <f>Pricing!H32</f>
        <v>567</v>
      </c>
      <c r="H36" s="100">
        <f t="shared" si="0"/>
        <v>0.31978800000000002</v>
      </c>
      <c r="I36" s="70">
        <f>Pricing!I32</f>
        <v>1</v>
      </c>
      <c r="J36" s="69">
        <f t="shared" si="30"/>
        <v>0.31978800000000002</v>
      </c>
      <c r="K36" s="71">
        <f t="shared" si="31"/>
        <v>3.4421980319999999</v>
      </c>
      <c r="L36" s="69"/>
      <c r="M36" s="72"/>
      <c r="N36" s="72"/>
      <c r="O36" s="72">
        <f>N36*M36*L36/1000000</f>
        <v>0</v>
      </c>
      <c r="P36" s="73">
        <f>Pricing!M32</f>
        <v>2305.7400000000002</v>
      </c>
      <c r="Q36" s="74">
        <f t="shared" si="65"/>
        <v>230.57400000000004</v>
      </c>
      <c r="R36" s="74">
        <f t="shared" si="66"/>
        <v>278.99454000000003</v>
      </c>
      <c r="S36" s="74">
        <f t="shared" si="67"/>
        <v>14.076542700000003</v>
      </c>
      <c r="T36" s="74">
        <f t="shared" si="68"/>
        <v>28.293850827000007</v>
      </c>
      <c r="U36" s="72">
        <f t="shared" si="69"/>
        <v>2857.6789335270005</v>
      </c>
      <c r="V36" s="74">
        <f t="shared" si="70"/>
        <v>42.865184002905004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185.40983606557378</v>
      </c>
      <c r="AF36" s="346">
        <f t="shared" si="44"/>
        <v>190.00799999999998</v>
      </c>
      <c r="AG36" s="347"/>
      <c r="AH36" s="76">
        <f t="shared" si="45"/>
        <v>6.7859999999999996</v>
      </c>
      <c r="AI36" s="76">
        <f t="shared" si="15"/>
        <v>22.62</v>
      </c>
      <c r="AJ36" s="76">
        <f>J36*Pricing!Q32</f>
        <v>0</v>
      </c>
      <c r="AK36" s="76">
        <f>J36*Pricing!R32</f>
        <v>0</v>
      </c>
      <c r="AL36" s="76">
        <f t="shared" si="16"/>
        <v>344.2198032</v>
      </c>
      <c r="AM36" s="77">
        <f t="shared" si="17"/>
        <v>0</v>
      </c>
      <c r="AN36" s="76">
        <f t="shared" si="18"/>
        <v>275.37584255999997</v>
      </c>
      <c r="AO36" s="72">
        <f t="shared" si="19"/>
        <v>3305.3679535954793</v>
      </c>
      <c r="AP36" s="74">
        <f t="shared" si="20"/>
        <v>8263.4198839886976</v>
      </c>
      <c r="AQ36" s="74">
        <f t="shared" si="76"/>
        <v>0</v>
      </c>
      <c r="AR36" s="74">
        <f t="shared" si="22"/>
        <v>36176.428876581289</v>
      </c>
      <c r="AS36" s="72">
        <f t="shared" si="23"/>
        <v>12188.383483344176</v>
      </c>
      <c r="AT36" s="72">
        <f t="shared" si="24"/>
        <v>38113.948876581286</v>
      </c>
      <c r="AU36" s="78">
        <f t="shared" si="77"/>
        <v>3540.8722479172507</v>
      </c>
      <c r="AV36" s="79">
        <f t="shared" si="26"/>
        <v>2.1739757345019995E-3</v>
      </c>
      <c r="AW36" s="80">
        <f t="shared" si="27"/>
        <v>842.64301198400824</v>
      </c>
      <c r="AX36" s="81">
        <f t="shared" si="28"/>
        <v>2698.2292359332423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3 TRACK 2 SHUTTER SLIDING WINDOW</v>
      </c>
      <c r="D37" s="131" t="str">
        <f>Pricing!B33</f>
        <v>SW12</v>
      </c>
      <c r="E37" s="132" t="str">
        <f>Pricing!N33</f>
        <v>20MM</v>
      </c>
      <c r="F37" s="68">
        <f>Pricing!G33</f>
        <v>2471</v>
      </c>
      <c r="G37" s="68">
        <f>Pricing!H33</f>
        <v>1334</v>
      </c>
      <c r="H37" s="100">
        <f t="shared" si="0"/>
        <v>3.2963140000000002</v>
      </c>
      <c r="I37" s="70">
        <f>Pricing!I33</f>
        <v>1</v>
      </c>
      <c r="J37" s="69">
        <f t="shared" si="30"/>
        <v>3.2963140000000002</v>
      </c>
      <c r="K37" s="71">
        <f t="shared" si="31"/>
        <v>35.481523895999999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10741.029999999999</v>
      </c>
      <c r="Q37" s="74">
        <f t="shared" si="65"/>
        <v>1074.1029999999998</v>
      </c>
      <c r="R37" s="74">
        <f t="shared" si="66"/>
        <v>1299.6646299999998</v>
      </c>
      <c r="S37" s="74">
        <f t="shared" si="67"/>
        <v>65.573988149999991</v>
      </c>
      <c r="T37" s="74">
        <f t="shared" si="68"/>
        <v>131.80371618149996</v>
      </c>
      <c r="U37" s="72">
        <f t="shared" si="69"/>
        <v>13312.175334331496</v>
      </c>
      <c r="V37" s="74">
        <f t="shared" si="70"/>
        <v>199.68263001497243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8366.0449320000007</v>
      </c>
      <c r="AE37" s="76">
        <f t="shared" si="43"/>
        <v>623.77049180327867</v>
      </c>
      <c r="AF37" s="346">
        <f t="shared" si="44"/>
        <v>639.24000000000012</v>
      </c>
      <c r="AG37" s="347"/>
      <c r="AH37" s="76">
        <f t="shared" si="45"/>
        <v>22.830000000000002</v>
      </c>
      <c r="AI37" s="76">
        <f t="shared" si="15"/>
        <v>76.100000000000009</v>
      </c>
      <c r="AJ37" s="76">
        <f>J37*Pricing!Q33</f>
        <v>1241.85333636</v>
      </c>
      <c r="AK37" s="76">
        <f>J37*Pricing!R33</f>
        <v>0</v>
      </c>
      <c r="AL37" s="76">
        <f t="shared" si="16"/>
        <v>3548.1523895999999</v>
      </c>
      <c r="AM37" s="77">
        <f t="shared" si="17"/>
        <v>0</v>
      </c>
      <c r="AN37" s="76">
        <f t="shared" si="18"/>
        <v>2838.5219116799999</v>
      </c>
      <c r="AO37" s="72">
        <f t="shared" si="19"/>
        <v>14873.798456149747</v>
      </c>
      <c r="AP37" s="74">
        <f t="shared" si="20"/>
        <v>37184.496140374365</v>
      </c>
      <c r="AQ37" s="74">
        <f t="shared" si="76"/>
        <v>0</v>
      </c>
      <c r="AR37" s="74">
        <f t="shared" si="22"/>
        <v>15792.880956281502</v>
      </c>
      <c r="AS37" s="72">
        <f t="shared" si="23"/>
        <v>68052.867166164113</v>
      </c>
      <c r="AT37" s="72">
        <f t="shared" si="24"/>
        <v>20645.140956281502</v>
      </c>
      <c r="AU37" s="78">
        <f t="shared" si="77"/>
        <v>1917.9803935601547</v>
      </c>
      <c r="AV37" s="79">
        <f t="shared" si="26"/>
        <v>2.2408929194651532E-2</v>
      </c>
      <c r="AW37" s="80">
        <f t="shared" si="27"/>
        <v>380.81391329050905</v>
      </c>
      <c r="AX37" s="81">
        <f t="shared" si="28"/>
        <v>1537.1664802696457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SW13</v>
      </c>
      <c r="E38" s="132" t="str">
        <f>Pricing!N34</f>
        <v>20MM</v>
      </c>
      <c r="F38" s="68">
        <f>Pricing!G34</f>
        <v>2479</v>
      </c>
      <c r="G38" s="68">
        <f>Pricing!H34</f>
        <v>1328</v>
      </c>
      <c r="H38" s="100">
        <f t="shared" si="0"/>
        <v>3.2921119999999999</v>
      </c>
      <c r="I38" s="70">
        <f>Pricing!I34</f>
        <v>1</v>
      </c>
      <c r="J38" s="69">
        <f t="shared" si="30"/>
        <v>3.2921119999999999</v>
      </c>
      <c r="K38" s="71">
        <f t="shared" si="31"/>
        <v>35.436293567999996</v>
      </c>
      <c r="L38" s="69"/>
      <c r="M38" s="72"/>
      <c r="N38" s="72"/>
      <c r="O38" s="72">
        <f t="shared" si="79"/>
        <v>0</v>
      </c>
      <c r="P38" s="73">
        <f>Pricing!M34</f>
        <v>8890.9599999999991</v>
      </c>
      <c r="Q38" s="74">
        <f t="shared" si="65"/>
        <v>889.096</v>
      </c>
      <c r="R38" s="74">
        <f t="shared" si="66"/>
        <v>1075.8061599999999</v>
      </c>
      <c r="S38" s="74">
        <f t="shared" si="67"/>
        <v>54.279310799999998</v>
      </c>
      <c r="T38" s="74">
        <f t="shared" si="68"/>
        <v>109.10141470799999</v>
      </c>
      <c r="U38" s="72">
        <f t="shared" si="69"/>
        <v>11019.242885508</v>
      </c>
      <c r="V38" s="74">
        <f t="shared" si="70"/>
        <v>165.28864328262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8355.3802560000004</v>
      </c>
      <c r="AE38" s="76">
        <f t="shared" si="43"/>
        <v>624.09836065573768</v>
      </c>
      <c r="AF38" s="346">
        <f t="shared" si="44"/>
        <v>639.57599999999991</v>
      </c>
      <c r="AG38" s="347"/>
      <c r="AH38" s="76">
        <f t="shared" si="45"/>
        <v>22.841999999999999</v>
      </c>
      <c r="AI38" s="76">
        <f t="shared" si="15"/>
        <v>76.14</v>
      </c>
      <c r="AJ38" s="76">
        <f>J38*Pricing!Q34</f>
        <v>1240.2702748799998</v>
      </c>
      <c r="AK38" s="76">
        <f>J38*Pricing!R34</f>
        <v>0</v>
      </c>
      <c r="AL38" s="76">
        <f t="shared" si="16"/>
        <v>3543.6293567999996</v>
      </c>
      <c r="AM38" s="77">
        <f t="shared" si="17"/>
        <v>0</v>
      </c>
      <c r="AN38" s="76">
        <f t="shared" si="18"/>
        <v>2834.9034854399997</v>
      </c>
      <c r="AO38" s="72">
        <f t="shared" si="19"/>
        <v>12547.187889446355</v>
      </c>
      <c r="AP38" s="74">
        <f t="shared" si="20"/>
        <v>31367.96972361589</v>
      </c>
      <c r="AQ38" s="74">
        <f t="shared" si="76"/>
        <v>0</v>
      </c>
      <c r="AR38" s="74">
        <f t="shared" si="22"/>
        <v>13339.508987866222</v>
      </c>
      <c r="AS38" s="72">
        <f t="shared" si="23"/>
        <v>59889.340986182244</v>
      </c>
      <c r="AT38" s="72">
        <f t="shared" si="24"/>
        <v>18191.768987866224</v>
      </c>
      <c r="AU38" s="78">
        <f t="shared" si="77"/>
        <v>1690.0565763532354</v>
      </c>
      <c r="AV38" s="79">
        <f t="shared" si="26"/>
        <v>2.2380363250850084E-2</v>
      </c>
      <c r="AW38" s="80">
        <f t="shared" si="27"/>
        <v>315.62362771739134</v>
      </c>
      <c r="AX38" s="81">
        <f t="shared" si="28"/>
        <v>1374.432948635844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SW14</v>
      </c>
      <c r="E39" s="132" t="str">
        <f>Pricing!N35</f>
        <v>20MM</v>
      </c>
      <c r="F39" s="68">
        <f>Pricing!G35</f>
        <v>1865</v>
      </c>
      <c r="G39" s="68">
        <f>Pricing!H35</f>
        <v>1340</v>
      </c>
      <c r="H39" s="100">
        <f t="shared" si="0"/>
        <v>2.4990999999999999</v>
      </c>
      <c r="I39" s="70">
        <f>Pricing!I35</f>
        <v>1</v>
      </c>
      <c r="J39" s="69">
        <f t="shared" si="30"/>
        <v>2.4990999999999999</v>
      </c>
      <c r="K39" s="71">
        <f t="shared" si="31"/>
        <v>26.900312399999997</v>
      </c>
      <c r="L39" s="69"/>
      <c r="M39" s="72"/>
      <c r="N39" s="72"/>
      <c r="O39" s="72">
        <f t="shared" si="79"/>
        <v>0</v>
      </c>
      <c r="P39" s="73">
        <f>Pricing!M35</f>
        <v>7998.71</v>
      </c>
      <c r="Q39" s="74">
        <f t="shared" si="4"/>
        <v>799.87100000000009</v>
      </c>
      <c r="R39" s="74">
        <f t="shared" si="5"/>
        <v>967.84391000000005</v>
      </c>
      <c r="S39" s="74">
        <f t="shared" si="6"/>
        <v>48.832124550000003</v>
      </c>
      <c r="T39" s="74">
        <f t="shared" si="7"/>
        <v>98.152570345499996</v>
      </c>
      <c r="U39" s="72">
        <f t="shared" si="8"/>
        <v>9913.4096048954998</v>
      </c>
      <c r="V39" s="74">
        <f t="shared" si="9"/>
        <v>148.70114407343249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6342.7157999999999</v>
      </c>
      <c r="AE39" s="76">
        <f t="shared" si="43"/>
        <v>525.40983606557381</v>
      </c>
      <c r="AF39" s="346">
        <f t="shared" si="44"/>
        <v>538.43999999999994</v>
      </c>
      <c r="AG39" s="347"/>
      <c r="AH39" s="76">
        <f t="shared" si="45"/>
        <v>19.23</v>
      </c>
      <c r="AI39" s="76">
        <f t="shared" ref="AI39:AI44" si="80">(((F39+G39)*2*I39)/1000)*2*$AI$7</f>
        <v>64.099999999999994</v>
      </c>
      <c r="AJ39" s="76">
        <f>J39*Pricing!Q35</f>
        <v>941.51093399999979</v>
      </c>
      <c r="AK39" s="76">
        <f>J39*Pricing!R35</f>
        <v>0</v>
      </c>
      <c r="AL39" s="76">
        <f t="shared" si="16"/>
        <v>2690.0312399999993</v>
      </c>
      <c r="AM39" s="77">
        <f t="shared" si="17"/>
        <v>0</v>
      </c>
      <c r="AN39" s="76">
        <f t="shared" si="18"/>
        <v>2152.0249919999997</v>
      </c>
      <c r="AO39" s="72">
        <f t="shared" si="19"/>
        <v>11209.290585034507</v>
      </c>
      <c r="AP39" s="74">
        <f t="shared" si="20"/>
        <v>28023.226462586266</v>
      </c>
      <c r="AQ39" s="74">
        <f t="shared" si="21"/>
        <v>0</v>
      </c>
      <c r="AR39" s="74">
        <f t="shared" si="22"/>
        <v>15698.658336049288</v>
      </c>
      <c r="AS39" s="72">
        <f t="shared" si="23"/>
        <v>51358.80001362077</v>
      </c>
      <c r="AT39" s="72">
        <f t="shared" si="24"/>
        <v>20550.918336049286</v>
      </c>
      <c r="AU39" s="78">
        <f t="shared" si="25"/>
        <v>1909.2268985553035</v>
      </c>
      <c r="AV39" s="79">
        <f t="shared" si="26"/>
        <v>1.6989326547881555E-2</v>
      </c>
      <c r="AW39" s="80">
        <f t="shared" si="27"/>
        <v>374.05181766472475</v>
      </c>
      <c r="AX39" s="81">
        <f t="shared" si="28"/>
        <v>1535.175080890579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3 TRACK 2 SHUTTER SLIDING WINDOW</v>
      </c>
      <c r="D40" s="131" t="str">
        <f>Pricing!B36</f>
        <v>SW15</v>
      </c>
      <c r="E40" s="132" t="str">
        <f>Pricing!N36</f>
        <v>20MM</v>
      </c>
      <c r="F40" s="68">
        <f>Pricing!G36</f>
        <v>917</v>
      </c>
      <c r="G40" s="68">
        <f>Pricing!H36</f>
        <v>1295</v>
      </c>
      <c r="H40" s="100">
        <f t="shared" si="0"/>
        <v>1.1875150000000001</v>
      </c>
      <c r="I40" s="70">
        <f>Pricing!I36</f>
        <v>1</v>
      </c>
      <c r="J40" s="69">
        <f t="shared" si="30"/>
        <v>1.1875150000000001</v>
      </c>
      <c r="K40" s="71">
        <f t="shared" si="31"/>
        <v>12.782411460000001</v>
      </c>
      <c r="L40" s="69"/>
      <c r="M40" s="72"/>
      <c r="N40" s="72"/>
      <c r="O40" s="72">
        <f t="shared" si="79"/>
        <v>0</v>
      </c>
      <c r="P40" s="73">
        <f>Pricing!M36</f>
        <v>6458.2300000000005</v>
      </c>
      <c r="Q40" s="74">
        <f t="shared" si="4"/>
        <v>645.82300000000009</v>
      </c>
      <c r="R40" s="74">
        <f t="shared" si="5"/>
        <v>781.44583000000011</v>
      </c>
      <c r="S40" s="74">
        <f t="shared" si="6"/>
        <v>39.427494150000001</v>
      </c>
      <c r="T40" s="74">
        <f t="shared" si="7"/>
        <v>79.249263241500003</v>
      </c>
      <c r="U40" s="72">
        <f t="shared" si="8"/>
        <v>8004.1755873914999</v>
      </c>
      <c r="V40" s="74">
        <f t="shared" si="9"/>
        <v>120.0626338108725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3013.9130700000001</v>
      </c>
      <c r="AE40" s="76">
        <f t="shared" si="43"/>
        <v>362.62295081967216</v>
      </c>
      <c r="AF40" s="346">
        <f t="shared" si="44"/>
        <v>371.61599999999999</v>
      </c>
      <c r="AG40" s="347"/>
      <c r="AH40" s="76">
        <f t="shared" si="45"/>
        <v>13.272000000000002</v>
      </c>
      <c r="AI40" s="76">
        <f t="shared" si="80"/>
        <v>44.24</v>
      </c>
      <c r="AJ40" s="76">
        <f>J40*Pricing!Q36</f>
        <v>447.38440109999999</v>
      </c>
      <c r="AK40" s="76">
        <f>J40*Pricing!R36</f>
        <v>0</v>
      </c>
      <c r="AL40" s="76">
        <f t="shared" ref="AL40:AL89" si="81">J40*$AL$6</f>
        <v>1278.2411459999998</v>
      </c>
      <c r="AM40" s="77">
        <f t="shared" ref="AM40:AM89" si="82">$AM$6*J40</f>
        <v>0</v>
      </c>
      <c r="AN40" s="76">
        <f t="shared" ref="AN40:AN89" si="83">$AN$6*J40</f>
        <v>1022.5929168</v>
      </c>
      <c r="AO40" s="72">
        <f t="shared" ref="AO40:AO89" si="84">SUM(U40:V40)+SUM(AC40:AI40)-AD40</f>
        <v>8915.9891720220439</v>
      </c>
      <c r="AP40" s="74">
        <f t="shared" ref="AP40:AP89" si="85">AO40*$AP$6</f>
        <v>22289.972930055112</v>
      </c>
      <c r="AQ40" s="74">
        <f t="shared" si="21"/>
        <v>0</v>
      </c>
      <c r="AR40" s="74">
        <f t="shared" ref="AR40:AR57" si="86">SUM(AO40:AQ40)/J40</f>
        <v>26278.372990721931</v>
      </c>
      <c r="AS40" s="72">
        <f t="shared" ref="AS40:AS57" si="87">SUM(AJ40:AQ40)+AD40+AB40</f>
        <v>36968.093635977159</v>
      </c>
      <c r="AT40" s="72">
        <f t="shared" ref="AT40:AT89" si="88">AS40/J40</f>
        <v>31130.632990721933</v>
      </c>
      <c r="AU40" s="78">
        <f t="shared" si="25"/>
        <v>2892.1063722335502</v>
      </c>
      <c r="AV40" s="79">
        <f t="shared" ref="AV40:AV71" si="89">K40/$K$109</f>
        <v>8.0729383039924649E-3</v>
      </c>
      <c r="AW40" s="80">
        <f t="shared" ref="AW40:AW89" si="90">(U40+V40)/(J40*10.764)</f>
        <v>635.57946375185543</v>
      </c>
      <c r="AX40" s="81">
        <f t="shared" ref="AX40:AX89" si="91">SUM(W40:AN40,AP40)/(J40*10.764)</f>
        <v>2256.5269084816946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Z LOUVERS</v>
      </c>
      <c r="D41" s="131" t="str">
        <f>Pricing!B37</f>
        <v>V5</v>
      </c>
      <c r="E41" s="132" t="str">
        <f>Pricing!N37</f>
        <v>NA</v>
      </c>
      <c r="F41" s="68">
        <f>Pricing!G37</f>
        <v>572</v>
      </c>
      <c r="G41" s="68">
        <f>Pricing!H37</f>
        <v>580</v>
      </c>
      <c r="H41" s="100">
        <f t="shared" si="0"/>
        <v>0.33176</v>
      </c>
      <c r="I41" s="70">
        <f>Pricing!I37</f>
        <v>1</v>
      </c>
      <c r="J41" s="69">
        <f t="shared" si="30"/>
        <v>0.33176</v>
      </c>
      <c r="K41" s="71">
        <f t="shared" si="31"/>
        <v>3.5710646399999999</v>
      </c>
      <c r="L41" s="69"/>
      <c r="M41" s="72"/>
      <c r="N41" s="72"/>
      <c r="O41" s="72">
        <f t="shared" si="79"/>
        <v>0</v>
      </c>
      <c r="P41" s="73">
        <f>Pricing!M37</f>
        <v>2324</v>
      </c>
      <c r="Q41" s="74">
        <f t="shared" si="4"/>
        <v>232.4</v>
      </c>
      <c r="R41" s="74">
        <f t="shared" si="5"/>
        <v>281.20400000000001</v>
      </c>
      <c r="S41" s="74">
        <f t="shared" si="6"/>
        <v>14.188020000000002</v>
      </c>
      <c r="T41" s="74">
        <f t="shared" si="7"/>
        <v>28.517920200000002</v>
      </c>
      <c r="U41" s="72">
        <f t="shared" si="8"/>
        <v>2880.3099402000003</v>
      </c>
      <c r="V41" s="74">
        <f t="shared" si="9"/>
        <v>43.204649103000001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188.85245901639345</v>
      </c>
      <c r="AF41" s="346">
        <f t="shared" si="44"/>
        <v>193.53599999999997</v>
      </c>
      <c r="AG41" s="347"/>
      <c r="AH41" s="76">
        <f t="shared" si="45"/>
        <v>6.911999999999999</v>
      </c>
      <c r="AI41" s="76">
        <f t="shared" si="80"/>
        <v>23.04</v>
      </c>
      <c r="AJ41" s="76">
        <f>J41*Pricing!Q37</f>
        <v>0</v>
      </c>
      <c r="AK41" s="76">
        <f>J41*Pricing!R37</f>
        <v>0</v>
      </c>
      <c r="AL41" s="76">
        <f t="shared" si="81"/>
        <v>357.10646399999996</v>
      </c>
      <c r="AM41" s="77">
        <f t="shared" si="82"/>
        <v>0</v>
      </c>
      <c r="AN41" s="76">
        <f t="shared" si="83"/>
        <v>285.68517119999996</v>
      </c>
      <c r="AO41" s="72">
        <f t="shared" si="84"/>
        <v>3335.855048319394</v>
      </c>
      <c r="AP41" s="74">
        <f t="shared" si="85"/>
        <v>8339.6376207984849</v>
      </c>
      <c r="AQ41" s="74">
        <f t="shared" si="21"/>
        <v>0</v>
      </c>
      <c r="AR41" s="74">
        <f t="shared" si="86"/>
        <v>35192.587018078972</v>
      </c>
      <c r="AS41" s="72">
        <f t="shared" si="87"/>
        <v>12318.28430431788</v>
      </c>
      <c r="AT41" s="72">
        <f t="shared" si="88"/>
        <v>37130.107018078976</v>
      </c>
      <c r="AU41" s="78">
        <f t="shared" si="25"/>
        <v>3449.4711090745986</v>
      </c>
      <c r="AV41" s="79">
        <f t="shared" si="89"/>
        <v>2.2553635210776622E-3</v>
      </c>
      <c r="AW41" s="80">
        <f t="shared" si="90"/>
        <v>818.667507878827</v>
      </c>
      <c r="AX41" s="81">
        <f t="shared" si="91"/>
        <v>2630.8036011957706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Z LOUVERS</v>
      </c>
      <c r="D42" s="131" t="str">
        <f>Pricing!B38</f>
        <v>V6</v>
      </c>
      <c r="E42" s="132" t="str">
        <f>Pricing!N38</f>
        <v>NA</v>
      </c>
      <c r="F42" s="68">
        <f>Pricing!G38</f>
        <v>581</v>
      </c>
      <c r="G42" s="68">
        <f>Pricing!H38</f>
        <v>575</v>
      </c>
      <c r="H42" s="100">
        <f t="shared" si="0"/>
        <v>0.33407500000000001</v>
      </c>
      <c r="I42" s="70">
        <f>Pricing!I38</f>
        <v>1</v>
      </c>
      <c r="J42" s="69">
        <f t="shared" si="30"/>
        <v>0.33407500000000001</v>
      </c>
      <c r="K42" s="71">
        <f t="shared" si="31"/>
        <v>3.5959832999999999</v>
      </c>
      <c r="L42" s="69"/>
      <c r="M42" s="72"/>
      <c r="N42" s="72"/>
      <c r="O42" s="72">
        <f t="shared" si="79"/>
        <v>0</v>
      </c>
      <c r="P42" s="73">
        <f>Pricing!M38</f>
        <v>2327.3199999999997</v>
      </c>
      <c r="Q42" s="74">
        <f t="shared" si="4"/>
        <v>232.73199999999997</v>
      </c>
      <c r="R42" s="74">
        <f t="shared" si="5"/>
        <v>281.60571999999996</v>
      </c>
      <c r="S42" s="74">
        <f t="shared" si="6"/>
        <v>14.208288599999999</v>
      </c>
      <c r="T42" s="74">
        <f t="shared" si="7"/>
        <v>28.558660085999996</v>
      </c>
      <c r="U42" s="72">
        <f t="shared" si="8"/>
        <v>2884.4246686859997</v>
      </c>
      <c r="V42" s="74">
        <f t="shared" si="9"/>
        <v>43.266370030289991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189.50819672131146</v>
      </c>
      <c r="AF42" s="346">
        <f t="shared" si="44"/>
        <v>194.20800000000003</v>
      </c>
      <c r="AG42" s="347"/>
      <c r="AH42" s="76">
        <f t="shared" si="45"/>
        <v>6.9359999999999999</v>
      </c>
      <c r="AI42" s="76">
        <f t="shared" si="80"/>
        <v>23.119999999999997</v>
      </c>
      <c r="AJ42" s="76">
        <f>J42*Pricing!Q38</f>
        <v>0</v>
      </c>
      <c r="AK42" s="76">
        <f>J42*Pricing!R38</f>
        <v>0</v>
      </c>
      <c r="AL42" s="76">
        <f t="shared" si="81"/>
        <v>359.59832999999998</v>
      </c>
      <c r="AM42" s="77">
        <f t="shared" si="82"/>
        <v>0</v>
      </c>
      <c r="AN42" s="76">
        <f t="shared" si="83"/>
        <v>287.67866399999997</v>
      </c>
      <c r="AO42" s="72">
        <f t="shared" si="84"/>
        <v>3341.4632354376013</v>
      </c>
      <c r="AP42" s="74">
        <f t="shared" si="85"/>
        <v>8353.6580885940039</v>
      </c>
      <c r="AQ42" s="74">
        <f t="shared" si="21"/>
        <v>0</v>
      </c>
      <c r="AR42" s="74">
        <f t="shared" si="86"/>
        <v>35007.472346124683</v>
      </c>
      <c r="AS42" s="72">
        <f t="shared" si="87"/>
        <v>12342.398318031605</v>
      </c>
      <c r="AT42" s="72">
        <f t="shared" si="88"/>
        <v>36944.992346124687</v>
      </c>
      <c r="AU42" s="78">
        <f t="shared" si="25"/>
        <v>3432.2735364292726</v>
      </c>
      <c r="AV42" s="79">
        <f t="shared" si="89"/>
        <v>2.2711013030625149E-3</v>
      </c>
      <c r="AW42" s="80">
        <f t="shared" si="90"/>
        <v>814.15590520575824</v>
      </c>
      <c r="AX42" s="81">
        <f t="shared" si="91"/>
        <v>2618.1176312235139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FG12</v>
      </c>
      <c r="E43" s="132" t="str">
        <f>Pricing!N39</f>
        <v>20MM</v>
      </c>
      <c r="F43" s="68">
        <f>Pricing!G39</f>
        <v>860</v>
      </c>
      <c r="G43" s="68">
        <f>Pricing!H39</f>
        <v>1271</v>
      </c>
      <c r="H43" s="100">
        <f t="shared" si="0"/>
        <v>1.0930599999999999</v>
      </c>
      <c r="I43" s="70">
        <f>Pricing!I39</f>
        <v>1</v>
      </c>
      <c r="J43" s="69">
        <f t="shared" si="30"/>
        <v>1.0930599999999999</v>
      </c>
      <c r="K43" s="71">
        <f t="shared" si="31"/>
        <v>11.765697839999998</v>
      </c>
      <c r="L43" s="69"/>
      <c r="M43" s="72"/>
      <c r="N43" s="72"/>
      <c r="O43" s="72">
        <f t="shared" si="79"/>
        <v>0</v>
      </c>
      <c r="P43" s="73">
        <f>Pricing!M39</f>
        <v>1932.24</v>
      </c>
      <c r="Q43" s="74">
        <f t="shared" si="4"/>
        <v>193.22400000000002</v>
      </c>
      <c r="R43" s="74">
        <f t="shared" si="5"/>
        <v>233.80104</v>
      </c>
      <c r="S43" s="74">
        <f t="shared" si="6"/>
        <v>11.796325199999998</v>
      </c>
      <c r="T43" s="74">
        <f t="shared" si="7"/>
        <v>23.710613651999999</v>
      </c>
      <c r="U43" s="72">
        <f t="shared" si="8"/>
        <v>2394.7719788519998</v>
      </c>
      <c r="V43" s="74">
        <f t="shared" si="9"/>
        <v>35.921579682779999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2774.1862799999999</v>
      </c>
      <c r="AE43" s="76">
        <f t="shared" si="43"/>
        <v>349.34426229508199</v>
      </c>
      <c r="AF43" s="346">
        <f t="shared" si="44"/>
        <v>358.00799999999992</v>
      </c>
      <c r="AG43" s="347"/>
      <c r="AH43" s="76">
        <f t="shared" si="45"/>
        <v>12.785999999999998</v>
      </c>
      <c r="AI43" s="76">
        <f t="shared" si="80"/>
        <v>42.62</v>
      </c>
      <c r="AJ43" s="76">
        <f>J43*Pricing!Q39</f>
        <v>0</v>
      </c>
      <c r="AK43" s="76">
        <f>J43*Pricing!R39</f>
        <v>0</v>
      </c>
      <c r="AL43" s="76">
        <f t="shared" si="81"/>
        <v>1176.5697839999998</v>
      </c>
      <c r="AM43" s="77">
        <f t="shared" si="82"/>
        <v>0</v>
      </c>
      <c r="AN43" s="76">
        <f t="shared" si="83"/>
        <v>941.25582719999977</v>
      </c>
      <c r="AO43" s="72">
        <f t="shared" si="84"/>
        <v>3193.4518208298614</v>
      </c>
      <c r="AP43" s="74">
        <f t="shared" si="85"/>
        <v>7983.6295520746535</v>
      </c>
      <c r="AQ43" s="74">
        <f t="shared" si="21"/>
        <v>0</v>
      </c>
      <c r="AR43" s="74">
        <f t="shared" si="86"/>
        <v>10225.496654259159</v>
      </c>
      <c r="AS43" s="72">
        <f t="shared" si="87"/>
        <v>16069.093264104515</v>
      </c>
      <c r="AT43" s="72">
        <f t="shared" si="88"/>
        <v>14701.016654259158</v>
      </c>
      <c r="AU43" s="78">
        <f t="shared" si="25"/>
        <v>1365.7577716703047</v>
      </c>
      <c r="AV43" s="79">
        <f t="shared" si="89"/>
        <v>7.4308164044765762E-3</v>
      </c>
      <c r="AW43" s="80">
        <f t="shared" si="90"/>
        <v>206.59153342108777</v>
      </c>
      <c r="AX43" s="81">
        <f t="shared" si="91"/>
        <v>1159.166238249217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3 TRACK 2 SHUTTER SLIDING WINDOW</v>
      </c>
      <c r="D44" s="131" t="str">
        <f>Pricing!B40</f>
        <v>SW16</v>
      </c>
      <c r="E44" s="132" t="str">
        <f>Pricing!N40</f>
        <v>20MM</v>
      </c>
      <c r="F44" s="68">
        <f>Pricing!G40</f>
        <v>1841</v>
      </c>
      <c r="G44" s="68">
        <f>Pricing!H40</f>
        <v>1249</v>
      </c>
      <c r="H44" s="100">
        <f t="shared" si="0"/>
        <v>2.2994089999999998</v>
      </c>
      <c r="I44" s="70">
        <f>Pricing!I40</f>
        <v>1</v>
      </c>
      <c r="J44" s="69">
        <f t="shared" si="30"/>
        <v>2.2994089999999998</v>
      </c>
      <c r="K44" s="71">
        <f t="shared" si="31"/>
        <v>24.750838475999995</v>
      </c>
      <c r="L44" s="69"/>
      <c r="M44" s="72"/>
      <c r="N44" s="72"/>
      <c r="O44" s="72">
        <f t="shared" si="79"/>
        <v>0</v>
      </c>
      <c r="P44" s="73">
        <f>Pricing!M40</f>
        <v>7729.79</v>
      </c>
      <c r="Q44" s="74">
        <f t="shared" si="4"/>
        <v>772.97900000000004</v>
      </c>
      <c r="R44" s="74">
        <f t="shared" si="5"/>
        <v>935.30459000000008</v>
      </c>
      <c r="S44" s="74">
        <f t="shared" si="6"/>
        <v>47.190367950000002</v>
      </c>
      <c r="T44" s="74">
        <f t="shared" si="7"/>
        <v>94.852639579499993</v>
      </c>
      <c r="U44" s="72">
        <f t="shared" si="8"/>
        <v>9580.1165975294989</v>
      </c>
      <c r="V44" s="74">
        <f t="shared" si="9"/>
        <v>143.70174896294247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5835.9000419999993</v>
      </c>
      <c r="AE44" s="76">
        <f t="shared" si="43"/>
        <v>506.55737704918033</v>
      </c>
      <c r="AF44" s="346">
        <f t="shared" si="44"/>
        <v>519.12</v>
      </c>
      <c r="AG44" s="347"/>
      <c r="AH44" s="76">
        <f t="shared" si="45"/>
        <v>18.54</v>
      </c>
      <c r="AI44" s="76">
        <f t="shared" si="80"/>
        <v>61.8</v>
      </c>
      <c r="AJ44" s="76">
        <f>J44*Pricing!Q40</f>
        <v>866.27934665999987</v>
      </c>
      <c r="AK44" s="76">
        <f>J44*Pricing!R40</f>
        <v>0</v>
      </c>
      <c r="AL44" s="76">
        <f t="shared" si="81"/>
        <v>2475.0838475999994</v>
      </c>
      <c r="AM44" s="77">
        <f t="shared" si="82"/>
        <v>0</v>
      </c>
      <c r="AN44" s="76">
        <f t="shared" si="83"/>
        <v>1980.0670780799996</v>
      </c>
      <c r="AO44" s="72">
        <f t="shared" si="84"/>
        <v>10829.835723541621</v>
      </c>
      <c r="AP44" s="74">
        <f t="shared" si="85"/>
        <v>27074.589308854051</v>
      </c>
      <c r="AQ44" s="74">
        <f t="shared" si="21"/>
        <v>0</v>
      </c>
      <c r="AR44" s="74">
        <f t="shared" si="86"/>
        <v>16484.420576067885</v>
      </c>
      <c r="AS44" s="72">
        <f t="shared" si="87"/>
        <v>49061.75534673567</v>
      </c>
      <c r="AT44" s="72">
        <f t="shared" si="88"/>
        <v>21336.680576067884</v>
      </c>
      <c r="AU44" s="78">
        <f t="shared" si="25"/>
        <v>1982.2259918309071</v>
      </c>
      <c r="AV44" s="79">
        <f t="shared" si="89"/>
        <v>1.5631791592228311E-2</v>
      </c>
      <c r="AW44" s="80">
        <f t="shared" si="90"/>
        <v>392.86823983443145</v>
      </c>
      <c r="AX44" s="81">
        <f t="shared" si="91"/>
        <v>1589.3577519964756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2 SHUTTER SLIDING WINDOW</v>
      </c>
      <c r="D45" s="131" t="str">
        <f>Pricing!B41</f>
        <v>SW17</v>
      </c>
      <c r="E45" s="132" t="str">
        <f>Pricing!N41</f>
        <v>20MM</v>
      </c>
      <c r="F45" s="68">
        <f>Pricing!G41</f>
        <v>3728</v>
      </c>
      <c r="G45" s="68">
        <f>Pricing!H41</f>
        <v>1301</v>
      </c>
      <c r="H45" s="100">
        <f t="shared" si="0"/>
        <v>4.8501279999999998</v>
      </c>
      <c r="I45" s="70">
        <f>Pricing!I41</f>
        <v>1</v>
      </c>
      <c r="J45" s="69">
        <f t="shared" si="30"/>
        <v>4.8501279999999998</v>
      </c>
      <c r="K45" s="71">
        <f t="shared" si="31"/>
        <v>52.206777791999997</v>
      </c>
      <c r="L45" s="69"/>
      <c r="M45" s="72"/>
      <c r="N45" s="72"/>
      <c r="O45" s="72">
        <f t="shared" si="79"/>
        <v>0</v>
      </c>
      <c r="P45" s="73">
        <f>Pricing!M41</f>
        <v>10699.529999999999</v>
      </c>
      <c r="Q45" s="74">
        <f t="shared" ref="Q45:Q50" si="92">P45*$Q$6</f>
        <v>1069.953</v>
      </c>
      <c r="R45" s="74">
        <f t="shared" ref="R45:R50" si="93">(P45+Q45)*$R$6</f>
        <v>1294.6431299999999</v>
      </c>
      <c r="S45" s="74">
        <f t="shared" ref="S45:S50" si="94">(P45+Q45+R45)*$S$6</f>
        <v>65.320630649999998</v>
      </c>
      <c r="T45" s="74">
        <f t="shared" ref="T45:T50" si="95">(P45+Q45+R45+S45)*$T$6</f>
        <v>131.29446760649998</v>
      </c>
      <c r="U45" s="72">
        <f t="shared" ref="U45:U50" si="96">SUM(P45:T45)</f>
        <v>13260.741228256498</v>
      </c>
      <c r="V45" s="74">
        <f t="shared" ref="V45:V50" si="97">U45*$V$6</f>
        <v>198.91111842384746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12309.624863999999</v>
      </c>
      <c r="AE45" s="76">
        <f t="shared" si="43"/>
        <v>824.42622950819668</v>
      </c>
      <c r="AF45" s="346">
        <f t="shared" si="44"/>
        <v>844.87199999999984</v>
      </c>
      <c r="AG45" s="347"/>
      <c r="AH45" s="76">
        <f t="shared" si="45"/>
        <v>30.173999999999999</v>
      </c>
      <c r="AI45" s="76">
        <f t="shared" si="15"/>
        <v>100.58</v>
      </c>
      <c r="AJ45" s="76">
        <f>J45*Pricing!Q41</f>
        <v>1827.2372227199996</v>
      </c>
      <c r="AK45" s="76">
        <f>J45*Pricing!R41</f>
        <v>0</v>
      </c>
      <c r="AL45" s="76">
        <f t="shared" si="81"/>
        <v>5220.6777791999993</v>
      </c>
      <c r="AM45" s="77">
        <f t="shared" si="82"/>
        <v>0</v>
      </c>
      <c r="AN45" s="76">
        <f t="shared" si="83"/>
        <v>4176.5422233599993</v>
      </c>
      <c r="AO45" s="72">
        <f t="shared" si="84"/>
        <v>15259.704576188544</v>
      </c>
      <c r="AP45" s="74">
        <f t="shared" si="85"/>
        <v>38149.26144047136</v>
      </c>
      <c r="AQ45" s="74">
        <f t="shared" ref="AQ45:AQ50" si="103">(AO45+AP45)*$AQ$6</f>
        <v>0</v>
      </c>
      <c r="AR45" s="74">
        <f t="shared" si="86"/>
        <v>11011.867319101662</v>
      </c>
      <c r="AS45" s="72">
        <f t="shared" si="87"/>
        <v>76943.048105939903</v>
      </c>
      <c r="AT45" s="72">
        <f t="shared" si="88"/>
        <v>15864.127319101663</v>
      </c>
      <c r="AU45" s="78">
        <f t="shared" ref="AU45:AU50" si="104">AT45/10.764</f>
        <v>1473.813388991236</v>
      </c>
      <c r="AV45" s="79">
        <f t="shared" si="89"/>
        <v>3.2972033288393293E-2</v>
      </c>
      <c r="AW45" s="80">
        <f t="shared" si="90"/>
        <v>257.8142707888565</v>
      </c>
      <c r="AX45" s="81">
        <f t="shared" si="91"/>
        <v>1215.9991182023793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3 TRACK 2 SHUTTER SLIDING WINDOW</v>
      </c>
      <c r="D46" s="131" t="str">
        <f>Pricing!B42</f>
        <v>SW18</v>
      </c>
      <c r="E46" s="132" t="str">
        <f>Pricing!N42</f>
        <v>20MM</v>
      </c>
      <c r="F46" s="68">
        <f>Pricing!G42</f>
        <v>2439</v>
      </c>
      <c r="G46" s="68">
        <f>Pricing!H42</f>
        <v>1298</v>
      </c>
      <c r="H46" s="100">
        <f t="shared" si="0"/>
        <v>3.1658219999999999</v>
      </c>
      <c r="I46" s="70">
        <f>Pricing!I42</f>
        <v>1</v>
      </c>
      <c r="J46" s="69">
        <f t="shared" si="30"/>
        <v>3.1658219999999999</v>
      </c>
      <c r="K46" s="71">
        <f t="shared" si="31"/>
        <v>34.076908007999997</v>
      </c>
      <c r="L46" s="69"/>
      <c r="M46" s="72"/>
      <c r="N46" s="72"/>
      <c r="O46" s="72">
        <f t="shared" si="79"/>
        <v>0</v>
      </c>
      <c r="P46" s="73">
        <f>Pricing!M42</f>
        <v>8754.01</v>
      </c>
      <c r="Q46" s="74">
        <f t="shared" si="92"/>
        <v>875.40100000000007</v>
      </c>
      <c r="R46" s="74">
        <f t="shared" si="93"/>
        <v>1059.2352100000001</v>
      </c>
      <c r="S46" s="74">
        <f t="shared" si="94"/>
        <v>53.443231050000009</v>
      </c>
      <c r="T46" s="74">
        <f t="shared" si="95"/>
        <v>107.42089441050001</v>
      </c>
      <c r="U46" s="72">
        <f t="shared" si="96"/>
        <v>10849.5103354605</v>
      </c>
      <c r="V46" s="74">
        <f t="shared" si="97"/>
        <v>162.7426550319075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8034.8562359999996</v>
      </c>
      <c r="AE46" s="76">
        <f t="shared" si="43"/>
        <v>612.62295081967216</v>
      </c>
      <c r="AF46" s="346">
        <f t="shared" si="44"/>
        <v>627.81600000000003</v>
      </c>
      <c r="AG46" s="347"/>
      <c r="AH46" s="76">
        <f t="shared" si="45"/>
        <v>22.422000000000001</v>
      </c>
      <c r="AI46" s="76">
        <f t="shared" si="15"/>
        <v>74.740000000000009</v>
      </c>
      <c r="AJ46" s="76">
        <f>J46*Pricing!Q42</f>
        <v>1192.6917802799999</v>
      </c>
      <c r="AK46" s="76">
        <f>J46*Pricing!R42</f>
        <v>0</v>
      </c>
      <c r="AL46" s="76">
        <f t="shared" si="81"/>
        <v>3407.6908007999996</v>
      </c>
      <c r="AM46" s="77">
        <f t="shared" si="82"/>
        <v>0</v>
      </c>
      <c r="AN46" s="76">
        <f t="shared" si="83"/>
        <v>2726.1526406399994</v>
      </c>
      <c r="AO46" s="72">
        <f t="shared" si="84"/>
        <v>12349.853941312082</v>
      </c>
      <c r="AP46" s="74">
        <f t="shared" si="85"/>
        <v>30874.634853280204</v>
      </c>
      <c r="AQ46" s="74">
        <f t="shared" si="103"/>
        <v>0</v>
      </c>
      <c r="AR46" s="74">
        <f t="shared" si="86"/>
        <v>13653.480452973125</v>
      </c>
      <c r="AS46" s="72">
        <f t="shared" si="87"/>
        <v>58585.880252312279</v>
      </c>
      <c r="AT46" s="72">
        <f t="shared" si="88"/>
        <v>18505.740452973125</v>
      </c>
      <c r="AU46" s="78">
        <f t="shared" si="104"/>
        <v>1719.2252371769905</v>
      </c>
      <c r="AV46" s="79">
        <f t="shared" si="89"/>
        <v>2.1521821355875107E-2</v>
      </c>
      <c r="AW46" s="80">
        <f t="shared" si="90"/>
        <v>323.15880853706381</v>
      </c>
      <c r="AX46" s="81">
        <f t="shared" si="91"/>
        <v>1396.0664286399267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FIXED GLASS</v>
      </c>
      <c r="D47" s="131" t="str">
        <f>Pricing!B43</f>
        <v>FG13</v>
      </c>
      <c r="E47" s="132" t="str">
        <f>Pricing!N43</f>
        <v>20MM</v>
      </c>
      <c r="F47" s="68">
        <f>Pricing!G43</f>
        <v>1519</v>
      </c>
      <c r="G47" s="68">
        <f>Pricing!H43</f>
        <v>1295</v>
      </c>
      <c r="H47" s="100">
        <f t="shared" si="0"/>
        <v>1.9671050000000001</v>
      </c>
      <c r="I47" s="70">
        <f>Pricing!I43</f>
        <v>1</v>
      </c>
      <c r="J47" s="69">
        <f t="shared" si="30"/>
        <v>1.9671050000000001</v>
      </c>
      <c r="K47" s="71">
        <f t="shared" si="31"/>
        <v>21.173918220000001</v>
      </c>
      <c r="L47" s="69"/>
      <c r="M47" s="72"/>
      <c r="N47" s="72"/>
      <c r="O47" s="72">
        <f t="shared" si="79"/>
        <v>0</v>
      </c>
      <c r="P47" s="73">
        <f>Pricing!M43</f>
        <v>2531.5</v>
      </c>
      <c r="Q47" s="74">
        <f t="shared" si="92"/>
        <v>253.15</v>
      </c>
      <c r="R47" s="74">
        <f t="shared" si="93"/>
        <v>306.31150000000002</v>
      </c>
      <c r="S47" s="74">
        <f t="shared" si="94"/>
        <v>15.454807500000003</v>
      </c>
      <c r="T47" s="74">
        <f t="shared" si="95"/>
        <v>31.064163075000003</v>
      </c>
      <c r="U47" s="72">
        <f t="shared" si="96"/>
        <v>3137.4804705750003</v>
      </c>
      <c r="V47" s="74">
        <f t="shared" si="97"/>
        <v>47.062207058624999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4992.5124900000001</v>
      </c>
      <c r="AE47" s="76">
        <f t="shared" si="43"/>
        <v>461.31147540983608</v>
      </c>
      <c r="AF47" s="346">
        <f t="shared" si="44"/>
        <v>472.75199999999995</v>
      </c>
      <c r="AG47" s="347"/>
      <c r="AH47" s="76">
        <f t="shared" si="45"/>
        <v>16.884</v>
      </c>
      <c r="AI47" s="76">
        <f t="shared" si="15"/>
        <v>56.28</v>
      </c>
      <c r="AJ47" s="76">
        <f>J47*Pricing!Q43</f>
        <v>0</v>
      </c>
      <c r="AK47" s="76">
        <f>J47*Pricing!R43</f>
        <v>0</v>
      </c>
      <c r="AL47" s="76">
        <f t="shared" si="81"/>
        <v>2117.391822</v>
      </c>
      <c r="AM47" s="77">
        <f t="shared" si="82"/>
        <v>0</v>
      </c>
      <c r="AN47" s="76">
        <f t="shared" si="83"/>
        <v>1693.9134575999999</v>
      </c>
      <c r="AO47" s="72">
        <f t="shared" si="84"/>
        <v>4191.7701530434615</v>
      </c>
      <c r="AP47" s="74">
        <f t="shared" si="85"/>
        <v>10479.425382608653</v>
      </c>
      <c r="AQ47" s="74">
        <f t="shared" si="103"/>
        <v>0</v>
      </c>
      <c r="AR47" s="74">
        <f t="shared" si="86"/>
        <v>7458.2676245813582</v>
      </c>
      <c r="AS47" s="72">
        <f t="shared" si="87"/>
        <v>23475.013305252116</v>
      </c>
      <c r="AT47" s="72">
        <f t="shared" si="88"/>
        <v>11933.787624581359</v>
      </c>
      <c r="AU47" s="78">
        <f t="shared" si="104"/>
        <v>1108.6759220161055</v>
      </c>
      <c r="AV47" s="79">
        <f t="shared" si="89"/>
        <v>1.3372729862338662E-2</v>
      </c>
      <c r="AW47" s="80">
        <f t="shared" si="90"/>
        <v>150.39930940252896</v>
      </c>
      <c r="AX47" s="81">
        <f t="shared" si="91"/>
        <v>958.27661261357639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FIXED GLASS</v>
      </c>
      <c r="D48" s="131" t="str">
        <f>Pricing!B44</f>
        <v>FG14</v>
      </c>
      <c r="E48" s="132" t="str">
        <f>Pricing!N44</f>
        <v>20MM</v>
      </c>
      <c r="F48" s="68">
        <f>Pricing!G44</f>
        <v>1559</v>
      </c>
      <c r="G48" s="68">
        <f>Pricing!H44</f>
        <v>1337</v>
      </c>
      <c r="H48" s="100">
        <f t="shared" si="0"/>
        <v>2.0843829999999999</v>
      </c>
      <c r="I48" s="70">
        <f>Pricing!I44</f>
        <v>1</v>
      </c>
      <c r="J48" s="69">
        <f t="shared" si="30"/>
        <v>2.0843829999999999</v>
      </c>
      <c r="K48" s="71">
        <f t="shared" si="31"/>
        <v>22.436298611999998</v>
      </c>
      <c r="L48" s="69"/>
      <c r="M48" s="72"/>
      <c r="N48" s="72"/>
      <c r="O48" s="72">
        <f t="shared" si="79"/>
        <v>0</v>
      </c>
      <c r="P48" s="73">
        <f>Pricing!M44</f>
        <v>2602.88</v>
      </c>
      <c r="Q48" s="74">
        <f t="shared" si="92"/>
        <v>260.28800000000001</v>
      </c>
      <c r="R48" s="74">
        <f t="shared" si="93"/>
        <v>314.94848000000002</v>
      </c>
      <c r="S48" s="74">
        <f t="shared" si="94"/>
        <v>15.890582400000001</v>
      </c>
      <c r="T48" s="74">
        <f t="shared" si="95"/>
        <v>31.940070624000001</v>
      </c>
      <c r="U48" s="72">
        <f t="shared" si="96"/>
        <v>3225.9471330239999</v>
      </c>
      <c r="V48" s="74">
        <f t="shared" si="97"/>
        <v>48.389206995359999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5290.1640539999999</v>
      </c>
      <c r="AE48" s="76">
        <f t="shared" si="43"/>
        <v>474.75409836065569</v>
      </c>
      <c r="AF48" s="346">
        <f t="shared" si="44"/>
        <v>486.52799999999991</v>
      </c>
      <c r="AG48" s="347"/>
      <c r="AH48" s="76">
        <f t="shared" si="45"/>
        <v>17.375999999999998</v>
      </c>
      <c r="AI48" s="76">
        <f t="shared" si="15"/>
        <v>57.92</v>
      </c>
      <c r="AJ48" s="76">
        <f>J48*Pricing!Q44</f>
        <v>0</v>
      </c>
      <c r="AK48" s="76">
        <f>J48*Pricing!R44</f>
        <v>0</v>
      </c>
      <c r="AL48" s="76">
        <f t="shared" si="81"/>
        <v>2243.6298611999996</v>
      </c>
      <c r="AM48" s="77">
        <f t="shared" si="82"/>
        <v>0</v>
      </c>
      <c r="AN48" s="76">
        <f t="shared" si="83"/>
        <v>1794.9038889599997</v>
      </c>
      <c r="AO48" s="72">
        <f t="shared" si="84"/>
        <v>4310.9144383800167</v>
      </c>
      <c r="AP48" s="74">
        <f t="shared" si="85"/>
        <v>10777.286095950041</v>
      </c>
      <c r="AQ48" s="74">
        <f t="shared" si="103"/>
        <v>0</v>
      </c>
      <c r="AR48" s="74">
        <f t="shared" si="86"/>
        <v>7238.6891153545484</v>
      </c>
      <c r="AS48" s="72">
        <f t="shared" si="87"/>
        <v>24416.898338490057</v>
      </c>
      <c r="AT48" s="72">
        <f t="shared" si="88"/>
        <v>11714.209115354548</v>
      </c>
      <c r="AU48" s="78">
        <f t="shared" si="104"/>
        <v>1088.2765807650082</v>
      </c>
      <c r="AV48" s="79">
        <f t="shared" si="89"/>
        <v>1.4170006577509104E-2</v>
      </c>
      <c r="AW48" s="80">
        <f t="shared" si="90"/>
        <v>145.93923875964501</v>
      </c>
      <c r="AX48" s="81">
        <f t="shared" si="91"/>
        <v>942.33734200536321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FIXED GLASS</v>
      </c>
      <c r="D49" s="131" t="str">
        <f>Pricing!B45</f>
        <v>FG15</v>
      </c>
      <c r="E49" s="132" t="str">
        <f>Pricing!N45</f>
        <v>20MM</v>
      </c>
      <c r="F49" s="68">
        <f>Pricing!G45</f>
        <v>1564</v>
      </c>
      <c r="G49" s="68">
        <f>Pricing!H45</f>
        <v>1331</v>
      </c>
      <c r="H49" s="100">
        <f t="shared" si="0"/>
        <v>2.0816840000000001</v>
      </c>
      <c r="I49" s="70">
        <f>Pricing!I45</f>
        <v>1</v>
      </c>
      <c r="J49" s="69">
        <f t="shared" si="30"/>
        <v>2.0816840000000001</v>
      </c>
      <c r="K49" s="71">
        <f t="shared" si="31"/>
        <v>22.407246575999999</v>
      </c>
      <c r="L49" s="69"/>
      <c r="M49" s="72"/>
      <c r="N49" s="72"/>
      <c r="O49" s="72">
        <f t="shared" si="79"/>
        <v>0</v>
      </c>
      <c r="P49" s="73">
        <f>Pricing!M45</f>
        <v>2602.0500000000002</v>
      </c>
      <c r="Q49" s="74">
        <f t="shared" si="92"/>
        <v>260.20500000000004</v>
      </c>
      <c r="R49" s="74">
        <f t="shared" si="93"/>
        <v>314.84805</v>
      </c>
      <c r="S49" s="74">
        <f t="shared" si="94"/>
        <v>15.885515250000001</v>
      </c>
      <c r="T49" s="74">
        <f t="shared" si="95"/>
        <v>31.929885652500001</v>
      </c>
      <c r="U49" s="72">
        <f t="shared" si="96"/>
        <v>3224.9184509025004</v>
      </c>
      <c r="V49" s="74">
        <f t="shared" si="97"/>
        <v>48.373776763537506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5283.3139920000003</v>
      </c>
      <c r="AE49" s="76">
        <f t="shared" si="43"/>
        <v>474.59016393442619</v>
      </c>
      <c r="AF49" s="346">
        <f t="shared" si="44"/>
        <v>486.35999999999996</v>
      </c>
      <c r="AG49" s="347"/>
      <c r="AH49" s="76">
        <f t="shared" si="45"/>
        <v>17.37</v>
      </c>
      <c r="AI49" s="76">
        <f t="shared" si="15"/>
        <v>57.9</v>
      </c>
      <c r="AJ49" s="76">
        <f>J49*Pricing!Q45</f>
        <v>0</v>
      </c>
      <c r="AK49" s="76">
        <f>J49*Pricing!R45</f>
        <v>0</v>
      </c>
      <c r="AL49" s="76">
        <f t="shared" si="81"/>
        <v>2240.7246575999998</v>
      </c>
      <c r="AM49" s="77">
        <f t="shared" si="82"/>
        <v>0</v>
      </c>
      <c r="AN49" s="76">
        <f t="shared" si="83"/>
        <v>1792.5797260799998</v>
      </c>
      <c r="AO49" s="72">
        <f t="shared" si="84"/>
        <v>4309.5123916004641</v>
      </c>
      <c r="AP49" s="74">
        <f t="shared" si="85"/>
        <v>10773.78097900116</v>
      </c>
      <c r="AQ49" s="74">
        <f t="shared" si="103"/>
        <v>0</v>
      </c>
      <c r="AR49" s="74">
        <f t="shared" si="86"/>
        <v>7245.7171072082128</v>
      </c>
      <c r="AS49" s="72">
        <f t="shared" si="87"/>
        <v>24399.911746281625</v>
      </c>
      <c r="AT49" s="72">
        <f t="shared" si="88"/>
        <v>11721.237107208213</v>
      </c>
      <c r="AU49" s="78">
        <f t="shared" si="104"/>
        <v>1088.9294971393733</v>
      </c>
      <c r="AV49" s="79">
        <f t="shared" si="89"/>
        <v>1.4151658295186375E-2</v>
      </c>
      <c r="AW49" s="80">
        <f t="shared" si="90"/>
        <v>146.08185867745138</v>
      </c>
      <c r="AX49" s="81">
        <f t="shared" si="91"/>
        <v>942.84763846192197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FIXED GLASS</v>
      </c>
      <c r="D50" s="131" t="str">
        <f>Pricing!B46</f>
        <v>FG16</v>
      </c>
      <c r="E50" s="132" t="str">
        <f>Pricing!N46</f>
        <v>20MM</v>
      </c>
      <c r="F50" s="68">
        <f>Pricing!G46</f>
        <v>1564</v>
      </c>
      <c r="G50" s="68">
        <f>Pricing!H46</f>
        <v>1337</v>
      </c>
      <c r="H50" s="100">
        <f t="shared" si="0"/>
        <v>2.0910679999999999</v>
      </c>
      <c r="I50" s="70">
        <f>Pricing!I46</f>
        <v>1</v>
      </c>
      <c r="J50" s="69">
        <f t="shared" si="30"/>
        <v>2.0910679999999999</v>
      </c>
      <c r="K50" s="71">
        <f t="shared" si="31"/>
        <v>22.508255951999999</v>
      </c>
      <c r="L50" s="69"/>
      <c r="M50" s="72"/>
      <c r="N50" s="72"/>
      <c r="O50" s="72">
        <f t="shared" si="79"/>
        <v>0</v>
      </c>
      <c r="P50" s="73">
        <f>Pricing!M46</f>
        <v>2607.0300000000002</v>
      </c>
      <c r="Q50" s="74">
        <f t="shared" si="92"/>
        <v>260.70300000000003</v>
      </c>
      <c r="R50" s="74">
        <f t="shared" si="93"/>
        <v>315.45063000000005</v>
      </c>
      <c r="S50" s="74">
        <f t="shared" si="94"/>
        <v>15.915918150000003</v>
      </c>
      <c r="T50" s="74">
        <f t="shared" si="95"/>
        <v>31.990995481500004</v>
      </c>
      <c r="U50" s="72">
        <f t="shared" si="96"/>
        <v>3231.0905436315002</v>
      </c>
      <c r="V50" s="74">
        <f t="shared" si="97"/>
        <v>48.466358154472502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5307.1305839999995</v>
      </c>
      <c r="AE50" s="76">
        <f t="shared" si="43"/>
        <v>475.57377049180332</v>
      </c>
      <c r="AF50" s="346">
        <f t="shared" si="44"/>
        <v>487.36799999999999</v>
      </c>
      <c r="AG50" s="347"/>
      <c r="AH50" s="76">
        <f t="shared" si="45"/>
        <v>17.405999999999999</v>
      </c>
      <c r="AI50" s="76">
        <f t="shared" si="15"/>
        <v>58.019999999999996</v>
      </c>
      <c r="AJ50" s="76">
        <f>J50*Pricing!Q46</f>
        <v>0</v>
      </c>
      <c r="AK50" s="76">
        <f>J50*Pricing!R46</f>
        <v>0</v>
      </c>
      <c r="AL50" s="76">
        <f t="shared" si="81"/>
        <v>2250.8255951999995</v>
      </c>
      <c r="AM50" s="77">
        <f t="shared" si="82"/>
        <v>0</v>
      </c>
      <c r="AN50" s="76">
        <f t="shared" si="83"/>
        <v>1800.6604761599997</v>
      </c>
      <c r="AO50" s="72">
        <f t="shared" si="84"/>
        <v>4317.924672277778</v>
      </c>
      <c r="AP50" s="74">
        <f t="shared" si="85"/>
        <v>10794.811680694445</v>
      </c>
      <c r="AQ50" s="74">
        <f t="shared" si="103"/>
        <v>0</v>
      </c>
      <c r="AR50" s="74">
        <f t="shared" si="86"/>
        <v>7227.2811563144887</v>
      </c>
      <c r="AS50" s="72">
        <f t="shared" si="87"/>
        <v>24471.353008332222</v>
      </c>
      <c r="AT50" s="72">
        <f t="shared" si="88"/>
        <v>11702.801156314488</v>
      </c>
      <c r="AU50" s="78">
        <f t="shared" si="104"/>
        <v>1087.2167555104504</v>
      </c>
      <c r="AV50" s="79">
        <f t="shared" si="89"/>
        <v>1.4215452397193226E-2</v>
      </c>
      <c r="AW50" s="80">
        <f t="shared" si="90"/>
        <v>145.70462095240939</v>
      </c>
      <c r="AX50" s="81">
        <f t="shared" si="91"/>
        <v>941.51213455804088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FIXED GLASS</v>
      </c>
      <c r="D51" s="131" t="str">
        <f>Pricing!B47</f>
        <v>FG17</v>
      </c>
      <c r="E51" s="132" t="str">
        <f>Pricing!N47</f>
        <v>20MM</v>
      </c>
      <c r="F51" s="68">
        <f>Pricing!G47</f>
        <v>1562</v>
      </c>
      <c r="G51" s="68">
        <f>Pricing!H47</f>
        <v>1334</v>
      </c>
      <c r="H51" s="100">
        <f t="shared" si="0"/>
        <v>2.0837080000000001</v>
      </c>
      <c r="I51" s="70">
        <f>Pricing!I47</f>
        <v>1</v>
      </c>
      <c r="J51" s="69">
        <f t="shared" si="30"/>
        <v>2.0837080000000001</v>
      </c>
      <c r="K51" s="71">
        <f t="shared" si="31"/>
        <v>22.429032912</v>
      </c>
      <c r="L51" s="69"/>
      <c r="M51" s="72"/>
      <c r="N51" s="72"/>
      <c r="O51" s="72">
        <f t="shared" si="79"/>
        <v>0</v>
      </c>
      <c r="P51" s="73">
        <f>Pricing!M47</f>
        <v>2602.88</v>
      </c>
      <c r="Q51" s="74">
        <f t="shared" si="4"/>
        <v>260.28800000000001</v>
      </c>
      <c r="R51" s="74">
        <f t="shared" si="5"/>
        <v>314.94848000000002</v>
      </c>
      <c r="S51" s="74">
        <f t="shared" si="6"/>
        <v>15.890582400000001</v>
      </c>
      <c r="T51" s="74">
        <f t="shared" si="7"/>
        <v>31.940070624000001</v>
      </c>
      <c r="U51" s="72">
        <f t="shared" si="8"/>
        <v>3225.9471330239999</v>
      </c>
      <c r="V51" s="74">
        <f t="shared" si="9"/>
        <v>48.389206995359999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5288.4509040000003</v>
      </c>
      <c r="AE51" s="76">
        <f t="shared" si="43"/>
        <v>474.75409836065569</v>
      </c>
      <c r="AF51" s="346">
        <f t="shared" si="44"/>
        <v>486.52799999999991</v>
      </c>
      <c r="AG51" s="347"/>
      <c r="AH51" s="76">
        <f t="shared" si="45"/>
        <v>17.375999999999998</v>
      </c>
      <c r="AI51" s="76">
        <f t="shared" ref="AI51:AI56" si="106">(((F51+G51)*2*I51)/1000)*2*$AI$7</f>
        <v>57.92</v>
      </c>
      <c r="AJ51" s="76">
        <f>J51*Pricing!Q47</f>
        <v>0</v>
      </c>
      <c r="AK51" s="76">
        <f>J51*Pricing!R47</f>
        <v>0</v>
      </c>
      <c r="AL51" s="76">
        <f t="shared" si="81"/>
        <v>2242.9032911999998</v>
      </c>
      <c r="AM51" s="77">
        <f t="shared" si="82"/>
        <v>0</v>
      </c>
      <c r="AN51" s="76">
        <f t="shared" si="83"/>
        <v>1794.32263296</v>
      </c>
      <c r="AO51" s="72">
        <f t="shared" si="84"/>
        <v>4310.9144383800167</v>
      </c>
      <c r="AP51" s="74">
        <f t="shared" si="85"/>
        <v>10777.286095950041</v>
      </c>
      <c r="AQ51" s="74">
        <f t="shared" si="21"/>
        <v>0</v>
      </c>
      <c r="AR51" s="74">
        <f t="shared" si="86"/>
        <v>7241.034028918667</v>
      </c>
      <c r="AS51" s="72">
        <f t="shared" si="87"/>
        <v>24413.87736249006</v>
      </c>
      <c r="AT51" s="72">
        <f t="shared" si="88"/>
        <v>11716.554028918668</v>
      </c>
      <c r="AU51" s="78">
        <f t="shared" si="25"/>
        <v>1088.494428550601</v>
      </c>
      <c r="AV51" s="79">
        <f t="shared" si="89"/>
        <v>1.4165417807383932E-2</v>
      </c>
      <c r="AW51" s="80">
        <f t="shared" si="90"/>
        <v>145.98651457092123</v>
      </c>
      <c r="AX51" s="81">
        <f t="shared" si="91"/>
        <v>942.50791397967953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3 TRACK 2 SHUTTER SLIDING WINDOW</v>
      </c>
      <c r="D52" s="131" t="str">
        <f>Pricing!B48</f>
        <v>SW19</v>
      </c>
      <c r="E52" s="132" t="str">
        <f>Pricing!N48</f>
        <v>20MM</v>
      </c>
      <c r="F52" s="68">
        <f>Pricing!G48</f>
        <v>1380</v>
      </c>
      <c r="G52" s="68">
        <f>Pricing!H48</f>
        <v>897</v>
      </c>
      <c r="H52" s="100">
        <f t="shared" si="0"/>
        <v>1.23786</v>
      </c>
      <c r="I52" s="70">
        <f>Pricing!I48</f>
        <v>1</v>
      </c>
      <c r="J52" s="69">
        <f t="shared" si="30"/>
        <v>1.23786</v>
      </c>
      <c r="K52" s="71">
        <f t="shared" si="31"/>
        <v>13.324325039999998</v>
      </c>
      <c r="L52" s="69"/>
      <c r="M52" s="72"/>
      <c r="N52" s="72"/>
      <c r="O52" s="72">
        <f t="shared" si="79"/>
        <v>0</v>
      </c>
      <c r="P52" s="73">
        <f>Pricing!M48</f>
        <v>6140.34</v>
      </c>
      <c r="Q52" s="74">
        <f t="shared" si="4"/>
        <v>614.03400000000011</v>
      </c>
      <c r="R52" s="74">
        <f t="shared" si="5"/>
        <v>742.98113999999998</v>
      </c>
      <c r="S52" s="74">
        <f t="shared" si="6"/>
        <v>37.486775700000003</v>
      </c>
      <c r="T52" s="74">
        <f t="shared" si="7"/>
        <v>75.348419156999995</v>
      </c>
      <c r="U52" s="72">
        <f t="shared" si="8"/>
        <v>7610.1903348569995</v>
      </c>
      <c r="V52" s="74">
        <f t="shared" si="9"/>
        <v>114.15285502285499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3141.6886799999997</v>
      </c>
      <c r="AE52" s="76">
        <f t="shared" si="43"/>
        <v>373.27868852459017</v>
      </c>
      <c r="AF52" s="346">
        <f t="shared" si="44"/>
        <v>382.53600000000006</v>
      </c>
      <c r="AG52" s="347"/>
      <c r="AH52" s="76">
        <f t="shared" si="45"/>
        <v>13.662000000000001</v>
      </c>
      <c r="AI52" s="76">
        <f t="shared" si="106"/>
        <v>45.540000000000006</v>
      </c>
      <c r="AJ52" s="76">
        <f>J52*Pricing!Q48</f>
        <v>466.35137639999994</v>
      </c>
      <c r="AK52" s="76">
        <f>J52*Pricing!R48</f>
        <v>0</v>
      </c>
      <c r="AL52" s="76">
        <f t="shared" si="81"/>
        <v>1332.4325039999999</v>
      </c>
      <c r="AM52" s="77">
        <f t="shared" si="82"/>
        <v>0</v>
      </c>
      <c r="AN52" s="76">
        <f t="shared" si="83"/>
        <v>1065.9460031999997</v>
      </c>
      <c r="AO52" s="72">
        <f t="shared" si="84"/>
        <v>8539.3598784044443</v>
      </c>
      <c r="AP52" s="74">
        <f t="shared" si="85"/>
        <v>21348.399696011111</v>
      </c>
      <c r="AQ52" s="74">
        <f t="shared" si="21"/>
        <v>0</v>
      </c>
      <c r="AR52" s="74">
        <f t="shared" si="86"/>
        <v>24144.700995601728</v>
      </c>
      <c r="AS52" s="72">
        <f t="shared" si="87"/>
        <v>35894.178138015552</v>
      </c>
      <c r="AT52" s="72">
        <f t="shared" si="88"/>
        <v>28996.960995601727</v>
      </c>
      <c r="AU52" s="78">
        <f t="shared" si="25"/>
        <v>2693.8834072465374</v>
      </c>
      <c r="AV52" s="79">
        <f t="shared" si="89"/>
        <v>8.4151925735507418E-3</v>
      </c>
      <c r="AW52" s="80">
        <f t="shared" si="90"/>
        <v>579.7174090763441</v>
      </c>
      <c r="AX52" s="81">
        <f t="shared" si="91"/>
        <v>2114.1659981701937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Z LOUVERS</v>
      </c>
      <c r="D53" s="131" t="str">
        <f>Pricing!B49</f>
        <v>V7</v>
      </c>
      <c r="E53" s="132" t="str">
        <f>Pricing!N49</f>
        <v>NA</v>
      </c>
      <c r="F53" s="68">
        <f>Pricing!G49</f>
        <v>646</v>
      </c>
      <c r="G53" s="68">
        <f>Pricing!H49</f>
        <v>592</v>
      </c>
      <c r="H53" s="100">
        <f t="shared" si="0"/>
        <v>0.38243199999999999</v>
      </c>
      <c r="I53" s="70">
        <f>Pricing!I49</f>
        <v>1</v>
      </c>
      <c r="J53" s="69">
        <f t="shared" si="30"/>
        <v>0.38243199999999999</v>
      </c>
      <c r="K53" s="71">
        <f t="shared" si="31"/>
        <v>4.1164980479999995</v>
      </c>
      <c r="L53" s="69"/>
      <c r="M53" s="72"/>
      <c r="N53" s="72"/>
      <c r="O53" s="72">
        <f t="shared" si="79"/>
        <v>0</v>
      </c>
      <c r="P53" s="73">
        <f>Pricing!M49</f>
        <v>2399.5300000000002</v>
      </c>
      <c r="Q53" s="74">
        <f t="shared" si="4"/>
        <v>239.95300000000003</v>
      </c>
      <c r="R53" s="74">
        <f t="shared" si="5"/>
        <v>290.34313000000003</v>
      </c>
      <c r="S53" s="74">
        <f t="shared" si="6"/>
        <v>14.649130650000002</v>
      </c>
      <c r="T53" s="74">
        <f t="shared" si="7"/>
        <v>29.444752606500007</v>
      </c>
      <c r="U53" s="72">
        <f t="shared" si="8"/>
        <v>2973.9200132565006</v>
      </c>
      <c r="V53" s="74">
        <f t="shared" si="9"/>
        <v>44.608800198847504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202.95081967213116</v>
      </c>
      <c r="AF53" s="346">
        <f t="shared" si="44"/>
        <v>207.98400000000001</v>
      </c>
      <c r="AG53" s="347"/>
      <c r="AH53" s="76">
        <f t="shared" si="45"/>
        <v>7.4279999999999999</v>
      </c>
      <c r="AI53" s="76">
        <f t="shared" si="106"/>
        <v>24.759999999999998</v>
      </c>
      <c r="AJ53" s="76">
        <f>J53*Pricing!Q49</f>
        <v>0</v>
      </c>
      <c r="AK53" s="76">
        <f>J53*Pricing!R49</f>
        <v>0</v>
      </c>
      <c r="AL53" s="76">
        <f t="shared" si="81"/>
        <v>411.64980479999997</v>
      </c>
      <c r="AM53" s="77">
        <f t="shared" si="82"/>
        <v>0</v>
      </c>
      <c r="AN53" s="76">
        <f t="shared" si="83"/>
        <v>329.31984383999998</v>
      </c>
      <c r="AO53" s="72">
        <f t="shared" si="84"/>
        <v>3461.6516331274793</v>
      </c>
      <c r="AP53" s="74">
        <f t="shared" si="85"/>
        <v>8654.1290828186975</v>
      </c>
      <c r="AQ53" s="74">
        <f t="shared" si="21"/>
        <v>0</v>
      </c>
      <c r="AR53" s="74">
        <f t="shared" si="86"/>
        <v>31680.875857528077</v>
      </c>
      <c r="AS53" s="72">
        <f t="shared" si="87"/>
        <v>12856.750364586176</v>
      </c>
      <c r="AT53" s="72">
        <f t="shared" si="88"/>
        <v>33618.39585752807</v>
      </c>
      <c r="AU53" s="78">
        <f t="shared" si="25"/>
        <v>3123.2251818587952</v>
      </c>
      <c r="AV53" s="79">
        <f t="shared" si="89"/>
        <v>2.5998407948299141E-3</v>
      </c>
      <c r="AW53" s="80">
        <f t="shared" si="90"/>
        <v>733.27590059757233</v>
      </c>
      <c r="AX53" s="81">
        <f t="shared" si="91"/>
        <v>2389.9492812612234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 t="str">
        <f>Pricing!D50</f>
        <v>Z LOUVERS</v>
      </c>
      <c r="D54" s="131" t="str">
        <f>Pricing!B50</f>
        <v>V8</v>
      </c>
      <c r="E54" s="132" t="str">
        <f>Pricing!N50</f>
        <v>NA</v>
      </c>
      <c r="F54" s="68">
        <f>Pricing!G50</f>
        <v>573</v>
      </c>
      <c r="G54" s="68">
        <f>Pricing!H50</f>
        <v>567</v>
      </c>
      <c r="H54" s="100">
        <f t="shared" si="0"/>
        <v>0.32489099999999999</v>
      </c>
      <c r="I54" s="70">
        <f>Pricing!I50</f>
        <v>1</v>
      </c>
      <c r="J54" s="69">
        <f t="shared" si="30"/>
        <v>0.32489099999999999</v>
      </c>
      <c r="K54" s="71">
        <f t="shared" si="31"/>
        <v>3.4971267239999997</v>
      </c>
      <c r="L54" s="69"/>
      <c r="M54" s="72"/>
      <c r="N54" s="72"/>
      <c r="O54" s="72">
        <f t="shared" si="79"/>
        <v>0</v>
      </c>
      <c r="P54" s="73">
        <f>Pricing!M50</f>
        <v>2314.0400000000004</v>
      </c>
      <c r="Q54" s="74">
        <f t="shared" si="4"/>
        <v>231.40400000000005</v>
      </c>
      <c r="R54" s="74">
        <f t="shared" si="5"/>
        <v>279.99884000000003</v>
      </c>
      <c r="S54" s="74">
        <f t="shared" si="6"/>
        <v>14.127214200000003</v>
      </c>
      <c r="T54" s="74">
        <f t="shared" si="7"/>
        <v>28.395700542000004</v>
      </c>
      <c r="U54" s="72">
        <f t="shared" si="8"/>
        <v>2867.9657547420006</v>
      </c>
      <c r="V54" s="74">
        <f t="shared" si="9"/>
        <v>43.01948632113001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186.88524590163937</v>
      </c>
      <c r="AF54" s="346">
        <f t="shared" si="44"/>
        <v>191.52</v>
      </c>
      <c r="AG54" s="347"/>
      <c r="AH54" s="76">
        <f t="shared" si="45"/>
        <v>6.84</v>
      </c>
      <c r="AI54" s="76">
        <f t="shared" si="106"/>
        <v>22.799999999999997</v>
      </c>
      <c r="AJ54" s="76">
        <f>J54*Pricing!Q50</f>
        <v>0</v>
      </c>
      <c r="AK54" s="76">
        <f>J54*Pricing!R50</f>
        <v>0</v>
      </c>
      <c r="AL54" s="76">
        <f t="shared" si="81"/>
        <v>349.71267239999992</v>
      </c>
      <c r="AM54" s="77">
        <f t="shared" si="82"/>
        <v>0</v>
      </c>
      <c r="AN54" s="76">
        <f t="shared" si="83"/>
        <v>279.77013791999997</v>
      </c>
      <c r="AO54" s="72">
        <f t="shared" si="84"/>
        <v>3319.0304869647698</v>
      </c>
      <c r="AP54" s="74">
        <f t="shared" si="85"/>
        <v>8297.5762174119245</v>
      </c>
      <c r="AQ54" s="74">
        <f t="shared" si="21"/>
        <v>0</v>
      </c>
      <c r="AR54" s="74">
        <f t="shared" si="86"/>
        <v>35755.397054324974</v>
      </c>
      <c r="AS54" s="72">
        <f t="shared" si="87"/>
        <v>12246.089514696694</v>
      </c>
      <c r="AT54" s="72">
        <f t="shared" si="88"/>
        <v>37692.917054324971</v>
      </c>
      <c r="AU54" s="78">
        <f t="shared" si="25"/>
        <v>3501.7574372282584</v>
      </c>
      <c r="AV54" s="79">
        <f t="shared" si="89"/>
        <v>2.2086668366483081E-3</v>
      </c>
      <c r="AW54" s="80">
        <f t="shared" si="90"/>
        <v>832.39341059209812</v>
      </c>
      <c r="AX54" s="81">
        <f t="shared" si="91"/>
        <v>2669.3640266361604</v>
      </c>
      <c r="AY54" s="82"/>
      <c r="AZ54" s="83">
        <f t="shared" si="29"/>
        <v>0</v>
      </c>
      <c r="BB54" s="84"/>
    </row>
    <row r="55" spans="2:54" ht="34.5" customHeight="1" thickTop="1" thickBot="1">
      <c r="B55" s="129">
        <f>Pricing!A51</f>
        <v>48</v>
      </c>
      <c r="C55" s="130" t="str">
        <f>Pricing!D51</f>
        <v>3 TRACK 2 SHUTTER SLIDING WINDOW</v>
      </c>
      <c r="D55" s="131" t="str">
        <f>Pricing!B51</f>
        <v>SW20</v>
      </c>
      <c r="E55" s="132" t="str">
        <f>Pricing!N51</f>
        <v>20MM</v>
      </c>
      <c r="F55" s="68">
        <f>Pricing!G51</f>
        <v>2475</v>
      </c>
      <c r="G55" s="68">
        <f>Pricing!H51</f>
        <v>1341</v>
      </c>
      <c r="H55" s="100">
        <f t="shared" si="0"/>
        <v>3.318975</v>
      </c>
      <c r="I55" s="70">
        <f>Pricing!I51</f>
        <v>1</v>
      </c>
      <c r="J55" s="69">
        <f t="shared" si="30"/>
        <v>3.318975</v>
      </c>
      <c r="K55" s="71">
        <f t="shared" si="31"/>
        <v>35.725446900000001</v>
      </c>
      <c r="L55" s="69"/>
      <c r="M55" s="72"/>
      <c r="N55" s="72"/>
      <c r="O55" s="72">
        <f t="shared" si="79"/>
        <v>0</v>
      </c>
      <c r="P55" s="73">
        <f>Pricing!M51</f>
        <v>8917.52</v>
      </c>
      <c r="Q55" s="74">
        <f t="shared" si="4"/>
        <v>891.75200000000007</v>
      </c>
      <c r="R55" s="74">
        <f t="shared" si="5"/>
        <v>1079.0199200000002</v>
      </c>
      <c r="S55" s="74">
        <f t="shared" si="6"/>
        <v>54.441459600000009</v>
      </c>
      <c r="T55" s="74">
        <f t="shared" si="7"/>
        <v>109.42733379600003</v>
      </c>
      <c r="U55" s="72">
        <f t="shared" si="8"/>
        <v>11052.160713396002</v>
      </c>
      <c r="V55" s="74">
        <f t="shared" si="9"/>
        <v>165.78241070094003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8423.5585499999997</v>
      </c>
      <c r="AE55" s="76">
        <f t="shared" si="43"/>
        <v>625.57377049180332</v>
      </c>
      <c r="AF55" s="346">
        <f t="shared" si="44"/>
        <v>641.08799999999997</v>
      </c>
      <c r="AG55" s="347"/>
      <c r="AH55" s="76">
        <f t="shared" si="45"/>
        <v>22.896000000000001</v>
      </c>
      <c r="AI55" s="76">
        <f t="shared" si="106"/>
        <v>76.319999999999993</v>
      </c>
      <c r="AJ55" s="76">
        <f>J55*Pricing!Q51</f>
        <v>1250.3906414999999</v>
      </c>
      <c r="AK55" s="76">
        <f>J55*Pricing!R51</f>
        <v>0</v>
      </c>
      <c r="AL55" s="76">
        <f t="shared" si="81"/>
        <v>3572.5446899999997</v>
      </c>
      <c r="AM55" s="77">
        <f t="shared" si="82"/>
        <v>0</v>
      </c>
      <c r="AN55" s="76">
        <f t="shared" si="83"/>
        <v>2858.0357519999998</v>
      </c>
      <c r="AO55" s="72">
        <f t="shared" si="84"/>
        <v>12583.820894588747</v>
      </c>
      <c r="AP55" s="74">
        <f t="shared" si="85"/>
        <v>31459.552236471867</v>
      </c>
      <c r="AQ55" s="74">
        <f t="shared" si="21"/>
        <v>0</v>
      </c>
      <c r="AR55" s="74">
        <f t="shared" si="86"/>
        <v>13270.173210422077</v>
      </c>
      <c r="AS55" s="72">
        <f t="shared" si="87"/>
        <v>60147.902764560611</v>
      </c>
      <c r="AT55" s="72">
        <f t="shared" si="88"/>
        <v>18122.433210422078</v>
      </c>
      <c r="AU55" s="78">
        <f t="shared" si="25"/>
        <v>1683.6151254572724</v>
      </c>
      <c r="AV55" s="79">
        <f t="shared" si="89"/>
        <v>2.2562982705476048E-2</v>
      </c>
      <c r="AW55" s="80">
        <f t="shared" si="90"/>
        <v>314.00427699329754</v>
      </c>
      <c r="AX55" s="81">
        <f t="shared" si="91"/>
        <v>1369.6108484639744</v>
      </c>
      <c r="AY55" s="82"/>
      <c r="AZ55" s="83">
        <f t="shared" si="29"/>
        <v>0</v>
      </c>
      <c r="BB55" s="84"/>
    </row>
    <row r="56" spans="2:54" ht="34.5" customHeight="1" thickTop="1" thickBot="1">
      <c r="B56" s="129">
        <f>Pricing!A52</f>
        <v>49</v>
      </c>
      <c r="C56" s="130" t="str">
        <f>Pricing!D52</f>
        <v>3 TRACK 2 SHUTTER SLIDING WINDOW</v>
      </c>
      <c r="D56" s="131" t="str">
        <f>Pricing!B52</f>
        <v>SW21</v>
      </c>
      <c r="E56" s="132" t="str">
        <f>Pricing!N52</f>
        <v>20MM</v>
      </c>
      <c r="F56" s="68">
        <f>Pricing!G52</f>
        <v>2447</v>
      </c>
      <c r="G56" s="68">
        <f>Pricing!H52</f>
        <v>1332</v>
      </c>
      <c r="H56" s="100">
        <f t="shared" si="0"/>
        <v>3.259404</v>
      </c>
      <c r="I56" s="70">
        <f>Pricing!I52</f>
        <v>1</v>
      </c>
      <c r="J56" s="69">
        <f t="shared" si="30"/>
        <v>3.259404</v>
      </c>
      <c r="K56" s="71">
        <f t="shared" si="31"/>
        <v>35.084224655999996</v>
      </c>
      <c r="L56" s="69"/>
      <c r="M56" s="72"/>
      <c r="N56" s="72"/>
      <c r="O56" s="72">
        <f t="shared" si="79"/>
        <v>0</v>
      </c>
      <c r="P56" s="73">
        <f>Pricing!M52</f>
        <v>8852.7799999999988</v>
      </c>
      <c r="Q56" s="74">
        <f t="shared" si="4"/>
        <v>885.27799999999991</v>
      </c>
      <c r="R56" s="74">
        <f t="shared" si="5"/>
        <v>1071.1863799999999</v>
      </c>
      <c r="S56" s="74">
        <f t="shared" si="6"/>
        <v>54.046221899999992</v>
      </c>
      <c r="T56" s="74">
        <f t="shared" si="7"/>
        <v>108.63290601899999</v>
      </c>
      <c r="U56" s="72">
        <f t="shared" si="8"/>
        <v>10971.923507918998</v>
      </c>
      <c r="V56" s="74">
        <f t="shared" si="9"/>
        <v>164.57885261878496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8272.3673519999993</v>
      </c>
      <c r="AE56" s="76">
        <f t="shared" si="43"/>
        <v>619.50819672131149</v>
      </c>
      <c r="AF56" s="346">
        <f t="shared" si="44"/>
        <v>634.87199999999996</v>
      </c>
      <c r="AG56" s="347"/>
      <c r="AH56" s="76">
        <f t="shared" si="45"/>
        <v>22.673999999999999</v>
      </c>
      <c r="AI56" s="76">
        <f t="shared" si="106"/>
        <v>75.58</v>
      </c>
      <c r="AJ56" s="76">
        <f>J56*Pricing!Q52</f>
        <v>1227.9478629599998</v>
      </c>
      <c r="AK56" s="76">
        <f>J56*Pricing!R52</f>
        <v>0</v>
      </c>
      <c r="AL56" s="76">
        <f t="shared" si="81"/>
        <v>3508.4224655999997</v>
      </c>
      <c r="AM56" s="77">
        <f t="shared" si="82"/>
        <v>0</v>
      </c>
      <c r="AN56" s="76">
        <f t="shared" si="83"/>
        <v>2806.7379724799998</v>
      </c>
      <c r="AO56" s="72">
        <f t="shared" si="84"/>
        <v>12489.136557259097</v>
      </c>
      <c r="AP56" s="74">
        <f t="shared" si="85"/>
        <v>31222.841393147741</v>
      </c>
      <c r="AQ56" s="74">
        <f t="shared" si="21"/>
        <v>0</v>
      </c>
      <c r="AR56" s="74">
        <f t="shared" si="86"/>
        <v>13411.034026591007</v>
      </c>
      <c r="AS56" s="72">
        <f t="shared" si="87"/>
        <v>59527.45360344684</v>
      </c>
      <c r="AT56" s="72">
        <f t="shared" si="88"/>
        <v>18263.294026591007</v>
      </c>
      <c r="AU56" s="78">
        <f t="shared" si="25"/>
        <v>1696.7014145848207</v>
      </c>
      <c r="AV56" s="79">
        <f t="shared" si="89"/>
        <v>2.2158008446029102E-2</v>
      </c>
      <c r="AW56" s="80">
        <f t="shared" si="90"/>
        <v>317.42193164394905</v>
      </c>
      <c r="AX56" s="81">
        <f t="shared" si="91"/>
        <v>1379.2794829408715</v>
      </c>
      <c r="AY56" s="82"/>
      <c r="AZ56" s="83">
        <f t="shared" si="29"/>
        <v>0</v>
      </c>
      <c r="BB56" s="84"/>
    </row>
    <row r="57" spans="2:54" ht="34.5" customHeight="1" thickTop="1" thickBot="1">
      <c r="B57" s="129">
        <f>Pricing!A53</f>
        <v>50</v>
      </c>
      <c r="C57" s="130" t="str">
        <f>Pricing!D53</f>
        <v>3 TRACK 2 SHUTTER SLIDING WINDOW</v>
      </c>
      <c r="D57" s="131" t="str">
        <f>Pricing!B53</f>
        <v>SW22</v>
      </c>
      <c r="E57" s="132" t="str">
        <f>Pricing!N53</f>
        <v>20MM</v>
      </c>
      <c r="F57" s="68">
        <f>Pricing!G53</f>
        <v>1858</v>
      </c>
      <c r="G57" s="68">
        <f>Pricing!H53</f>
        <v>1338</v>
      </c>
      <c r="H57" s="100">
        <f t="shared" si="0"/>
        <v>2.4860039999999999</v>
      </c>
      <c r="I57" s="70">
        <f>Pricing!I53</f>
        <v>1</v>
      </c>
      <c r="J57" s="69">
        <f t="shared" si="30"/>
        <v>2.4860039999999999</v>
      </c>
      <c r="K57" s="71">
        <f t="shared" si="31"/>
        <v>26.759347055999996</v>
      </c>
      <c r="L57" s="69"/>
      <c r="M57" s="72"/>
      <c r="N57" s="72"/>
      <c r="O57" s="72">
        <f t="shared" si="79"/>
        <v>0</v>
      </c>
      <c r="P57" s="73">
        <f>Pricing!M53</f>
        <v>7982.9400000000005</v>
      </c>
      <c r="Q57" s="74">
        <f t="shared" ref="Q57:Q106" si="107">P57*$Q$6</f>
        <v>798.2940000000001</v>
      </c>
      <c r="R57" s="74">
        <f t="shared" ref="R57:R106" si="108">(P57+Q57)*$R$6</f>
        <v>965.93574000000001</v>
      </c>
      <c r="S57" s="74">
        <f t="shared" ref="S57:S106" si="109">(P57+Q57+R57)*$S$6</f>
        <v>48.735848700000005</v>
      </c>
      <c r="T57" s="74">
        <f t="shared" ref="T57:T106" si="110">(P57+Q57+R57+S57)*$T$6</f>
        <v>97.959055887000019</v>
      </c>
      <c r="U57" s="72">
        <f t="shared" ref="U57:U106" si="111">SUM(P57:T57)</f>
        <v>9893.8646445870017</v>
      </c>
      <c r="V57" s="74">
        <f t="shared" ref="V57:V106" si="112">U57*$V$6</f>
        <v>148.40796966880501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6309.4781519999997</v>
      </c>
      <c r="AE57" s="76">
        <f t="shared" si="43"/>
        <v>523.93442622950818</v>
      </c>
      <c r="AF57" s="402">
        <f t="shared" si="44"/>
        <v>536.928</v>
      </c>
      <c r="AG57" s="403"/>
      <c r="AH57" s="76">
        <f t="shared" si="45"/>
        <v>19.176000000000002</v>
      </c>
      <c r="AI57" s="76">
        <f t="shared" si="15"/>
        <v>63.92</v>
      </c>
      <c r="AJ57" s="76">
        <f>J57*Pricing!Q53</f>
        <v>936.57714695999982</v>
      </c>
      <c r="AK57" s="76">
        <f>J57*Pricing!R53</f>
        <v>0</v>
      </c>
      <c r="AL57" s="76">
        <f t="shared" si="81"/>
        <v>2675.9347055999997</v>
      </c>
      <c r="AM57" s="77">
        <f t="shared" si="82"/>
        <v>0</v>
      </c>
      <c r="AN57" s="76">
        <f t="shared" si="83"/>
        <v>2140.7477644799997</v>
      </c>
      <c r="AO57" s="72">
        <f t="shared" si="84"/>
        <v>11186.231040485316</v>
      </c>
      <c r="AP57" s="74">
        <f t="shared" si="85"/>
        <v>27965.577601213292</v>
      </c>
      <c r="AQ57" s="74">
        <f t="shared" ref="AQ57:AQ106" si="118">(AO57+AP57)*$AQ$6</f>
        <v>0</v>
      </c>
      <c r="AR57" s="74">
        <f t="shared" si="86"/>
        <v>15748.8920539543</v>
      </c>
      <c r="AS57" s="72">
        <f t="shared" si="87"/>
        <v>51214.546410738607</v>
      </c>
      <c r="AT57" s="72">
        <f t="shared" si="88"/>
        <v>20601.152053954302</v>
      </c>
      <c r="AU57" s="78">
        <f t="shared" ref="AU57:AU106" si="119">AT57/10.764</f>
        <v>1913.8937248192403</v>
      </c>
      <c r="AV57" s="79">
        <f t="shared" si="89"/>
        <v>1.6900297609275233E-2</v>
      </c>
      <c r="AW57" s="80">
        <f t="shared" si="90"/>
        <v>375.28092868783671</v>
      </c>
      <c r="AX57" s="81">
        <f t="shared" si="91"/>
        <v>1538.6127961314037</v>
      </c>
      <c r="AY57" s="82"/>
      <c r="AZ57" s="83">
        <f t="shared" ref="AZ57:AZ106" si="120">AU57-(AW57+AX57)</f>
        <v>0</v>
      </c>
      <c r="BB57" s="84"/>
    </row>
    <row r="58" spans="2:54" ht="34.5" customHeight="1" thickTop="1" thickBot="1">
      <c r="B58" s="129">
        <f>Pricing!A54</f>
        <v>51</v>
      </c>
      <c r="C58" s="130" t="str">
        <f>Pricing!D54</f>
        <v>3 TRACK 2 SHUTTER SLIDING WINDOW</v>
      </c>
      <c r="D58" s="131" t="str">
        <f>Pricing!B54</f>
        <v>SW23</v>
      </c>
      <c r="E58" s="132" t="str">
        <f>Pricing!N54</f>
        <v>20MM</v>
      </c>
      <c r="F58" s="68">
        <f>Pricing!G54</f>
        <v>911</v>
      </c>
      <c r="G58" s="68">
        <f>Pricing!H54</f>
        <v>1295</v>
      </c>
      <c r="H58" s="100">
        <f t="shared" ref="H58:H107" si="121">(F58*G58)/1000000</f>
        <v>1.179745</v>
      </c>
      <c r="I58" s="70">
        <f>Pricing!I54</f>
        <v>1</v>
      </c>
      <c r="J58" s="69">
        <f t="shared" si="30"/>
        <v>1.179745</v>
      </c>
      <c r="K58" s="71">
        <f t="shared" si="31"/>
        <v>12.69877518</v>
      </c>
      <c r="L58" s="69"/>
      <c r="M58" s="72"/>
      <c r="N58" s="72"/>
      <c r="O58" s="72">
        <f t="shared" si="79"/>
        <v>0</v>
      </c>
      <c r="P58" s="73">
        <f>Pricing!M54</f>
        <v>6449.9299999999994</v>
      </c>
      <c r="Q58" s="74">
        <f t="shared" si="107"/>
        <v>644.99299999999994</v>
      </c>
      <c r="R58" s="74">
        <f t="shared" si="108"/>
        <v>780.44152999999983</v>
      </c>
      <c r="S58" s="74">
        <f t="shared" si="109"/>
        <v>39.376822649999994</v>
      </c>
      <c r="T58" s="74">
        <f t="shared" si="110"/>
        <v>79.147413526499989</v>
      </c>
      <c r="U58" s="72">
        <f t="shared" si="111"/>
        <v>7993.8887661764984</v>
      </c>
      <c r="V58" s="74">
        <f t="shared" si="112"/>
        <v>119.90833149264748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2994.19281</v>
      </c>
      <c r="AE58" s="76">
        <f>((((F58+G58)*2)/305)*I58*$AE$7)</f>
        <v>361.63934426229508</v>
      </c>
      <c r="AF58" s="346">
        <f>(((((F58*4)+(G58*4))/1000)*$AF$6*$AG$6)/300)*I58*$AF$7</f>
        <v>370.608</v>
      </c>
      <c r="AG58" s="347"/>
      <c r="AH58" s="76">
        <f t="shared" si="45"/>
        <v>13.236000000000001</v>
      </c>
      <c r="AI58" s="76">
        <f t="shared" ref="AI58:AI107" si="122">(((F58+G58)*2*I58)/1000)*2*$AI$7</f>
        <v>44.12</v>
      </c>
      <c r="AJ58" s="76">
        <f>J58*Pricing!Q54</f>
        <v>444.45713129999996</v>
      </c>
      <c r="AK58" s="76">
        <f>J58*Pricing!R54</f>
        <v>0</v>
      </c>
      <c r="AL58" s="76">
        <f t="shared" si="81"/>
        <v>1269.8775179999998</v>
      </c>
      <c r="AM58" s="77">
        <f t="shared" si="82"/>
        <v>0</v>
      </c>
      <c r="AN58" s="76">
        <f t="shared" si="83"/>
        <v>1015.9020143999999</v>
      </c>
      <c r="AO58" s="72">
        <f t="shared" si="84"/>
        <v>8903.4004419314406</v>
      </c>
      <c r="AP58" s="74">
        <f t="shared" si="85"/>
        <v>22258.501104828603</v>
      </c>
      <c r="AQ58" s="74">
        <f t="shared" si="118"/>
        <v>0</v>
      </c>
      <c r="AR58" s="74">
        <f t="shared" ref="AR58:AR89" si="123">SUM(AO58:AQ58)/J58</f>
        <v>26414.099272944612</v>
      </c>
      <c r="AS58" s="72">
        <f t="shared" ref="AS58:AS89" si="124">SUM(AJ58:AQ58)+AD58+AB58</f>
        <v>36886.331020460042</v>
      </c>
      <c r="AT58" s="72">
        <f t="shared" si="88"/>
        <v>31266.35927294461</v>
      </c>
      <c r="AU58" s="78">
        <f t="shared" si="119"/>
        <v>2904.7156515184515</v>
      </c>
      <c r="AV58" s="79">
        <f t="shared" si="89"/>
        <v>8.0201164612182501E-3</v>
      </c>
      <c r="AW58" s="80">
        <f t="shared" si="90"/>
        <v>638.94328253389438</v>
      </c>
      <c r="AX58" s="81">
        <f t="shared" si="91"/>
        <v>2265.7723689845575</v>
      </c>
      <c r="AY58" s="82"/>
      <c r="AZ58" s="83">
        <f t="shared" si="120"/>
        <v>0</v>
      </c>
      <c r="BB58" s="84"/>
    </row>
    <row r="59" spans="2:54" ht="34.5" customHeight="1" thickTop="1" thickBot="1">
      <c r="B59" s="129">
        <f>Pricing!A55</f>
        <v>52</v>
      </c>
      <c r="C59" s="130" t="str">
        <f>Pricing!D55</f>
        <v>Z LOUVERS</v>
      </c>
      <c r="D59" s="131" t="str">
        <f>Pricing!B55</f>
        <v>V9</v>
      </c>
      <c r="E59" s="132" t="str">
        <f>Pricing!N55</f>
        <v>NA</v>
      </c>
      <c r="F59" s="68">
        <f>Pricing!G55</f>
        <v>566</v>
      </c>
      <c r="G59" s="68">
        <f>Pricing!H55</f>
        <v>566</v>
      </c>
      <c r="H59" s="100">
        <f t="shared" si="121"/>
        <v>0.32035599999999997</v>
      </c>
      <c r="I59" s="70">
        <f>Pricing!I55</f>
        <v>1</v>
      </c>
      <c r="J59" s="69">
        <f t="shared" ref="J59:J107" si="125">H59*I59</f>
        <v>0.32035599999999997</v>
      </c>
      <c r="K59" s="71">
        <f t="shared" ref="K59:K107" si="126">J59*10.764</f>
        <v>3.4483119839999996</v>
      </c>
      <c r="L59" s="69"/>
      <c r="M59" s="72"/>
      <c r="N59" s="72"/>
      <c r="O59" s="72">
        <f t="shared" si="79"/>
        <v>0</v>
      </c>
      <c r="P59" s="73">
        <f>Pricing!M55</f>
        <v>2306.5699999999997</v>
      </c>
      <c r="Q59" s="74">
        <f t="shared" si="107"/>
        <v>230.65699999999998</v>
      </c>
      <c r="R59" s="74">
        <f t="shared" si="108"/>
        <v>279.09496999999999</v>
      </c>
      <c r="S59" s="74">
        <f t="shared" si="109"/>
        <v>14.08160985</v>
      </c>
      <c r="T59" s="74">
        <f t="shared" si="110"/>
        <v>28.304035798499999</v>
      </c>
      <c r="U59" s="72">
        <f t="shared" si="111"/>
        <v>2858.7076156485</v>
      </c>
      <c r="V59" s="74">
        <f t="shared" si="112"/>
        <v>42.880614234727496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185.57377049180329</v>
      </c>
      <c r="AF59" s="346">
        <f t="shared" ref="AF59:AF107" si="128">(((((F59*4)+(G59*4))/1000)*$AF$6*$AG$6)/300)*I59*$AF$7</f>
        <v>190.17599999999999</v>
      </c>
      <c r="AG59" s="347"/>
      <c r="AH59" s="76">
        <f t="shared" si="45"/>
        <v>6.7919999999999998</v>
      </c>
      <c r="AI59" s="76">
        <f t="shared" si="122"/>
        <v>22.639999999999997</v>
      </c>
      <c r="AJ59" s="76">
        <f>J59*Pricing!Q55</f>
        <v>0</v>
      </c>
      <c r="AK59" s="76">
        <f>J59*Pricing!R55</f>
        <v>0</v>
      </c>
      <c r="AL59" s="76">
        <f t="shared" si="81"/>
        <v>344.83119839999995</v>
      </c>
      <c r="AM59" s="77">
        <f t="shared" si="82"/>
        <v>0</v>
      </c>
      <c r="AN59" s="76">
        <f t="shared" si="83"/>
        <v>275.86495871999995</v>
      </c>
      <c r="AO59" s="72">
        <f t="shared" si="84"/>
        <v>3306.7700003750306</v>
      </c>
      <c r="AP59" s="74">
        <f t="shared" si="85"/>
        <v>8266.9250009375755</v>
      </c>
      <c r="AQ59" s="74">
        <f t="shared" si="118"/>
        <v>0</v>
      </c>
      <c r="AR59" s="74">
        <f t="shared" si="123"/>
        <v>36127.604918629921</v>
      </c>
      <c r="AS59" s="72">
        <f t="shared" si="124"/>
        <v>12194.391158432605</v>
      </c>
      <c r="AT59" s="72">
        <f t="shared" si="88"/>
        <v>38065.124918629917</v>
      </c>
      <c r="AU59" s="78">
        <f t="shared" si="119"/>
        <v>3536.3363915486734</v>
      </c>
      <c r="AV59" s="79">
        <f t="shared" si="89"/>
        <v>2.1778370995851081E-3</v>
      </c>
      <c r="AW59" s="80">
        <f t="shared" si="90"/>
        <v>841.45177215590013</v>
      </c>
      <c r="AX59" s="81">
        <f t="shared" si="91"/>
        <v>2694.8846193927739</v>
      </c>
      <c r="AY59" s="82"/>
      <c r="AZ59" s="83">
        <f t="shared" si="120"/>
        <v>0</v>
      </c>
      <c r="BB59" s="84"/>
    </row>
    <row r="60" spans="2:54" ht="34.5" customHeight="1" thickTop="1" thickBot="1">
      <c r="B60" s="129">
        <f>Pricing!A56</f>
        <v>53</v>
      </c>
      <c r="C60" s="130" t="str">
        <f>Pricing!D56</f>
        <v>Z LOUVERS</v>
      </c>
      <c r="D60" s="131" t="str">
        <f>Pricing!B56</f>
        <v>V10</v>
      </c>
      <c r="E60" s="132" t="str">
        <f>Pricing!N56</f>
        <v>NA</v>
      </c>
      <c r="F60" s="68">
        <f>Pricing!G56</f>
        <v>571</v>
      </c>
      <c r="G60" s="68">
        <f>Pricing!H56</f>
        <v>565</v>
      </c>
      <c r="H60" s="100">
        <f t="shared" si="121"/>
        <v>0.32261499999999999</v>
      </c>
      <c r="I60" s="70">
        <f>Pricing!I56</f>
        <v>1</v>
      </c>
      <c r="J60" s="69">
        <f t="shared" si="125"/>
        <v>0.32261499999999999</v>
      </c>
      <c r="K60" s="71">
        <f t="shared" si="126"/>
        <v>3.4726278599999998</v>
      </c>
      <c r="L60" s="69"/>
      <c r="M60" s="72"/>
      <c r="N60" s="72"/>
      <c r="O60" s="72">
        <f t="shared" si="79"/>
        <v>0</v>
      </c>
      <c r="P60" s="73">
        <f>Pricing!M56</f>
        <v>2309.89</v>
      </c>
      <c r="Q60" s="74">
        <f t="shared" si="107"/>
        <v>230.989</v>
      </c>
      <c r="R60" s="74">
        <f t="shared" si="108"/>
        <v>279.49669</v>
      </c>
      <c r="S60" s="74">
        <f t="shared" si="109"/>
        <v>14.101878449999999</v>
      </c>
      <c r="T60" s="74">
        <f t="shared" si="110"/>
        <v>28.3447756845</v>
      </c>
      <c r="U60" s="72">
        <f t="shared" si="111"/>
        <v>2862.8223441344999</v>
      </c>
      <c r="V60" s="74">
        <f t="shared" si="112"/>
        <v>42.9423351620175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186.2295081967213</v>
      </c>
      <c r="AF60" s="346">
        <f t="shared" si="128"/>
        <v>190.84799999999996</v>
      </c>
      <c r="AG60" s="347"/>
      <c r="AH60" s="76">
        <f t="shared" si="45"/>
        <v>6.8159999999999989</v>
      </c>
      <c r="AI60" s="76">
        <f t="shared" si="122"/>
        <v>22.72</v>
      </c>
      <c r="AJ60" s="76">
        <f>J60*Pricing!Q56</f>
        <v>0</v>
      </c>
      <c r="AK60" s="76">
        <f>J60*Pricing!R56</f>
        <v>0</v>
      </c>
      <c r="AL60" s="76">
        <f t="shared" si="81"/>
        <v>347.26278599999995</v>
      </c>
      <c r="AM60" s="77">
        <f t="shared" si="82"/>
        <v>0</v>
      </c>
      <c r="AN60" s="76">
        <f t="shared" si="83"/>
        <v>277.81022879999995</v>
      </c>
      <c r="AO60" s="72">
        <f t="shared" si="84"/>
        <v>3312.3781874932388</v>
      </c>
      <c r="AP60" s="74">
        <f t="shared" si="85"/>
        <v>8280.9454687330963</v>
      </c>
      <c r="AQ60" s="74">
        <f t="shared" si="118"/>
        <v>0</v>
      </c>
      <c r="AR60" s="74">
        <f t="shared" si="123"/>
        <v>35935.476206085696</v>
      </c>
      <c r="AS60" s="72">
        <f t="shared" si="124"/>
        <v>12218.396671026334</v>
      </c>
      <c r="AT60" s="72">
        <f t="shared" si="88"/>
        <v>37872.996206085692</v>
      </c>
      <c r="AU60" s="78">
        <f t="shared" si="119"/>
        <v>3518.4871986330077</v>
      </c>
      <c r="AV60" s="79">
        <f t="shared" si="89"/>
        <v>2.1931941836040207E-3</v>
      </c>
      <c r="AW60" s="80">
        <f t="shared" si="90"/>
        <v>836.76247396590247</v>
      </c>
      <c r="AX60" s="81">
        <f t="shared" si="91"/>
        <v>2681.724724667105</v>
      </c>
      <c r="AY60" s="82"/>
      <c r="AZ60" s="83">
        <f t="shared" si="120"/>
        <v>0</v>
      </c>
      <c r="BB60" s="84"/>
    </row>
    <row r="61" spans="2:54" ht="34.5" customHeight="1" thickTop="1" thickBot="1">
      <c r="B61" s="129">
        <f>Pricing!A57</f>
        <v>54</v>
      </c>
      <c r="C61" s="130" t="str">
        <f>Pricing!D57</f>
        <v>FIXED GLASS</v>
      </c>
      <c r="D61" s="131" t="str">
        <f>Pricing!B57</f>
        <v>FG18</v>
      </c>
      <c r="E61" s="132" t="str">
        <f>Pricing!N57</f>
        <v>20MM</v>
      </c>
      <c r="F61" s="68">
        <f>Pricing!G57</f>
        <v>865</v>
      </c>
      <c r="G61" s="68">
        <f>Pricing!H57</f>
        <v>1269</v>
      </c>
      <c r="H61" s="100">
        <f t="shared" si="121"/>
        <v>1.097685</v>
      </c>
      <c r="I61" s="70">
        <f>Pricing!I57</f>
        <v>1</v>
      </c>
      <c r="J61" s="69">
        <f t="shared" si="125"/>
        <v>1.097685</v>
      </c>
      <c r="K61" s="71">
        <f t="shared" si="126"/>
        <v>11.81548134</v>
      </c>
      <c r="L61" s="69"/>
      <c r="M61" s="72"/>
      <c r="N61" s="72"/>
      <c r="O61" s="72">
        <f t="shared" si="79"/>
        <v>0</v>
      </c>
      <c r="P61" s="73">
        <f>Pricing!M57</f>
        <v>1934.7299999999998</v>
      </c>
      <c r="Q61" s="74">
        <f t="shared" si="107"/>
        <v>193.47299999999998</v>
      </c>
      <c r="R61" s="74">
        <f t="shared" si="108"/>
        <v>234.10232999999999</v>
      </c>
      <c r="S61" s="74">
        <f t="shared" si="109"/>
        <v>11.811526650000001</v>
      </c>
      <c r="T61" s="74">
        <f t="shared" si="110"/>
        <v>23.741168566500001</v>
      </c>
      <c r="U61" s="72">
        <f t="shared" si="111"/>
        <v>2397.8580252165002</v>
      </c>
      <c r="V61" s="74">
        <f t="shared" si="112"/>
        <v>35.967870378247504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2785.9245300000002</v>
      </c>
      <c r="AE61" s="76">
        <f t="shared" si="127"/>
        <v>349.8360655737705</v>
      </c>
      <c r="AF61" s="346">
        <f t="shared" si="128"/>
        <v>358.51199999999989</v>
      </c>
      <c r="AG61" s="347"/>
      <c r="AH61" s="76">
        <f t="shared" si="45"/>
        <v>12.803999999999998</v>
      </c>
      <c r="AI61" s="76">
        <f t="shared" si="122"/>
        <v>42.68</v>
      </c>
      <c r="AJ61" s="76">
        <f>J61*Pricing!Q57</f>
        <v>0</v>
      </c>
      <c r="AK61" s="76">
        <f>J61*Pricing!R57</f>
        <v>0</v>
      </c>
      <c r="AL61" s="76">
        <f t="shared" si="81"/>
        <v>1181.5481339999999</v>
      </c>
      <c r="AM61" s="77">
        <f t="shared" si="82"/>
        <v>0</v>
      </c>
      <c r="AN61" s="76">
        <f t="shared" si="83"/>
        <v>945.23850719999984</v>
      </c>
      <c r="AO61" s="72">
        <f t="shared" si="84"/>
        <v>3197.6579611685174</v>
      </c>
      <c r="AP61" s="74">
        <f t="shared" si="85"/>
        <v>7994.1449029212936</v>
      </c>
      <c r="AQ61" s="74">
        <f t="shared" si="118"/>
        <v>0</v>
      </c>
      <c r="AR61" s="74">
        <f t="shared" si="123"/>
        <v>10195.823814746318</v>
      </c>
      <c r="AS61" s="72">
        <f t="shared" si="124"/>
        <v>16104.514035289812</v>
      </c>
      <c r="AT61" s="72">
        <f t="shared" si="88"/>
        <v>14671.343814746318</v>
      </c>
      <c r="AU61" s="78">
        <f t="shared" si="119"/>
        <v>1363.001097616715</v>
      </c>
      <c r="AV61" s="79">
        <f t="shared" si="89"/>
        <v>7.4622579775564671E-3</v>
      </c>
      <c r="AW61" s="80">
        <f t="shared" si="90"/>
        <v>205.98618249730549</v>
      </c>
      <c r="AX61" s="81">
        <f t="shared" si="91"/>
        <v>1157.0149151194091</v>
      </c>
      <c r="AY61" s="82"/>
      <c r="AZ61" s="83">
        <f t="shared" si="120"/>
        <v>0</v>
      </c>
      <c r="BB61" s="84"/>
    </row>
    <row r="62" spans="2:54" ht="34.5" customHeight="1" thickTop="1" thickBot="1">
      <c r="B62" s="129">
        <f>Pricing!A58</f>
        <v>55</v>
      </c>
      <c r="C62" s="130" t="str">
        <f>Pricing!D58</f>
        <v>3 TRACK 2 SHUTTER SLIDING WINDOW</v>
      </c>
      <c r="D62" s="131" t="str">
        <f>Pricing!B58</f>
        <v>SW24</v>
      </c>
      <c r="E62" s="132" t="str">
        <f>Pricing!N58</f>
        <v>20MM</v>
      </c>
      <c r="F62" s="68">
        <f>Pricing!G58</f>
        <v>1842</v>
      </c>
      <c r="G62" s="68">
        <f>Pricing!H58</f>
        <v>1253</v>
      </c>
      <c r="H62" s="100">
        <f t="shared" si="121"/>
        <v>2.3080259999999999</v>
      </c>
      <c r="I62" s="70">
        <f>Pricing!I58</f>
        <v>1</v>
      </c>
      <c r="J62" s="69">
        <f t="shared" si="125"/>
        <v>2.3080259999999999</v>
      </c>
      <c r="K62" s="71">
        <f t="shared" si="126"/>
        <v>24.843591863999997</v>
      </c>
      <c r="L62" s="69"/>
      <c r="M62" s="72"/>
      <c r="N62" s="72"/>
      <c r="O62" s="72">
        <f t="shared" si="79"/>
        <v>0</v>
      </c>
      <c r="P62" s="73">
        <f>Pricing!M58</f>
        <v>7742.24</v>
      </c>
      <c r="Q62" s="74">
        <f t="shared" si="107"/>
        <v>774.22400000000005</v>
      </c>
      <c r="R62" s="74">
        <f t="shared" si="108"/>
        <v>936.81104000000005</v>
      </c>
      <c r="S62" s="74">
        <f t="shared" si="109"/>
        <v>47.266375200000006</v>
      </c>
      <c r="T62" s="74">
        <f t="shared" si="110"/>
        <v>95.005414152000014</v>
      </c>
      <c r="U62" s="72">
        <f t="shared" si="111"/>
        <v>9595.5468293520007</v>
      </c>
      <c r="V62" s="74">
        <f t="shared" si="112"/>
        <v>143.93320244028001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5857.769988</v>
      </c>
      <c r="AE62" s="76">
        <f t="shared" si="127"/>
        <v>507.37704918032784</v>
      </c>
      <c r="AF62" s="346">
        <f t="shared" si="128"/>
        <v>519.96</v>
      </c>
      <c r="AG62" s="347"/>
      <c r="AH62" s="76">
        <f t="shared" si="45"/>
        <v>18.57</v>
      </c>
      <c r="AI62" s="76">
        <f t="shared" si="122"/>
        <v>61.900000000000006</v>
      </c>
      <c r="AJ62" s="76">
        <f>J62*Pricing!Q58</f>
        <v>869.52571523999984</v>
      </c>
      <c r="AK62" s="76">
        <f>J62*Pricing!R58</f>
        <v>0</v>
      </c>
      <c r="AL62" s="76">
        <f t="shared" si="81"/>
        <v>2484.3591863999995</v>
      </c>
      <c r="AM62" s="77">
        <f t="shared" si="82"/>
        <v>0</v>
      </c>
      <c r="AN62" s="76">
        <f t="shared" si="83"/>
        <v>1987.4873491199996</v>
      </c>
      <c r="AO62" s="72">
        <f t="shared" si="84"/>
        <v>10847.287080972608</v>
      </c>
      <c r="AP62" s="74">
        <f t="shared" si="85"/>
        <v>27118.217702431521</v>
      </c>
      <c r="AQ62" s="74">
        <f t="shared" si="118"/>
        <v>0</v>
      </c>
      <c r="AR62" s="74">
        <f t="shared" si="123"/>
        <v>16449.340164887282</v>
      </c>
      <c r="AS62" s="72">
        <f t="shared" si="124"/>
        <v>49164.647022164128</v>
      </c>
      <c r="AT62" s="72">
        <f t="shared" si="88"/>
        <v>21301.600164887281</v>
      </c>
      <c r="AU62" s="78">
        <f t="shared" si="119"/>
        <v>1978.9669421114161</v>
      </c>
      <c r="AV62" s="79">
        <f t="shared" si="89"/>
        <v>1.5690371491737375E-2</v>
      </c>
      <c r="AW62" s="80">
        <f t="shared" si="90"/>
        <v>392.0318802976887</v>
      </c>
      <c r="AX62" s="81">
        <f t="shared" si="91"/>
        <v>1586.9350618137271</v>
      </c>
      <c r="AY62" s="82"/>
      <c r="AZ62" s="83">
        <f t="shared" si="120"/>
        <v>0</v>
      </c>
      <c r="BB62" s="84"/>
    </row>
    <row r="63" spans="2:54" ht="34.5" customHeight="1" thickTop="1" thickBot="1">
      <c r="B63" s="129">
        <f>Pricing!A59</f>
        <v>56</v>
      </c>
      <c r="C63" s="130" t="str">
        <f>Pricing!D59</f>
        <v>3 TRACK 2 SHUTTER SLIDING WINDOW</v>
      </c>
      <c r="D63" s="131" t="str">
        <f>Pricing!B59</f>
        <v>SW25</v>
      </c>
      <c r="E63" s="132" t="str">
        <f>Pricing!N59</f>
        <v>20MM</v>
      </c>
      <c r="F63" s="68">
        <f>Pricing!G59</f>
        <v>3730</v>
      </c>
      <c r="G63" s="68">
        <f>Pricing!H59</f>
        <v>1295</v>
      </c>
      <c r="H63" s="100">
        <f t="shared" si="121"/>
        <v>4.8303500000000001</v>
      </c>
      <c r="I63" s="70">
        <f>Pricing!I59</f>
        <v>1</v>
      </c>
      <c r="J63" s="69">
        <f t="shared" si="125"/>
        <v>4.8303500000000001</v>
      </c>
      <c r="K63" s="71">
        <f t="shared" si="126"/>
        <v>51.993887399999998</v>
      </c>
      <c r="L63" s="69"/>
      <c r="M63" s="72"/>
      <c r="N63" s="72"/>
      <c r="O63" s="72">
        <f t="shared" si="79"/>
        <v>0</v>
      </c>
      <c r="P63" s="73">
        <f>Pricing!M59</f>
        <v>10687.08</v>
      </c>
      <c r="Q63" s="74">
        <f t="shared" si="107"/>
        <v>1068.7080000000001</v>
      </c>
      <c r="R63" s="74">
        <f t="shared" si="108"/>
        <v>1293.1366800000001</v>
      </c>
      <c r="S63" s="74">
        <f t="shared" si="109"/>
        <v>65.244623399999995</v>
      </c>
      <c r="T63" s="74">
        <f t="shared" si="110"/>
        <v>131.14169303400001</v>
      </c>
      <c r="U63" s="72">
        <f t="shared" si="111"/>
        <v>13245.310996434</v>
      </c>
      <c r="V63" s="74">
        <f t="shared" si="112"/>
        <v>198.67966494651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12259.4283</v>
      </c>
      <c r="AE63" s="76">
        <f t="shared" si="127"/>
        <v>823.77049180327867</v>
      </c>
      <c r="AF63" s="346">
        <f t="shared" si="128"/>
        <v>844.19999999999993</v>
      </c>
      <c r="AG63" s="347"/>
      <c r="AH63" s="76">
        <f t="shared" si="45"/>
        <v>30.150000000000002</v>
      </c>
      <c r="AI63" s="76">
        <f t="shared" si="122"/>
        <v>100.5</v>
      </c>
      <c r="AJ63" s="76">
        <f>J63*Pricing!Q59</f>
        <v>1819.7860589999998</v>
      </c>
      <c r="AK63" s="76">
        <f>J63*Pricing!R59</f>
        <v>0</v>
      </c>
      <c r="AL63" s="76">
        <f t="shared" si="81"/>
        <v>5199.3887399999994</v>
      </c>
      <c r="AM63" s="77">
        <f t="shared" si="82"/>
        <v>0</v>
      </c>
      <c r="AN63" s="76">
        <f t="shared" si="83"/>
        <v>4159.5109919999995</v>
      </c>
      <c r="AO63" s="72">
        <f t="shared" si="84"/>
        <v>15242.611153183789</v>
      </c>
      <c r="AP63" s="74">
        <f t="shared" si="85"/>
        <v>38106.527882959475</v>
      </c>
      <c r="AQ63" s="74">
        <f t="shared" si="118"/>
        <v>0</v>
      </c>
      <c r="AR63" s="74">
        <f t="shared" si="123"/>
        <v>11044.570069693347</v>
      </c>
      <c r="AS63" s="72">
        <f t="shared" si="124"/>
        <v>76787.253127143267</v>
      </c>
      <c r="AT63" s="72">
        <f t="shared" si="88"/>
        <v>15896.830069693347</v>
      </c>
      <c r="AU63" s="78">
        <f t="shared" si="119"/>
        <v>1476.8515486522992</v>
      </c>
      <c r="AV63" s="79">
        <f t="shared" si="89"/>
        <v>3.2837578924636741E-2</v>
      </c>
      <c r="AW63" s="80">
        <f t="shared" si="90"/>
        <v>258.56867669757099</v>
      </c>
      <c r="AX63" s="81">
        <f t="shared" si="91"/>
        <v>1218.2828719547281</v>
      </c>
      <c r="AY63" s="82"/>
      <c r="AZ63" s="83">
        <f t="shared" si="120"/>
        <v>0</v>
      </c>
      <c r="BB63" s="84"/>
    </row>
    <row r="64" spans="2:54" ht="34.5" customHeight="1" thickTop="1" thickBot="1">
      <c r="B64" s="129">
        <f>Pricing!A60</f>
        <v>57</v>
      </c>
      <c r="C64" s="130" t="str">
        <f>Pricing!D60</f>
        <v>3 TRACK 2 SHUTTER SLIDING WINDOW</v>
      </c>
      <c r="D64" s="131" t="str">
        <f>Pricing!B60</f>
        <v>SW26</v>
      </c>
      <c r="E64" s="132" t="str">
        <f>Pricing!N60</f>
        <v>20MM</v>
      </c>
      <c r="F64" s="68">
        <f>Pricing!G60</f>
        <v>2441</v>
      </c>
      <c r="G64" s="68">
        <f>Pricing!H60</f>
        <v>1301</v>
      </c>
      <c r="H64" s="100">
        <f t="shared" si="121"/>
        <v>3.1757409999999999</v>
      </c>
      <c r="I64" s="70">
        <f>Pricing!I60</f>
        <v>1</v>
      </c>
      <c r="J64" s="69">
        <f t="shared" si="125"/>
        <v>3.1757409999999999</v>
      </c>
      <c r="K64" s="71">
        <f t="shared" si="126"/>
        <v>34.183676123999994</v>
      </c>
      <c r="L64" s="69"/>
      <c r="M64" s="72"/>
      <c r="N64" s="72"/>
      <c r="O64" s="72">
        <f t="shared" si="79"/>
        <v>0</v>
      </c>
      <c r="P64" s="73">
        <f>Pricing!M60</f>
        <v>8765.6299999999992</v>
      </c>
      <c r="Q64" s="74">
        <f t="shared" si="107"/>
        <v>876.56299999999999</v>
      </c>
      <c r="R64" s="74">
        <f t="shared" si="108"/>
        <v>1060.64123</v>
      </c>
      <c r="S64" s="74">
        <f t="shared" si="109"/>
        <v>53.514171149999996</v>
      </c>
      <c r="T64" s="74">
        <f t="shared" si="110"/>
        <v>107.56348401149999</v>
      </c>
      <c r="U64" s="72">
        <f t="shared" si="111"/>
        <v>10863.911885161499</v>
      </c>
      <c r="V64" s="74">
        <f t="shared" si="112"/>
        <v>162.95867827742248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8060.0306579999997</v>
      </c>
      <c r="AE64" s="76">
        <f t="shared" si="127"/>
        <v>613.44262295081967</v>
      </c>
      <c r="AF64" s="346">
        <f t="shared" si="128"/>
        <v>628.65599999999995</v>
      </c>
      <c r="AG64" s="347"/>
      <c r="AH64" s="76">
        <f t="shared" si="45"/>
        <v>22.451999999999998</v>
      </c>
      <c r="AI64" s="76">
        <f t="shared" si="122"/>
        <v>74.84</v>
      </c>
      <c r="AJ64" s="76">
        <f>J64*Pricing!Q60</f>
        <v>1196.4286643399998</v>
      </c>
      <c r="AK64" s="76">
        <f>J64*Pricing!R60</f>
        <v>0</v>
      </c>
      <c r="AL64" s="76">
        <f t="shared" si="81"/>
        <v>3418.3676123999994</v>
      </c>
      <c r="AM64" s="77">
        <f t="shared" si="82"/>
        <v>0</v>
      </c>
      <c r="AN64" s="76">
        <f t="shared" si="83"/>
        <v>2734.6940899199994</v>
      </c>
      <c r="AO64" s="72">
        <f t="shared" si="84"/>
        <v>12366.26118638974</v>
      </c>
      <c r="AP64" s="74">
        <f t="shared" si="85"/>
        <v>30915.65296597435</v>
      </c>
      <c r="AQ64" s="74">
        <f t="shared" si="118"/>
        <v>0</v>
      </c>
      <c r="AR64" s="74">
        <f t="shared" si="123"/>
        <v>13628.918149296207</v>
      </c>
      <c r="AS64" s="72">
        <f t="shared" si="124"/>
        <v>58691.43517702409</v>
      </c>
      <c r="AT64" s="72">
        <f t="shared" si="88"/>
        <v>18481.178149296207</v>
      </c>
      <c r="AU64" s="78">
        <f t="shared" si="119"/>
        <v>1716.9433434871989</v>
      </c>
      <c r="AV64" s="79">
        <f t="shared" si="89"/>
        <v>2.1589252483092278E-2</v>
      </c>
      <c r="AW64" s="80">
        <f t="shared" si="90"/>
        <v>322.57708396953461</v>
      </c>
      <c r="AX64" s="81">
        <f t="shared" si="91"/>
        <v>1394.3662595176645</v>
      </c>
      <c r="AY64" s="82"/>
      <c r="AZ64" s="83">
        <f t="shared" si="120"/>
        <v>0</v>
      </c>
      <c r="BB64" s="84"/>
    </row>
    <row r="65" spans="2:54" ht="34.5" customHeight="1" thickTop="1" thickBot="1">
      <c r="B65" s="129">
        <f>Pricing!A61</f>
        <v>58</v>
      </c>
      <c r="C65" s="130" t="str">
        <f>Pricing!D61</f>
        <v>FIXED GLASS</v>
      </c>
      <c r="D65" s="131" t="str">
        <f>Pricing!B61</f>
        <v>FG19</v>
      </c>
      <c r="E65" s="132" t="str">
        <f>Pricing!N61</f>
        <v>20MM</v>
      </c>
      <c r="F65" s="68">
        <f>Pricing!G61</f>
        <v>1524</v>
      </c>
      <c r="G65" s="68">
        <f>Pricing!H61</f>
        <v>1294</v>
      </c>
      <c r="H65" s="100">
        <f t="shared" si="121"/>
        <v>1.972056</v>
      </c>
      <c r="I65" s="70">
        <f>Pricing!I61</f>
        <v>1</v>
      </c>
      <c r="J65" s="69">
        <f t="shared" si="125"/>
        <v>1.972056</v>
      </c>
      <c r="K65" s="71">
        <f t="shared" si="126"/>
        <v>21.227210784</v>
      </c>
      <c r="L65" s="69"/>
      <c r="M65" s="72"/>
      <c r="N65" s="72"/>
      <c r="O65" s="72">
        <f t="shared" si="79"/>
        <v>0</v>
      </c>
      <c r="P65" s="73">
        <f>Pricing!M61</f>
        <v>2534.8199999999997</v>
      </c>
      <c r="Q65" s="74">
        <f t="shared" si="107"/>
        <v>253.48199999999997</v>
      </c>
      <c r="R65" s="74">
        <f t="shared" si="108"/>
        <v>306.71321999999998</v>
      </c>
      <c r="S65" s="74">
        <f t="shared" si="109"/>
        <v>15.475076099999999</v>
      </c>
      <c r="T65" s="74">
        <f t="shared" si="110"/>
        <v>31.104902960999997</v>
      </c>
      <c r="U65" s="72">
        <f t="shared" si="111"/>
        <v>3141.5951990609997</v>
      </c>
      <c r="V65" s="74">
        <f t="shared" si="112"/>
        <v>47.123927985914996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5005.0781280000001</v>
      </c>
      <c r="AE65" s="76">
        <f t="shared" si="127"/>
        <v>461.96721311475414</v>
      </c>
      <c r="AF65" s="346">
        <f t="shared" si="128"/>
        <v>473.42400000000004</v>
      </c>
      <c r="AG65" s="347"/>
      <c r="AH65" s="76">
        <f t="shared" si="45"/>
        <v>16.908000000000001</v>
      </c>
      <c r="AI65" s="76">
        <f t="shared" si="122"/>
        <v>56.36</v>
      </c>
      <c r="AJ65" s="76">
        <f>J65*Pricing!Q61</f>
        <v>0</v>
      </c>
      <c r="AK65" s="76">
        <f>J65*Pricing!R61</f>
        <v>0</v>
      </c>
      <c r="AL65" s="76">
        <f t="shared" si="81"/>
        <v>2122.7210783999999</v>
      </c>
      <c r="AM65" s="77">
        <f t="shared" si="82"/>
        <v>0</v>
      </c>
      <c r="AN65" s="76">
        <f t="shared" si="83"/>
        <v>1698.1768627199999</v>
      </c>
      <c r="AO65" s="72">
        <f t="shared" si="84"/>
        <v>4197.3783401616683</v>
      </c>
      <c r="AP65" s="74">
        <f t="shared" si="85"/>
        <v>10493.44585040417</v>
      </c>
      <c r="AQ65" s="74">
        <f t="shared" si="118"/>
        <v>0</v>
      </c>
      <c r="AR65" s="74">
        <f t="shared" si="123"/>
        <v>7449.4964598195183</v>
      </c>
      <c r="AS65" s="72">
        <f t="shared" si="124"/>
        <v>23516.800259685839</v>
      </c>
      <c r="AT65" s="72">
        <f t="shared" si="88"/>
        <v>11925.016459819517</v>
      </c>
      <c r="AU65" s="78">
        <f t="shared" si="119"/>
        <v>1107.8610609271198</v>
      </c>
      <c r="AV65" s="79">
        <f t="shared" si="89"/>
        <v>1.340638764143456E-2</v>
      </c>
      <c r="AW65" s="80">
        <f t="shared" si="90"/>
        <v>150.21847003330322</v>
      </c>
      <c r="AX65" s="81">
        <f t="shared" si="91"/>
        <v>957.64259089381653</v>
      </c>
      <c r="AY65" s="82"/>
      <c r="AZ65" s="83">
        <f t="shared" si="120"/>
        <v>0</v>
      </c>
      <c r="BB65" s="84"/>
    </row>
    <row r="66" spans="2:54" ht="34.5" customHeight="1" thickTop="1" thickBot="1">
      <c r="B66" s="129">
        <f>Pricing!A62</f>
        <v>59</v>
      </c>
      <c r="C66" s="130" t="str">
        <f>Pricing!D62</f>
        <v>FIXED GLASS</v>
      </c>
      <c r="D66" s="131" t="str">
        <f>Pricing!B62</f>
        <v>FG20</v>
      </c>
      <c r="E66" s="132" t="str">
        <f>Pricing!N62</f>
        <v>20MM</v>
      </c>
      <c r="F66" s="68">
        <f>Pricing!G62</f>
        <v>1564</v>
      </c>
      <c r="G66" s="68">
        <f>Pricing!H62</f>
        <v>1337</v>
      </c>
      <c r="H66" s="100">
        <f t="shared" si="121"/>
        <v>2.0910679999999999</v>
      </c>
      <c r="I66" s="70">
        <f>Pricing!I62</f>
        <v>1</v>
      </c>
      <c r="J66" s="69">
        <f t="shared" si="125"/>
        <v>2.0910679999999999</v>
      </c>
      <c r="K66" s="71">
        <f t="shared" si="126"/>
        <v>22.508255951999999</v>
      </c>
      <c r="L66" s="69"/>
      <c r="M66" s="72"/>
      <c r="N66" s="72"/>
      <c r="O66" s="72">
        <f t="shared" si="79"/>
        <v>0</v>
      </c>
      <c r="P66" s="73">
        <f>Pricing!M62</f>
        <v>2607.0300000000002</v>
      </c>
      <c r="Q66" s="74">
        <f t="shared" si="107"/>
        <v>260.70300000000003</v>
      </c>
      <c r="R66" s="74">
        <f t="shared" si="108"/>
        <v>315.45063000000005</v>
      </c>
      <c r="S66" s="74">
        <f t="shared" si="109"/>
        <v>15.915918150000003</v>
      </c>
      <c r="T66" s="74">
        <f t="shared" si="110"/>
        <v>31.990995481500004</v>
      </c>
      <c r="U66" s="72">
        <f t="shared" si="111"/>
        <v>3231.0905436315002</v>
      </c>
      <c r="V66" s="74">
        <f t="shared" si="112"/>
        <v>48.466358154472502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5307.1305839999995</v>
      </c>
      <c r="AE66" s="76">
        <f t="shared" si="127"/>
        <v>475.57377049180332</v>
      </c>
      <c r="AF66" s="346">
        <f t="shared" si="128"/>
        <v>487.36799999999999</v>
      </c>
      <c r="AG66" s="347"/>
      <c r="AH66" s="76">
        <f t="shared" si="45"/>
        <v>17.405999999999999</v>
      </c>
      <c r="AI66" s="76">
        <f t="shared" si="122"/>
        <v>58.019999999999996</v>
      </c>
      <c r="AJ66" s="76">
        <f>J66*Pricing!Q62</f>
        <v>0</v>
      </c>
      <c r="AK66" s="76">
        <f>J66*Pricing!R62</f>
        <v>0</v>
      </c>
      <c r="AL66" s="76">
        <f t="shared" si="81"/>
        <v>2250.8255951999995</v>
      </c>
      <c r="AM66" s="77">
        <f t="shared" si="82"/>
        <v>0</v>
      </c>
      <c r="AN66" s="76">
        <f t="shared" si="83"/>
        <v>1800.6604761599997</v>
      </c>
      <c r="AO66" s="72">
        <f t="shared" si="84"/>
        <v>4317.924672277778</v>
      </c>
      <c r="AP66" s="74">
        <f t="shared" si="85"/>
        <v>10794.811680694445</v>
      </c>
      <c r="AQ66" s="74">
        <f t="shared" si="118"/>
        <v>0</v>
      </c>
      <c r="AR66" s="74">
        <f t="shared" si="123"/>
        <v>7227.2811563144887</v>
      </c>
      <c r="AS66" s="72">
        <f t="shared" si="124"/>
        <v>24471.353008332222</v>
      </c>
      <c r="AT66" s="72">
        <f t="shared" si="88"/>
        <v>11702.801156314488</v>
      </c>
      <c r="AU66" s="78">
        <f t="shared" si="119"/>
        <v>1087.2167555104504</v>
      </c>
      <c r="AV66" s="79">
        <f t="shared" si="89"/>
        <v>1.4215452397193226E-2</v>
      </c>
      <c r="AW66" s="80">
        <f t="shared" si="90"/>
        <v>145.70462095240939</v>
      </c>
      <c r="AX66" s="81">
        <f t="shared" si="91"/>
        <v>941.51213455804088</v>
      </c>
      <c r="AY66" s="82"/>
      <c r="AZ66" s="83">
        <f t="shared" si="120"/>
        <v>0</v>
      </c>
      <c r="BB66" s="84"/>
    </row>
    <row r="67" spans="2:54" ht="34.5" customHeight="1" thickTop="1" thickBot="1">
      <c r="B67" s="129">
        <f>Pricing!A63</f>
        <v>60</v>
      </c>
      <c r="C67" s="130" t="str">
        <f>Pricing!D63</f>
        <v>FIXED GLASS</v>
      </c>
      <c r="D67" s="131" t="str">
        <f>Pricing!B63</f>
        <v>FG21</v>
      </c>
      <c r="E67" s="132" t="str">
        <f>Pricing!N63</f>
        <v>20MM</v>
      </c>
      <c r="F67" s="68">
        <f>Pricing!G63</f>
        <v>1564</v>
      </c>
      <c r="G67" s="68">
        <f>Pricing!H63</f>
        <v>1336</v>
      </c>
      <c r="H67" s="100">
        <f t="shared" si="121"/>
        <v>2.0895039999999998</v>
      </c>
      <c r="I67" s="70">
        <f>Pricing!I63</f>
        <v>1</v>
      </c>
      <c r="J67" s="69">
        <f t="shared" si="125"/>
        <v>2.0895039999999998</v>
      </c>
      <c r="K67" s="71">
        <f t="shared" si="126"/>
        <v>22.491421055999997</v>
      </c>
      <c r="L67" s="69"/>
      <c r="M67" s="72"/>
      <c r="N67" s="72"/>
      <c r="O67" s="72">
        <f t="shared" si="79"/>
        <v>0</v>
      </c>
      <c r="P67" s="73">
        <f>Pricing!M63</f>
        <v>2606.1999999999998</v>
      </c>
      <c r="Q67" s="74">
        <f t="shared" si="107"/>
        <v>260.62</v>
      </c>
      <c r="R67" s="74">
        <f t="shared" si="108"/>
        <v>315.35019999999997</v>
      </c>
      <c r="S67" s="74">
        <f t="shared" si="109"/>
        <v>15.910850999999997</v>
      </c>
      <c r="T67" s="74">
        <f t="shared" si="110"/>
        <v>31.980810509999998</v>
      </c>
      <c r="U67" s="72">
        <f t="shared" si="111"/>
        <v>3230.0618615099997</v>
      </c>
      <c r="V67" s="74">
        <f t="shared" si="112"/>
        <v>48.450927922649996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5303.1611519999997</v>
      </c>
      <c r="AE67" s="76">
        <f t="shared" si="127"/>
        <v>475.40983606557381</v>
      </c>
      <c r="AF67" s="346">
        <f t="shared" si="128"/>
        <v>487.2</v>
      </c>
      <c r="AG67" s="347"/>
      <c r="AH67" s="76">
        <f t="shared" si="45"/>
        <v>17.399999999999999</v>
      </c>
      <c r="AI67" s="76">
        <f t="shared" si="122"/>
        <v>58</v>
      </c>
      <c r="AJ67" s="76">
        <f>J67*Pricing!Q63</f>
        <v>0</v>
      </c>
      <c r="AK67" s="76">
        <f>J67*Pricing!R63</f>
        <v>0</v>
      </c>
      <c r="AL67" s="76">
        <f t="shared" si="81"/>
        <v>2249.1421055999995</v>
      </c>
      <c r="AM67" s="77">
        <f t="shared" si="82"/>
        <v>0</v>
      </c>
      <c r="AN67" s="76">
        <f t="shared" si="83"/>
        <v>1799.3136844799997</v>
      </c>
      <c r="AO67" s="72">
        <f t="shared" si="84"/>
        <v>4316.5226254982235</v>
      </c>
      <c r="AP67" s="74">
        <f t="shared" si="85"/>
        <v>10791.306563745558</v>
      </c>
      <c r="AQ67" s="74">
        <f t="shared" si="118"/>
        <v>0</v>
      </c>
      <c r="AR67" s="74">
        <f t="shared" si="123"/>
        <v>7230.3423153264039</v>
      </c>
      <c r="AS67" s="72">
        <f t="shared" si="124"/>
        <v>24459.446131323781</v>
      </c>
      <c r="AT67" s="72">
        <f t="shared" si="88"/>
        <v>11705.862315326403</v>
      </c>
      <c r="AU67" s="78">
        <f t="shared" si="119"/>
        <v>1087.5011441217396</v>
      </c>
      <c r="AV67" s="79">
        <f t="shared" si="89"/>
        <v>1.4204820046858749E-2</v>
      </c>
      <c r="AW67" s="80">
        <f t="shared" si="90"/>
        <v>145.76725860361086</v>
      </c>
      <c r="AX67" s="81">
        <f t="shared" si="91"/>
        <v>941.73388551812866</v>
      </c>
      <c r="AY67" s="82"/>
      <c r="AZ67" s="83">
        <f t="shared" si="120"/>
        <v>0</v>
      </c>
      <c r="BB67" s="84"/>
    </row>
    <row r="68" spans="2:54" ht="34.5" customHeight="1" thickTop="1" thickBot="1">
      <c r="B68" s="129">
        <f>Pricing!A64</f>
        <v>61</v>
      </c>
      <c r="C68" s="130" t="str">
        <f>Pricing!D64</f>
        <v>FIXED GLASS</v>
      </c>
      <c r="D68" s="131" t="str">
        <f>Pricing!B64</f>
        <v>FG22</v>
      </c>
      <c r="E68" s="132" t="str">
        <f>Pricing!N64</f>
        <v>20MM</v>
      </c>
      <c r="F68" s="68">
        <f>Pricing!G64</f>
        <v>1563</v>
      </c>
      <c r="G68" s="68">
        <f>Pricing!H64</f>
        <v>1340</v>
      </c>
      <c r="H68" s="100">
        <f t="shared" si="121"/>
        <v>2.0944199999999999</v>
      </c>
      <c r="I68" s="70">
        <f>Pricing!I64</f>
        <v>1</v>
      </c>
      <c r="J68" s="69">
        <f t="shared" si="125"/>
        <v>2.0944199999999999</v>
      </c>
      <c r="K68" s="71">
        <f t="shared" si="126"/>
        <v>22.544336879999999</v>
      </c>
      <c r="L68" s="69"/>
      <c r="M68" s="72"/>
      <c r="N68" s="72"/>
      <c r="O68" s="72">
        <f t="shared" si="79"/>
        <v>0</v>
      </c>
      <c r="P68" s="73">
        <f>Pricing!M64</f>
        <v>2608.69</v>
      </c>
      <c r="Q68" s="74">
        <f t="shared" si="107"/>
        <v>260.86900000000003</v>
      </c>
      <c r="R68" s="74">
        <f t="shared" si="108"/>
        <v>315.65149000000002</v>
      </c>
      <c r="S68" s="74">
        <f t="shared" si="109"/>
        <v>15.926052450000002</v>
      </c>
      <c r="T68" s="74">
        <f t="shared" si="110"/>
        <v>32.011365424500006</v>
      </c>
      <c r="U68" s="72">
        <f t="shared" si="111"/>
        <v>3233.1479078745006</v>
      </c>
      <c r="V68" s="74">
        <f t="shared" si="112"/>
        <v>48.497218618117508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5315.63796</v>
      </c>
      <c r="AE68" s="76">
        <f t="shared" si="127"/>
        <v>475.90163934426232</v>
      </c>
      <c r="AF68" s="346">
        <f t="shared" si="128"/>
        <v>487.70400000000001</v>
      </c>
      <c r="AG68" s="347"/>
      <c r="AH68" s="76">
        <f t="shared" si="45"/>
        <v>17.417999999999999</v>
      </c>
      <c r="AI68" s="76">
        <f t="shared" si="122"/>
        <v>58.06</v>
      </c>
      <c r="AJ68" s="76">
        <f>J68*Pricing!Q64</f>
        <v>0</v>
      </c>
      <c r="AK68" s="76">
        <f>J68*Pricing!R64</f>
        <v>0</v>
      </c>
      <c r="AL68" s="76">
        <f t="shared" si="81"/>
        <v>2254.4336879999996</v>
      </c>
      <c r="AM68" s="77">
        <f t="shared" si="82"/>
        <v>0</v>
      </c>
      <c r="AN68" s="76">
        <f t="shared" si="83"/>
        <v>1803.5469503999998</v>
      </c>
      <c r="AO68" s="72">
        <f t="shared" si="84"/>
        <v>4320.7287658368805</v>
      </c>
      <c r="AP68" s="74">
        <f t="shared" si="85"/>
        <v>10801.821914592201</v>
      </c>
      <c r="AQ68" s="74">
        <f t="shared" si="118"/>
        <v>0</v>
      </c>
      <c r="AR68" s="74">
        <f t="shared" si="123"/>
        <v>7220.4002446639561</v>
      </c>
      <c r="AS68" s="72">
        <f t="shared" si="124"/>
        <v>24496.169278829082</v>
      </c>
      <c r="AT68" s="72">
        <f t="shared" si="88"/>
        <v>11695.920244663956</v>
      </c>
      <c r="AU68" s="78">
        <f t="shared" si="119"/>
        <v>1086.5775032203601</v>
      </c>
      <c r="AV68" s="79">
        <f t="shared" si="89"/>
        <v>1.4238239889725937E-2</v>
      </c>
      <c r="AW68" s="80">
        <f t="shared" si="90"/>
        <v>145.56405646173161</v>
      </c>
      <c r="AX68" s="81">
        <f t="shared" si="91"/>
        <v>941.01344675862833</v>
      </c>
      <c r="AY68" s="82"/>
      <c r="AZ68" s="83">
        <f t="shared" si="120"/>
        <v>0</v>
      </c>
      <c r="BB68" s="84"/>
    </row>
    <row r="69" spans="2:54" ht="34.5" customHeight="1" thickTop="1" thickBot="1">
      <c r="B69" s="129">
        <f>Pricing!A65</f>
        <v>62</v>
      </c>
      <c r="C69" s="130" t="str">
        <f>Pricing!D65</f>
        <v>FIXED GLASS</v>
      </c>
      <c r="D69" s="131" t="str">
        <f>Pricing!B65</f>
        <v>FG23</v>
      </c>
      <c r="E69" s="132" t="str">
        <f>Pricing!N65</f>
        <v>20MM</v>
      </c>
      <c r="F69" s="68">
        <f>Pricing!G65</f>
        <v>1562</v>
      </c>
      <c r="G69" s="68">
        <f>Pricing!H65</f>
        <v>1336</v>
      </c>
      <c r="H69" s="100">
        <f t="shared" si="121"/>
        <v>2.0868319999999998</v>
      </c>
      <c r="I69" s="70">
        <f>Pricing!I65</f>
        <v>1</v>
      </c>
      <c r="J69" s="69">
        <f t="shared" si="125"/>
        <v>2.0868319999999998</v>
      </c>
      <c r="K69" s="71">
        <f t="shared" si="126"/>
        <v>22.462659647999995</v>
      </c>
      <c r="L69" s="69"/>
      <c r="M69" s="72"/>
      <c r="N69" s="72"/>
      <c r="O69" s="72">
        <f t="shared" si="79"/>
        <v>0</v>
      </c>
      <c r="P69" s="73">
        <f>Pricing!M65</f>
        <v>2604.54</v>
      </c>
      <c r="Q69" s="74">
        <f t="shared" si="107"/>
        <v>260.45400000000001</v>
      </c>
      <c r="R69" s="74">
        <f t="shared" si="108"/>
        <v>315.14934</v>
      </c>
      <c r="S69" s="74">
        <f t="shared" si="109"/>
        <v>15.9007167</v>
      </c>
      <c r="T69" s="74">
        <f t="shared" si="110"/>
        <v>31.960440567000003</v>
      </c>
      <c r="U69" s="72">
        <f t="shared" si="111"/>
        <v>3228.0044972670003</v>
      </c>
      <c r="V69" s="74">
        <f t="shared" si="112"/>
        <v>48.420067459005004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5296.3796159999993</v>
      </c>
      <c r="AE69" s="76">
        <f t="shared" si="127"/>
        <v>475.08196721311481</v>
      </c>
      <c r="AF69" s="346">
        <f t="shared" si="128"/>
        <v>486.86400000000003</v>
      </c>
      <c r="AG69" s="347"/>
      <c r="AH69" s="76">
        <f t="shared" si="45"/>
        <v>17.388000000000002</v>
      </c>
      <c r="AI69" s="76">
        <f t="shared" si="122"/>
        <v>57.96</v>
      </c>
      <c r="AJ69" s="76">
        <f>J69*Pricing!Q65</f>
        <v>0</v>
      </c>
      <c r="AK69" s="76">
        <f>J69*Pricing!R65</f>
        <v>0</v>
      </c>
      <c r="AL69" s="76">
        <f t="shared" si="81"/>
        <v>2246.2659647999994</v>
      </c>
      <c r="AM69" s="77">
        <f t="shared" si="82"/>
        <v>0</v>
      </c>
      <c r="AN69" s="76">
        <f t="shared" si="83"/>
        <v>1797.0127718399997</v>
      </c>
      <c r="AO69" s="72">
        <f t="shared" si="84"/>
        <v>4313.7185319391201</v>
      </c>
      <c r="AP69" s="74">
        <f t="shared" si="85"/>
        <v>10784.296329847801</v>
      </c>
      <c r="AQ69" s="74">
        <f t="shared" si="118"/>
        <v>0</v>
      </c>
      <c r="AR69" s="74">
        <f t="shared" si="123"/>
        <v>7234.8971368020621</v>
      </c>
      <c r="AS69" s="72">
        <f t="shared" si="124"/>
        <v>24437.673214426919</v>
      </c>
      <c r="AT69" s="72">
        <f t="shared" si="88"/>
        <v>11710.417136802062</v>
      </c>
      <c r="AU69" s="78">
        <f t="shared" si="119"/>
        <v>1087.9242973617672</v>
      </c>
      <c r="AV69" s="79">
        <f t="shared" si="89"/>
        <v>1.4186655315341025E-2</v>
      </c>
      <c r="AW69" s="80">
        <f t="shared" si="90"/>
        <v>145.86093615222131</v>
      </c>
      <c r="AX69" s="81">
        <f t="shared" si="91"/>
        <v>942.06336120954609</v>
      </c>
      <c r="AY69" s="82"/>
      <c r="AZ69" s="83">
        <f t="shared" si="120"/>
        <v>0</v>
      </c>
      <c r="BB69" s="84"/>
    </row>
    <row r="70" spans="2:54" ht="34.5" customHeight="1" thickTop="1" thickBot="1">
      <c r="B70" s="129">
        <f>Pricing!A66</f>
        <v>63</v>
      </c>
      <c r="C70" s="130" t="str">
        <f>Pricing!D66</f>
        <v>3 TRACK 2 SHUTTER SLIDING WINDOW</v>
      </c>
      <c r="D70" s="131" t="str">
        <f>Pricing!B66</f>
        <v>SW27</v>
      </c>
      <c r="E70" s="132" t="str">
        <f>Pricing!N66</f>
        <v>20MM</v>
      </c>
      <c r="F70" s="68">
        <f>Pricing!G66</f>
        <v>2461</v>
      </c>
      <c r="G70" s="68">
        <f>Pricing!H66</f>
        <v>1326</v>
      </c>
      <c r="H70" s="100">
        <f t="shared" si="121"/>
        <v>3.2632859999999999</v>
      </c>
      <c r="I70" s="70">
        <f>Pricing!I66</f>
        <v>1</v>
      </c>
      <c r="J70" s="69">
        <f t="shared" si="125"/>
        <v>3.2632859999999999</v>
      </c>
      <c r="K70" s="71">
        <f t="shared" si="126"/>
        <v>35.126010504</v>
      </c>
      <c r="L70" s="69"/>
      <c r="M70" s="72"/>
      <c r="N70" s="72"/>
      <c r="O70" s="72">
        <f t="shared" si="79"/>
        <v>0</v>
      </c>
      <c r="P70" s="73">
        <f>Pricing!M66</f>
        <v>8858.5899999999983</v>
      </c>
      <c r="Q70" s="74">
        <f t="shared" si="107"/>
        <v>885.85899999999992</v>
      </c>
      <c r="R70" s="74">
        <f t="shared" si="108"/>
        <v>1071.8893899999998</v>
      </c>
      <c r="S70" s="74">
        <f t="shared" si="109"/>
        <v>54.081691949999993</v>
      </c>
      <c r="T70" s="74">
        <f t="shared" si="110"/>
        <v>108.70420081949999</v>
      </c>
      <c r="U70" s="72">
        <f t="shared" si="111"/>
        <v>10979.124282769499</v>
      </c>
      <c r="V70" s="74">
        <f t="shared" si="112"/>
        <v>164.68686424154248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8282.2198680000001</v>
      </c>
      <c r="AE70" s="76">
        <f t="shared" si="127"/>
        <v>620.81967213114751</v>
      </c>
      <c r="AF70" s="346">
        <f t="shared" si="128"/>
        <v>636.21599999999989</v>
      </c>
      <c r="AG70" s="347"/>
      <c r="AH70" s="76">
        <f t="shared" si="45"/>
        <v>22.722000000000001</v>
      </c>
      <c r="AI70" s="76">
        <f t="shared" si="122"/>
        <v>75.739999999999995</v>
      </c>
      <c r="AJ70" s="76">
        <f>J70*Pricing!Q66</f>
        <v>1229.4103676399998</v>
      </c>
      <c r="AK70" s="76">
        <f>J70*Pricing!R66</f>
        <v>0</v>
      </c>
      <c r="AL70" s="76">
        <f t="shared" si="81"/>
        <v>3512.6010503999996</v>
      </c>
      <c r="AM70" s="77">
        <f t="shared" si="82"/>
        <v>0</v>
      </c>
      <c r="AN70" s="76">
        <f t="shared" si="83"/>
        <v>2810.0808403199994</v>
      </c>
      <c r="AO70" s="72">
        <f t="shared" si="84"/>
        <v>12499.308819142188</v>
      </c>
      <c r="AP70" s="74">
        <f t="shared" si="85"/>
        <v>31248.272047855469</v>
      </c>
      <c r="AQ70" s="74">
        <f t="shared" si="118"/>
        <v>0</v>
      </c>
      <c r="AR70" s="74">
        <f t="shared" si="123"/>
        <v>13405.990424068763</v>
      </c>
      <c r="AS70" s="72">
        <f t="shared" si="124"/>
        <v>59581.892993357658</v>
      </c>
      <c r="AT70" s="72">
        <f t="shared" si="88"/>
        <v>18258.250424068763</v>
      </c>
      <c r="AU70" s="78">
        <f t="shared" si="119"/>
        <v>1696.2328524775887</v>
      </c>
      <c r="AV70" s="79">
        <f t="shared" si="89"/>
        <v>2.2184398972882324E-2</v>
      </c>
      <c r="AW70" s="80">
        <f t="shared" si="90"/>
        <v>317.25240034708844</v>
      </c>
      <c r="AX70" s="81">
        <f t="shared" si="91"/>
        <v>1378.9804521305</v>
      </c>
      <c r="AY70" s="82"/>
      <c r="AZ70" s="83">
        <f t="shared" si="120"/>
        <v>0</v>
      </c>
      <c r="BB70" s="84"/>
    </row>
    <row r="71" spans="2:54" ht="34.5" customHeight="1" thickTop="1" thickBot="1">
      <c r="B71" s="129">
        <f>Pricing!A67</f>
        <v>64</v>
      </c>
      <c r="C71" s="130" t="str">
        <f>Pricing!D67</f>
        <v>Z LOUVERS</v>
      </c>
      <c r="D71" s="131" t="str">
        <f>Pricing!B67</f>
        <v>V11</v>
      </c>
      <c r="E71" s="132" t="str">
        <f>Pricing!N67</f>
        <v>NA</v>
      </c>
      <c r="F71" s="68">
        <f>Pricing!G67</f>
        <v>568</v>
      </c>
      <c r="G71" s="68">
        <f>Pricing!H67</f>
        <v>576</v>
      </c>
      <c r="H71" s="100">
        <f t="shared" si="121"/>
        <v>0.32716800000000001</v>
      </c>
      <c r="I71" s="70">
        <f>Pricing!I67</f>
        <v>1</v>
      </c>
      <c r="J71" s="69">
        <f t="shared" si="125"/>
        <v>0.32716800000000001</v>
      </c>
      <c r="K71" s="71">
        <f t="shared" si="126"/>
        <v>3.5216363519999998</v>
      </c>
      <c r="L71" s="69"/>
      <c r="M71" s="72"/>
      <c r="N71" s="72"/>
      <c r="O71" s="72">
        <f t="shared" si="79"/>
        <v>0</v>
      </c>
      <c r="P71" s="73">
        <f>Pricing!M67</f>
        <v>2317.36</v>
      </c>
      <c r="Q71" s="74">
        <f t="shared" si="107"/>
        <v>231.73600000000002</v>
      </c>
      <c r="R71" s="74">
        <f t="shared" si="108"/>
        <v>280.40055999999998</v>
      </c>
      <c r="S71" s="74">
        <f t="shared" si="109"/>
        <v>14.147482800000001</v>
      </c>
      <c r="T71" s="74">
        <f t="shared" si="110"/>
        <v>28.436440428000001</v>
      </c>
      <c r="U71" s="72">
        <f t="shared" si="111"/>
        <v>2872.080483228</v>
      </c>
      <c r="V71" s="74">
        <f t="shared" si="112"/>
        <v>43.08120724842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187.54098360655738</v>
      </c>
      <c r="AF71" s="346">
        <f t="shared" si="128"/>
        <v>192.19199999999998</v>
      </c>
      <c r="AG71" s="347"/>
      <c r="AH71" s="76">
        <f t="shared" si="45"/>
        <v>6.863999999999999</v>
      </c>
      <c r="AI71" s="76">
        <f t="shared" si="122"/>
        <v>22.88</v>
      </c>
      <c r="AJ71" s="76">
        <f>J71*Pricing!Q67</f>
        <v>0</v>
      </c>
      <c r="AK71" s="76">
        <f>J71*Pricing!R67</f>
        <v>0</v>
      </c>
      <c r="AL71" s="76">
        <f t="shared" si="81"/>
        <v>352.16363519999999</v>
      </c>
      <c r="AM71" s="77">
        <f t="shared" si="82"/>
        <v>0</v>
      </c>
      <c r="AN71" s="76">
        <f t="shared" si="83"/>
        <v>281.73090815999996</v>
      </c>
      <c r="AO71" s="72">
        <f t="shared" si="84"/>
        <v>3324.6386740829776</v>
      </c>
      <c r="AP71" s="74">
        <f t="shared" si="85"/>
        <v>8311.5966852074434</v>
      </c>
      <c r="AQ71" s="74">
        <f t="shared" si="118"/>
        <v>0</v>
      </c>
      <c r="AR71" s="74">
        <f t="shared" si="123"/>
        <v>35566.544892197344</v>
      </c>
      <c r="AS71" s="72">
        <f t="shared" si="124"/>
        <v>12270.12990265042</v>
      </c>
      <c r="AT71" s="72">
        <f t="shared" si="88"/>
        <v>37504.064892197341</v>
      </c>
      <c r="AU71" s="78">
        <f t="shared" si="119"/>
        <v>3484.2126432736291</v>
      </c>
      <c r="AV71" s="79">
        <f t="shared" si="89"/>
        <v>2.2241462878705587E-3</v>
      </c>
      <c r="AW71" s="80">
        <f t="shared" si="90"/>
        <v>827.78611960341902</v>
      </c>
      <c r="AX71" s="81">
        <f t="shared" si="91"/>
        <v>2656.4265236702104</v>
      </c>
      <c r="AY71" s="82"/>
      <c r="AZ71" s="83">
        <f t="shared" si="120"/>
        <v>0</v>
      </c>
      <c r="BB71" s="84"/>
    </row>
    <row r="72" spans="2:54" ht="34.5" customHeight="1" thickTop="1" thickBot="1">
      <c r="B72" s="129">
        <f>Pricing!A68</f>
        <v>65</v>
      </c>
      <c r="C72" s="130" t="str">
        <f>Pricing!D68</f>
        <v>3 TRACK 2 SHUTTER SLIDING WINDOW</v>
      </c>
      <c r="D72" s="131" t="str">
        <f>Pricing!B68</f>
        <v>SW28</v>
      </c>
      <c r="E72" s="132" t="str">
        <f>Pricing!N68</f>
        <v>20MM</v>
      </c>
      <c r="F72" s="68">
        <f>Pricing!G68</f>
        <v>2483</v>
      </c>
      <c r="G72" s="68">
        <f>Pricing!H68</f>
        <v>1335</v>
      </c>
      <c r="H72" s="100">
        <f t="shared" si="121"/>
        <v>3.3148049999999998</v>
      </c>
      <c r="I72" s="70">
        <f>Pricing!I68</f>
        <v>1</v>
      </c>
      <c r="J72" s="69">
        <f t="shared" si="125"/>
        <v>3.3148049999999998</v>
      </c>
      <c r="K72" s="71">
        <f t="shared" si="126"/>
        <v>35.680561019999999</v>
      </c>
      <c r="L72" s="69"/>
      <c r="M72" s="72"/>
      <c r="N72" s="72"/>
      <c r="O72" s="72">
        <f t="shared" si="79"/>
        <v>0</v>
      </c>
      <c r="P72" s="73">
        <f>Pricing!M68</f>
        <v>8915.0299999999988</v>
      </c>
      <c r="Q72" s="74">
        <f t="shared" si="107"/>
        <v>891.50299999999993</v>
      </c>
      <c r="R72" s="74">
        <f t="shared" si="108"/>
        <v>1078.7186299999998</v>
      </c>
      <c r="S72" s="74">
        <f t="shared" si="109"/>
        <v>54.426258149999995</v>
      </c>
      <c r="T72" s="74">
        <f t="shared" si="110"/>
        <v>109.3967788815</v>
      </c>
      <c r="U72" s="72">
        <f t="shared" si="111"/>
        <v>11049.0746670315</v>
      </c>
      <c r="V72" s="74">
        <f t="shared" si="112"/>
        <v>165.73612000547249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8412.9750899999999</v>
      </c>
      <c r="AE72" s="76">
        <f t="shared" si="127"/>
        <v>625.90163934426232</v>
      </c>
      <c r="AF72" s="346">
        <f t="shared" si="128"/>
        <v>641.42399999999998</v>
      </c>
      <c r="AG72" s="347"/>
      <c r="AH72" s="76">
        <f t="shared" si="45"/>
        <v>22.908000000000001</v>
      </c>
      <c r="AI72" s="76">
        <f t="shared" si="122"/>
        <v>76.36</v>
      </c>
      <c r="AJ72" s="76">
        <f>J72*Pricing!Q68</f>
        <v>1248.8196356999997</v>
      </c>
      <c r="AK72" s="76">
        <f>J72*Pricing!R68</f>
        <v>0</v>
      </c>
      <c r="AL72" s="76">
        <f t="shared" si="81"/>
        <v>3568.0561019999991</v>
      </c>
      <c r="AM72" s="77">
        <f t="shared" si="82"/>
        <v>0</v>
      </c>
      <c r="AN72" s="76">
        <f t="shared" si="83"/>
        <v>2854.4448815999995</v>
      </c>
      <c r="AO72" s="72">
        <f t="shared" si="84"/>
        <v>12581.404426381232</v>
      </c>
      <c r="AP72" s="74">
        <f t="shared" si="85"/>
        <v>31453.51106595308</v>
      </c>
      <c r="AQ72" s="74">
        <f t="shared" si="118"/>
        <v>0</v>
      </c>
      <c r="AR72" s="74">
        <f t="shared" si="123"/>
        <v>13284.315515493165</v>
      </c>
      <c r="AS72" s="72">
        <f t="shared" si="124"/>
        <v>60119.211201634309</v>
      </c>
      <c r="AT72" s="72">
        <f t="shared" si="88"/>
        <v>18136.575515493161</v>
      </c>
      <c r="AU72" s="78">
        <f t="shared" si="119"/>
        <v>1684.9289776563696</v>
      </c>
      <c r="AV72" s="79">
        <f t="shared" ref="AV72:AV107" si="129">K72/$K$109</f>
        <v>2.2534634303369421E-2</v>
      </c>
      <c r="AW72" s="80">
        <f t="shared" si="90"/>
        <v>314.31150369947221</v>
      </c>
      <c r="AX72" s="81">
        <f t="shared" si="91"/>
        <v>1370.6174739568974</v>
      </c>
      <c r="AY72" s="82"/>
      <c r="AZ72" s="83">
        <f t="shared" si="120"/>
        <v>0</v>
      </c>
      <c r="BB72" s="84"/>
    </row>
    <row r="73" spans="2:54" ht="34.5" customHeight="1" thickTop="1" thickBot="1">
      <c r="B73" s="129">
        <f>Pricing!A69</f>
        <v>66</v>
      </c>
      <c r="C73" s="130" t="str">
        <f>Pricing!D69</f>
        <v>3 TRACK 2 SHUTTER SLIDING WINDOW</v>
      </c>
      <c r="D73" s="131" t="str">
        <f>Pricing!B69</f>
        <v>SW29</v>
      </c>
      <c r="E73" s="132" t="str">
        <f>Pricing!N69</f>
        <v>20MM</v>
      </c>
      <c r="F73" s="68">
        <f>Pricing!G69</f>
        <v>2481</v>
      </c>
      <c r="G73" s="68">
        <f>Pricing!H69</f>
        <v>1335</v>
      </c>
      <c r="H73" s="100">
        <f t="shared" si="121"/>
        <v>3.3121350000000001</v>
      </c>
      <c r="I73" s="70">
        <f>Pricing!I69</f>
        <v>1</v>
      </c>
      <c r="J73" s="69">
        <f t="shared" si="125"/>
        <v>3.3121350000000001</v>
      </c>
      <c r="K73" s="71">
        <f t="shared" si="126"/>
        <v>35.651821139999996</v>
      </c>
      <c r="L73" s="69"/>
      <c r="M73" s="72"/>
      <c r="N73" s="72"/>
      <c r="O73" s="72">
        <f t="shared" si="79"/>
        <v>0</v>
      </c>
      <c r="P73" s="73">
        <f>Pricing!M69</f>
        <v>8911.7100000000009</v>
      </c>
      <c r="Q73" s="74">
        <f t="shared" si="107"/>
        <v>891.17100000000016</v>
      </c>
      <c r="R73" s="74">
        <f t="shared" si="108"/>
        <v>1078.3169100000002</v>
      </c>
      <c r="S73" s="74">
        <f t="shared" si="109"/>
        <v>54.405989550000008</v>
      </c>
      <c r="T73" s="74">
        <f t="shared" si="110"/>
        <v>109.3560389955</v>
      </c>
      <c r="U73" s="72">
        <f t="shared" si="111"/>
        <v>11044.9599385455</v>
      </c>
      <c r="V73" s="74">
        <f t="shared" si="112"/>
        <v>165.67439907818249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8406.1986300000008</v>
      </c>
      <c r="AE73" s="76">
        <f t="shared" si="127"/>
        <v>625.57377049180332</v>
      </c>
      <c r="AF73" s="346">
        <f t="shared" si="128"/>
        <v>641.08799999999997</v>
      </c>
      <c r="AG73" s="347"/>
      <c r="AH73" s="76">
        <f t="shared" ref="AH73:AH107" si="130">(((F73+G73))*I73/1000)*8*$AH$7</f>
        <v>22.896000000000001</v>
      </c>
      <c r="AI73" s="76">
        <f t="shared" si="122"/>
        <v>76.319999999999993</v>
      </c>
      <c r="AJ73" s="76">
        <f>J73*Pricing!Q69</f>
        <v>1247.8137399</v>
      </c>
      <c r="AK73" s="76">
        <f>J73*Pricing!R69</f>
        <v>0</v>
      </c>
      <c r="AL73" s="76">
        <f t="shared" si="81"/>
        <v>3565.1821139999997</v>
      </c>
      <c r="AM73" s="77">
        <f t="shared" si="82"/>
        <v>0</v>
      </c>
      <c r="AN73" s="76">
        <f t="shared" si="83"/>
        <v>2852.1456911999999</v>
      </c>
      <c r="AO73" s="72">
        <f t="shared" si="84"/>
        <v>12576.512108115485</v>
      </c>
      <c r="AP73" s="74">
        <f t="shared" si="85"/>
        <v>31441.280270288713</v>
      </c>
      <c r="AQ73" s="74">
        <f t="shared" si="118"/>
        <v>0</v>
      </c>
      <c r="AR73" s="74">
        <f t="shared" si="123"/>
        <v>13289.854543490588</v>
      </c>
      <c r="AS73" s="72">
        <f t="shared" si="124"/>
        <v>60089.132553504198</v>
      </c>
      <c r="AT73" s="72">
        <f t="shared" si="88"/>
        <v>18142.114543490588</v>
      </c>
      <c r="AU73" s="78">
        <f t="shared" si="119"/>
        <v>1685.4435659132841</v>
      </c>
      <c r="AV73" s="79">
        <f t="shared" si="129"/>
        <v>2.2516483168207625E-2</v>
      </c>
      <c r="AW73" s="80">
        <f t="shared" si="90"/>
        <v>314.44773307935668</v>
      </c>
      <c r="AX73" s="81">
        <f t="shared" si="91"/>
        <v>1370.9958328339276</v>
      </c>
      <c r="AY73" s="82"/>
      <c r="AZ73" s="83">
        <f t="shared" si="120"/>
        <v>0</v>
      </c>
      <c r="BB73" s="84"/>
    </row>
    <row r="74" spans="2:54" ht="34.5" customHeight="1" thickTop="1" thickBot="1">
      <c r="B74" s="129">
        <f>Pricing!A70</f>
        <v>67</v>
      </c>
      <c r="C74" s="130" t="str">
        <f>Pricing!D70</f>
        <v>3 TRACK 2 SHUTTER SLIDING WINDOW</v>
      </c>
      <c r="D74" s="131" t="str">
        <f>Pricing!B70</f>
        <v>SW30</v>
      </c>
      <c r="E74" s="132" t="str">
        <f>Pricing!N70</f>
        <v>20MM</v>
      </c>
      <c r="F74" s="68">
        <f>Pricing!G70</f>
        <v>1865</v>
      </c>
      <c r="G74" s="68">
        <f>Pricing!H70</f>
        <v>1334</v>
      </c>
      <c r="H74" s="100">
        <f t="shared" si="121"/>
        <v>2.4879099999999998</v>
      </c>
      <c r="I74" s="70">
        <f>Pricing!I70</f>
        <v>1</v>
      </c>
      <c r="J74" s="69">
        <f t="shared" si="125"/>
        <v>2.4879099999999998</v>
      </c>
      <c r="K74" s="71">
        <f t="shared" si="126"/>
        <v>26.779863239999997</v>
      </c>
      <c r="L74" s="69"/>
      <c r="M74" s="72"/>
      <c r="N74" s="72"/>
      <c r="O74" s="72">
        <f t="shared" si="79"/>
        <v>0</v>
      </c>
      <c r="P74" s="73">
        <f>Pricing!M70</f>
        <v>7982.9400000000005</v>
      </c>
      <c r="Q74" s="74">
        <f t="shared" si="107"/>
        <v>798.2940000000001</v>
      </c>
      <c r="R74" s="74">
        <f t="shared" si="108"/>
        <v>965.93574000000001</v>
      </c>
      <c r="S74" s="74">
        <f t="shared" si="109"/>
        <v>48.735848700000005</v>
      </c>
      <c r="T74" s="74">
        <f t="shared" si="110"/>
        <v>97.959055887000019</v>
      </c>
      <c r="U74" s="72">
        <f t="shared" si="111"/>
        <v>9893.8646445870017</v>
      </c>
      <c r="V74" s="74">
        <f t="shared" si="112"/>
        <v>148.40796966880501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6314.3155799999995</v>
      </c>
      <c r="AE74" s="76">
        <f t="shared" si="127"/>
        <v>524.42622950819668</v>
      </c>
      <c r="AF74" s="346">
        <f t="shared" si="128"/>
        <v>537.4319999999999</v>
      </c>
      <c r="AG74" s="347"/>
      <c r="AH74" s="76">
        <f t="shared" si="130"/>
        <v>19.193999999999999</v>
      </c>
      <c r="AI74" s="76">
        <f t="shared" si="122"/>
        <v>63.98</v>
      </c>
      <c r="AJ74" s="76">
        <f>J74*Pricing!Q70</f>
        <v>937.29521339999985</v>
      </c>
      <c r="AK74" s="76">
        <f>J74*Pricing!R70</f>
        <v>0</v>
      </c>
      <c r="AL74" s="76">
        <f t="shared" si="81"/>
        <v>2677.9863239999995</v>
      </c>
      <c r="AM74" s="77">
        <f t="shared" si="82"/>
        <v>0</v>
      </c>
      <c r="AN74" s="76">
        <f t="shared" si="83"/>
        <v>2142.3890591999998</v>
      </c>
      <c r="AO74" s="72">
        <f t="shared" si="84"/>
        <v>11187.304843764006</v>
      </c>
      <c r="AP74" s="74">
        <f t="shared" si="85"/>
        <v>27968.262109410018</v>
      </c>
      <c r="AQ74" s="74">
        <f t="shared" si="118"/>
        <v>0</v>
      </c>
      <c r="AR74" s="74">
        <f t="shared" si="123"/>
        <v>15738.33738084337</v>
      </c>
      <c r="AS74" s="72">
        <f t="shared" si="124"/>
        <v>51227.553129774024</v>
      </c>
      <c r="AT74" s="72">
        <f t="shared" si="88"/>
        <v>20590.59738084337</v>
      </c>
      <c r="AU74" s="78">
        <f t="shared" si="119"/>
        <v>1912.9131717617402</v>
      </c>
      <c r="AV74" s="79">
        <f t="shared" si="129"/>
        <v>1.6913254936473131E-2</v>
      </c>
      <c r="AW74" s="80">
        <f t="shared" si="90"/>
        <v>374.99342413579137</v>
      </c>
      <c r="AX74" s="81">
        <f t="shared" si="91"/>
        <v>1537.9197476259485</v>
      </c>
      <c r="AY74" s="82"/>
      <c r="AZ74" s="83">
        <f t="shared" si="120"/>
        <v>0</v>
      </c>
      <c r="BB74" s="84"/>
    </row>
    <row r="75" spans="2:54" ht="34.5" customHeight="1" thickTop="1" thickBot="1">
      <c r="B75" s="129">
        <f>Pricing!A71</f>
        <v>68</v>
      </c>
      <c r="C75" s="130" t="str">
        <f>Pricing!D71</f>
        <v>3 TRACK 2 SHUTTER SLIDING WINDOW</v>
      </c>
      <c r="D75" s="131" t="str">
        <f>Pricing!B71</f>
        <v>SW31</v>
      </c>
      <c r="E75" s="132" t="str">
        <f>Pricing!N71</f>
        <v>20MM</v>
      </c>
      <c r="F75" s="68">
        <f>Pricing!G71</f>
        <v>914</v>
      </c>
      <c r="G75" s="68">
        <f>Pricing!H71</f>
        <v>1295</v>
      </c>
      <c r="H75" s="100">
        <f t="shared" si="121"/>
        <v>1.18363</v>
      </c>
      <c r="I75" s="70">
        <f>Pricing!I71</f>
        <v>1</v>
      </c>
      <c r="J75" s="69">
        <f t="shared" si="125"/>
        <v>1.18363</v>
      </c>
      <c r="K75" s="71">
        <f t="shared" si="126"/>
        <v>12.740593319999999</v>
      </c>
      <c r="L75" s="69"/>
      <c r="M75" s="72"/>
      <c r="N75" s="72"/>
      <c r="O75" s="72">
        <f t="shared" si="79"/>
        <v>0</v>
      </c>
      <c r="P75" s="73">
        <f>Pricing!M71</f>
        <v>6454.079999999999</v>
      </c>
      <c r="Q75" s="74">
        <f t="shared" si="107"/>
        <v>645.4079999999999</v>
      </c>
      <c r="R75" s="74">
        <f t="shared" si="108"/>
        <v>780.94367999999997</v>
      </c>
      <c r="S75" s="74">
        <f t="shared" si="109"/>
        <v>39.402158399999998</v>
      </c>
      <c r="T75" s="74">
        <f t="shared" si="110"/>
        <v>79.198338383999996</v>
      </c>
      <c r="U75" s="72">
        <f t="shared" si="111"/>
        <v>7999.0321767839996</v>
      </c>
      <c r="V75" s="74">
        <f t="shared" si="112"/>
        <v>119.98548265175999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3004.05294</v>
      </c>
      <c r="AE75" s="76">
        <f t="shared" si="127"/>
        <v>362.13114754098359</v>
      </c>
      <c r="AF75" s="346">
        <f t="shared" si="128"/>
        <v>371.11199999999997</v>
      </c>
      <c r="AG75" s="347"/>
      <c r="AH75" s="76">
        <f t="shared" si="130"/>
        <v>13.254000000000001</v>
      </c>
      <c r="AI75" s="76">
        <f t="shared" si="122"/>
        <v>44.18</v>
      </c>
      <c r="AJ75" s="76">
        <f>J75*Pricing!Q71</f>
        <v>445.92076619999995</v>
      </c>
      <c r="AK75" s="76">
        <f>J75*Pricing!R71</f>
        <v>0</v>
      </c>
      <c r="AL75" s="76">
        <f t="shared" si="81"/>
        <v>1274.0593319999998</v>
      </c>
      <c r="AM75" s="77">
        <f t="shared" si="82"/>
        <v>0</v>
      </c>
      <c r="AN75" s="76">
        <f t="shared" si="83"/>
        <v>1019.2474655999998</v>
      </c>
      <c r="AO75" s="72">
        <f t="shared" si="84"/>
        <v>8909.6948069767441</v>
      </c>
      <c r="AP75" s="74">
        <f t="shared" si="85"/>
        <v>22274.237017441861</v>
      </c>
      <c r="AQ75" s="74">
        <f t="shared" si="118"/>
        <v>0</v>
      </c>
      <c r="AR75" s="74">
        <f t="shared" si="123"/>
        <v>26346.013386293529</v>
      </c>
      <c r="AS75" s="72">
        <f t="shared" si="124"/>
        <v>36927.212328218608</v>
      </c>
      <c r="AT75" s="72">
        <f t="shared" si="88"/>
        <v>31198.273386293527</v>
      </c>
      <c r="AU75" s="78">
        <f t="shared" si="119"/>
        <v>2898.3903183104358</v>
      </c>
      <c r="AV75" s="79">
        <f t="shared" si="129"/>
        <v>8.0465273826053566E-3</v>
      </c>
      <c r="AW75" s="80">
        <f t="shared" si="90"/>
        <v>637.25585265253255</v>
      </c>
      <c r="AX75" s="81">
        <f t="shared" si="91"/>
        <v>2261.1344656579031</v>
      </c>
      <c r="AY75" s="82"/>
      <c r="AZ75" s="83">
        <f t="shared" si="120"/>
        <v>0</v>
      </c>
      <c r="BB75" s="84"/>
    </row>
    <row r="76" spans="2:54" ht="34.5" customHeight="1" thickTop="1" thickBot="1">
      <c r="B76" s="129">
        <f>Pricing!A72</f>
        <v>69</v>
      </c>
      <c r="C76" s="130" t="str">
        <f>Pricing!D72</f>
        <v>Z LOUVERS</v>
      </c>
      <c r="D76" s="131" t="str">
        <f>Pricing!B72</f>
        <v>V12</v>
      </c>
      <c r="E76" s="132" t="str">
        <f>Pricing!N72</f>
        <v>NA</v>
      </c>
      <c r="F76" s="68">
        <f>Pricing!G72</f>
        <v>570</v>
      </c>
      <c r="G76" s="68">
        <f>Pricing!H72</f>
        <v>569</v>
      </c>
      <c r="H76" s="100">
        <f t="shared" si="121"/>
        <v>0.32433000000000001</v>
      </c>
      <c r="I76" s="70">
        <f>Pricing!I72</f>
        <v>1</v>
      </c>
      <c r="J76" s="69">
        <f t="shared" si="125"/>
        <v>0.32433000000000001</v>
      </c>
      <c r="K76" s="71">
        <f t="shared" si="126"/>
        <v>3.4910881199999997</v>
      </c>
      <c r="L76" s="69"/>
      <c r="M76" s="72"/>
      <c r="N76" s="72"/>
      <c r="O76" s="72">
        <f t="shared" si="79"/>
        <v>0</v>
      </c>
      <c r="P76" s="73">
        <f>Pricing!M72</f>
        <v>2313.2099999999996</v>
      </c>
      <c r="Q76" s="74">
        <f t="shared" si="107"/>
        <v>231.32099999999997</v>
      </c>
      <c r="R76" s="74">
        <f t="shared" si="108"/>
        <v>279.89840999999996</v>
      </c>
      <c r="S76" s="74">
        <f t="shared" si="109"/>
        <v>14.122147049999997</v>
      </c>
      <c r="T76" s="74">
        <f t="shared" si="110"/>
        <v>28.385515570499994</v>
      </c>
      <c r="U76" s="72">
        <f t="shared" si="111"/>
        <v>2866.9370726204993</v>
      </c>
      <c r="V76" s="74">
        <f t="shared" si="112"/>
        <v>43.00405608930749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186.72131147540983</v>
      </c>
      <c r="AF76" s="346">
        <f t="shared" si="128"/>
        <v>191.352</v>
      </c>
      <c r="AG76" s="347"/>
      <c r="AH76" s="76">
        <f t="shared" si="130"/>
        <v>6.8339999999999996</v>
      </c>
      <c r="AI76" s="76">
        <f t="shared" si="122"/>
        <v>22.78</v>
      </c>
      <c r="AJ76" s="76">
        <f>J76*Pricing!Q72</f>
        <v>0</v>
      </c>
      <c r="AK76" s="76">
        <f>J76*Pricing!R72</f>
        <v>0</v>
      </c>
      <c r="AL76" s="76">
        <f t="shared" si="81"/>
        <v>349.10881199999994</v>
      </c>
      <c r="AM76" s="77">
        <f t="shared" si="82"/>
        <v>0</v>
      </c>
      <c r="AN76" s="76">
        <f t="shared" si="83"/>
        <v>279.28704959999999</v>
      </c>
      <c r="AO76" s="72">
        <f t="shared" si="84"/>
        <v>3317.6284401852167</v>
      </c>
      <c r="AP76" s="74">
        <f t="shared" si="85"/>
        <v>8294.0711004630411</v>
      </c>
      <c r="AQ76" s="74">
        <f t="shared" si="118"/>
        <v>0</v>
      </c>
      <c r="AR76" s="74">
        <f t="shared" si="123"/>
        <v>35802.113713342143</v>
      </c>
      <c r="AS76" s="72">
        <f t="shared" si="124"/>
        <v>12240.095402248258</v>
      </c>
      <c r="AT76" s="72">
        <f t="shared" si="88"/>
        <v>37739.633713342148</v>
      </c>
      <c r="AU76" s="78">
        <f t="shared" si="119"/>
        <v>3506.0975207489919</v>
      </c>
      <c r="AV76" s="79">
        <f t="shared" si="129"/>
        <v>2.2048530588109419E-3</v>
      </c>
      <c r="AW76" s="80">
        <f t="shared" si="90"/>
        <v>833.53413855099348</v>
      </c>
      <c r="AX76" s="81">
        <f t="shared" si="91"/>
        <v>2672.5633821979982</v>
      </c>
      <c r="AY76" s="82"/>
      <c r="AZ76" s="83">
        <f t="shared" si="120"/>
        <v>0</v>
      </c>
      <c r="BB76" s="84"/>
    </row>
    <row r="77" spans="2:54" ht="34.5" customHeight="1" thickTop="1" thickBot="1">
      <c r="B77" s="129">
        <f>Pricing!A73</f>
        <v>70</v>
      </c>
      <c r="C77" s="130" t="str">
        <f>Pricing!D73</f>
        <v>Z LOUVERS</v>
      </c>
      <c r="D77" s="131" t="str">
        <f>Pricing!B73</f>
        <v>V13</v>
      </c>
      <c r="E77" s="132" t="str">
        <f>Pricing!N73</f>
        <v>NA</v>
      </c>
      <c r="F77" s="68">
        <f>Pricing!G73</f>
        <v>572</v>
      </c>
      <c r="G77" s="68">
        <f>Pricing!H73</f>
        <v>568</v>
      </c>
      <c r="H77" s="100">
        <f t="shared" si="121"/>
        <v>0.32489600000000002</v>
      </c>
      <c r="I77" s="70">
        <f>Pricing!I73</f>
        <v>1</v>
      </c>
      <c r="J77" s="69">
        <f t="shared" si="125"/>
        <v>0.32489600000000002</v>
      </c>
      <c r="K77" s="71">
        <f t="shared" si="126"/>
        <v>3.4971805439999999</v>
      </c>
      <c r="L77" s="69"/>
      <c r="M77" s="72"/>
      <c r="N77" s="72"/>
      <c r="O77" s="72">
        <f t="shared" si="79"/>
        <v>0</v>
      </c>
      <c r="P77" s="73">
        <f>Pricing!M73</f>
        <v>2314.0400000000004</v>
      </c>
      <c r="Q77" s="74">
        <f t="shared" si="107"/>
        <v>231.40400000000005</v>
      </c>
      <c r="R77" s="74">
        <f t="shared" si="108"/>
        <v>279.99884000000003</v>
      </c>
      <c r="S77" s="74">
        <f t="shared" si="109"/>
        <v>14.127214200000003</v>
      </c>
      <c r="T77" s="74">
        <f t="shared" si="110"/>
        <v>28.395700542000004</v>
      </c>
      <c r="U77" s="72">
        <f t="shared" si="111"/>
        <v>2867.9657547420006</v>
      </c>
      <c r="V77" s="74">
        <f t="shared" si="112"/>
        <v>43.01948632113001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186.88524590163937</v>
      </c>
      <c r="AF77" s="346">
        <f t="shared" si="128"/>
        <v>191.52</v>
      </c>
      <c r="AG77" s="347"/>
      <c r="AH77" s="76">
        <f t="shared" si="130"/>
        <v>6.84</v>
      </c>
      <c r="AI77" s="76">
        <f t="shared" si="122"/>
        <v>22.799999999999997</v>
      </c>
      <c r="AJ77" s="76">
        <f>J77*Pricing!Q73</f>
        <v>0</v>
      </c>
      <c r="AK77" s="76">
        <f>J77*Pricing!R73</f>
        <v>0</v>
      </c>
      <c r="AL77" s="76">
        <f t="shared" si="81"/>
        <v>349.71805439999997</v>
      </c>
      <c r="AM77" s="77">
        <f t="shared" si="82"/>
        <v>0</v>
      </c>
      <c r="AN77" s="76">
        <f t="shared" si="83"/>
        <v>279.77444351999998</v>
      </c>
      <c r="AO77" s="72">
        <f t="shared" si="84"/>
        <v>3319.0304869647698</v>
      </c>
      <c r="AP77" s="74">
        <f t="shared" si="85"/>
        <v>8297.5762174119245</v>
      </c>
      <c r="AQ77" s="74">
        <f t="shared" si="118"/>
        <v>0</v>
      </c>
      <c r="AR77" s="74">
        <f t="shared" si="123"/>
        <v>35754.846795210447</v>
      </c>
      <c r="AS77" s="72">
        <f t="shared" si="124"/>
        <v>12246.099202296695</v>
      </c>
      <c r="AT77" s="72">
        <f t="shared" si="88"/>
        <v>37692.366795210452</v>
      </c>
      <c r="AU77" s="78">
        <f t="shared" si="119"/>
        <v>3501.7063169091839</v>
      </c>
      <c r="AV77" s="79">
        <f t="shared" si="129"/>
        <v>2.208700827538124E-3</v>
      </c>
      <c r="AW77" s="80">
        <f t="shared" si="90"/>
        <v>832.38060044037888</v>
      </c>
      <c r="AX77" s="81">
        <f t="shared" si="91"/>
        <v>2669.3257164688048</v>
      </c>
      <c r="AY77" s="82"/>
      <c r="AZ77" s="83">
        <f t="shared" si="120"/>
        <v>0</v>
      </c>
      <c r="BB77" s="84"/>
    </row>
    <row r="78" spans="2:54" ht="34.5" customHeight="1" thickTop="1" thickBot="1">
      <c r="B78" s="129">
        <f>Pricing!A74</f>
        <v>71</v>
      </c>
      <c r="C78" s="130" t="str">
        <f>Pricing!D74</f>
        <v>FIXED GLASS</v>
      </c>
      <c r="D78" s="131" t="str">
        <f>Pricing!B74</f>
        <v>FG24</v>
      </c>
      <c r="E78" s="132" t="str">
        <f>Pricing!N74</f>
        <v>20MM</v>
      </c>
      <c r="F78" s="68">
        <f>Pricing!G74</f>
        <v>865</v>
      </c>
      <c r="G78" s="68">
        <f>Pricing!H74</f>
        <v>1267</v>
      </c>
      <c r="H78" s="100">
        <f t="shared" si="121"/>
        <v>1.095955</v>
      </c>
      <c r="I78" s="70">
        <f>Pricing!I74</f>
        <v>1</v>
      </c>
      <c r="J78" s="69">
        <f t="shared" si="125"/>
        <v>1.095955</v>
      </c>
      <c r="K78" s="71">
        <f t="shared" si="126"/>
        <v>11.796859619999999</v>
      </c>
      <c r="L78" s="69"/>
      <c r="M78" s="72"/>
      <c r="N78" s="72"/>
      <c r="O78" s="72">
        <f t="shared" si="79"/>
        <v>0</v>
      </c>
      <c r="P78" s="73">
        <f>Pricing!M74</f>
        <v>1933.07</v>
      </c>
      <c r="Q78" s="74">
        <f t="shared" si="107"/>
        <v>193.30700000000002</v>
      </c>
      <c r="R78" s="74">
        <f t="shared" si="108"/>
        <v>233.90146999999999</v>
      </c>
      <c r="S78" s="74">
        <f t="shared" si="109"/>
        <v>11.801392349999999</v>
      </c>
      <c r="T78" s="74">
        <f t="shared" si="110"/>
        <v>23.720798623499995</v>
      </c>
      <c r="U78" s="72">
        <f t="shared" si="111"/>
        <v>2395.8006609734994</v>
      </c>
      <c r="V78" s="74">
        <f t="shared" si="112"/>
        <v>35.937009914602491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2781.53379</v>
      </c>
      <c r="AE78" s="76">
        <f t="shared" si="127"/>
        <v>349.50819672131149</v>
      </c>
      <c r="AF78" s="346">
        <f t="shared" si="128"/>
        <v>358.17600000000004</v>
      </c>
      <c r="AG78" s="347"/>
      <c r="AH78" s="76">
        <f t="shared" si="130"/>
        <v>12.792000000000002</v>
      </c>
      <c r="AI78" s="76">
        <f t="shared" si="122"/>
        <v>42.64</v>
      </c>
      <c r="AJ78" s="76">
        <f>J78*Pricing!Q74</f>
        <v>0</v>
      </c>
      <c r="AK78" s="76">
        <f>J78*Pricing!R74</f>
        <v>0</v>
      </c>
      <c r="AL78" s="76">
        <f t="shared" si="81"/>
        <v>1179.6859619999998</v>
      </c>
      <c r="AM78" s="77">
        <f t="shared" si="82"/>
        <v>0</v>
      </c>
      <c r="AN78" s="76">
        <f t="shared" si="83"/>
        <v>943.74876959999995</v>
      </c>
      <c r="AO78" s="72">
        <f t="shared" si="84"/>
        <v>3194.8538676094136</v>
      </c>
      <c r="AP78" s="74">
        <f t="shared" si="85"/>
        <v>7987.1346690235341</v>
      </c>
      <c r="AQ78" s="74">
        <f t="shared" si="118"/>
        <v>0</v>
      </c>
      <c r="AR78" s="74">
        <f t="shared" si="123"/>
        <v>10202.963202533814</v>
      </c>
      <c r="AS78" s="72">
        <f t="shared" si="124"/>
        <v>16086.957058232947</v>
      </c>
      <c r="AT78" s="72">
        <f t="shared" si="88"/>
        <v>14678.483202533815</v>
      </c>
      <c r="AU78" s="78">
        <f t="shared" si="119"/>
        <v>1363.6643629258469</v>
      </c>
      <c r="AV78" s="79">
        <f t="shared" si="129"/>
        <v>7.4504971296800969E-3</v>
      </c>
      <c r="AW78" s="80">
        <f t="shared" si="90"/>
        <v>206.13432296553023</v>
      </c>
      <c r="AX78" s="81">
        <f t="shared" si="91"/>
        <v>1157.5300399603166</v>
      </c>
      <c r="AY78" s="82"/>
      <c r="AZ78" s="83">
        <f t="shared" si="120"/>
        <v>0</v>
      </c>
      <c r="BB78" s="84"/>
    </row>
    <row r="79" spans="2:54" ht="34.5" customHeight="1" thickTop="1" thickBot="1">
      <c r="B79" s="129">
        <f>Pricing!A75</f>
        <v>72</v>
      </c>
      <c r="C79" s="130" t="str">
        <f>Pricing!D75</f>
        <v>3 TRACK 2 SHUTTER SLIDING WINDOW</v>
      </c>
      <c r="D79" s="131" t="str">
        <f>Pricing!B75</f>
        <v>SW32</v>
      </c>
      <c r="E79" s="132" t="str">
        <f>Pricing!N75</f>
        <v>20MM</v>
      </c>
      <c r="F79" s="68">
        <f>Pricing!G75</f>
        <v>1844</v>
      </c>
      <c r="G79" s="68">
        <f>Pricing!H75</f>
        <v>1201</v>
      </c>
      <c r="H79" s="100">
        <f t="shared" si="121"/>
        <v>2.2146439999999998</v>
      </c>
      <c r="I79" s="70">
        <f>Pricing!I75</f>
        <v>1</v>
      </c>
      <c r="J79" s="69">
        <f t="shared" si="125"/>
        <v>2.2146439999999998</v>
      </c>
      <c r="K79" s="71">
        <f t="shared" si="126"/>
        <v>23.838428015999998</v>
      </c>
      <c r="L79" s="69"/>
      <c r="M79" s="72"/>
      <c r="N79" s="72"/>
      <c r="O79" s="72">
        <f t="shared" si="79"/>
        <v>0</v>
      </c>
      <c r="P79" s="73">
        <f>Pricing!M75</f>
        <v>7612.76</v>
      </c>
      <c r="Q79" s="74">
        <f t="shared" si="107"/>
        <v>761.27600000000007</v>
      </c>
      <c r="R79" s="74">
        <f t="shared" si="108"/>
        <v>921.14395999999999</v>
      </c>
      <c r="S79" s="74">
        <f t="shared" si="109"/>
        <v>46.475899800000001</v>
      </c>
      <c r="T79" s="74">
        <f t="shared" si="110"/>
        <v>93.416558597999995</v>
      </c>
      <c r="U79" s="72">
        <f t="shared" si="111"/>
        <v>9435.0724183980001</v>
      </c>
      <c r="V79" s="74">
        <f t="shared" si="112"/>
        <v>141.52608627596999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5620.7664719999993</v>
      </c>
      <c r="AE79" s="76">
        <f t="shared" si="127"/>
        <v>499.18032786885249</v>
      </c>
      <c r="AF79" s="346">
        <f t="shared" si="128"/>
        <v>511.56</v>
      </c>
      <c r="AG79" s="347"/>
      <c r="AH79" s="76">
        <f t="shared" si="130"/>
        <v>18.27</v>
      </c>
      <c r="AI79" s="76">
        <f t="shared" si="122"/>
        <v>60.9</v>
      </c>
      <c r="AJ79" s="76">
        <f>J79*Pricing!Q75</f>
        <v>834.34498055999984</v>
      </c>
      <c r="AK79" s="76">
        <f>J79*Pricing!R75</f>
        <v>0</v>
      </c>
      <c r="AL79" s="76">
        <f t="shared" si="81"/>
        <v>2383.8428015999993</v>
      </c>
      <c r="AM79" s="77">
        <f t="shared" si="82"/>
        <v>0</v>
      </c>
      <c r="AN79" s="76">
        <f t="shared" si="83"/>
        <v>1907.0742412799996</v>
      </c>
      <c r="AO79" s="72">
        <f t="shared" si="84"/>
        <v>10666.508832542822</v>
      </c>
      <c r="AP79" s="74">
        <f t="shared" si="85"/>
        <v>26666.272081357056</v>
      </c>
      <c r="AQ79" s="74">
        <f t="shared" si="118"/>
        <v>0</v>
      </c>
      <c r="AR79" s="74">
        <f t="shared" si="123"/>
        <v>16857.237964160326</v>
      </c>
      <c r="AS79" s="72">
        <f t="shared" si="124"/>
        <v>48078.809409339883</v>
      </c>
      <c r="AT79" s="72">
        <f t="shared" si="88"/>
        <v>21709.497964160328</v>
      </c>
      <c r="AU79" s="78">
        <f t="shared" si="119"/>
        <v>2016.8615722928585</v>
      </c>
      <c r="AV79" s="79">
        <f t="shared" si="129"/>
        <v>1.5055544037176023E-2</v>
      </c>
      <c r="AW79" s="80">
        <f t="shared" si="90"/>
        <v>401.72944701917004</v>
      </c>
      <c r="AX79" s="81">
        <f t="shared" si="91"/>
        <v>1615.132125273688</v>
      </c>
      <c r="AY79" s="82"/>
      <c r="AZ79" s="83">
        <f t="shared" si="120"/>
        <v>0</v>
      </c>
      <c r="BB79" s="84"/>
    </row>
    <row r="80" spans="2:54" ht="34.5" customHeight="1" thickTop="1" thickBot="1">
      <c r="B80" s="129">
        <f>Pricing!A76</f>
        <v>73</v>
      </c>
      <c r="C80" s="130" t="str">
        <f>Pricing!D76</f>
        <v>FIXED GLASS</v>
      </c>
      <c r="D80" s="131" t="str">
        <f>Pricing!B76</f>
        <v>FG25</v>
      </c>
      <c r="E80" s="132" t="str">
        <f>Pricing!N76</f>
        <v>20MM</v>
      </c>
      <c r="F80" s="68">
        <f>Pricing!G76</f>
        <v>866</v>
      </c>
      <c r="G80" s="68">
        <f>Pricing!H76</f>
        <v>816</v>
      </c>
      <c r="H80" s="100">
        <f t="shared" si="121"/>
        <v>0.70665599999999995</v>
      </c>
      <c r="I80" s="70">
        <f>Pricing!I76</f>
        <v>1</v>
      </c>
      <c r="J80" s="69">
        <f t="shared" si="125"/>
        <v>0.70665599999999995</v>
      </c>
      <c r="K80" s="71">
        <f t="shared" si="126"/>
        <v>7.6064451839999991</v>
      </c>
      <c r="L80" s="69"/>
      <c r="M80" s="72"/>
      <c r="N80" s="72"/>
      <c r="O80" s="72">
        <f t="shared" si="79"/>
        <v>0</v>
      </c>
      <c r="P80" s="73">
        <f>Pricing!M76</f>
        <v>1541.31</v>
      </c>
      <c r="Q80" s="74">
        <f t="shared" si="107"/>
        <v>154.131</v>
      </c>
      <c r="R80" s="74">
        <f t="shared" si="108"/>
        <v>186.49851000000001</v>
      </c>
      <c r="S80" s="74">
        <f t="shared" si="109"/>
        <v>9.4096975500000006</v>
      </c>
      <c r="T80" s="74">
        <f t="shared" si="110"/>
        <v>18.913492075500002</v>
      </c>
      <c r="U80" s="72">
        <f t="shared" si="111"/>
        <v>1910.2626996255001</v>
      </c>
      <c r="V80" s="74">
        <f t="shared" si="112"/>
        <v>28.6539404943825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1793.4929279999999</v>
      </c>
      <c r="AE80" s="76">
        <f t="shared" si="127"/>
        <v>275.73770491803276</v>
      </c>
      <c r="AF80" s="346">
        <f t="shared" si="128"/>
        <v>282.57599999999996</v>
      </c>
      <c r="AG80" s="347"/>
      <c r="AH80" s="76">
        <f t="shared" si="130"/>
        <v>10.091999999999999</v>
      </c>
      <c r="AI80" s="76">
        <f t="shared" si="122"/>
        <v>33.64</v>
      </c>
      <c r="AJ80" s="76">
        <f>J80*Pricing!Q76</f>
        <v>0</v>
      </c>
      <c r="AK80" s="76">
        <f>J80*Pricing!R76</f>
        <v>0</v>
      </c>
      <c r="AL80" s="76">
        <f t="shared" si="81"/>
        <v>760.64451839999981</v>
      </c>
      <c r="AM80" s="77">
        <f t="shared" si="82"/>
        <v>0</v>
      </c>
      <c r="AN80" s="76">
        <f t="shared" si="83"/>
        <v>608.51561471999992</v>
      </c>
      <c r="AO80" s="72">
        <f t="shared" si="84"/>
        <v>2540.9623450379158</v>
      </c>
      <c r="AP80" s="74">
        <f t="shared" si="85"/>
        <v>6352.4058625947891</v>
      </c>
      <c r="AQ80" s="74">
        <f t="shared" si="118"/>
        <v>0</v>
      </c>
      <c r="AR80" s="74">
        <f t="shared" si="123"/>
        <v>12585.144975253457</v>
      </c>
      <c r="AS80" s="72">
        <f t="shared" si="124"/>
        <v>12056.021268752706</v>
      </c>
      <c r="AT80" s="72">
        <f t="shared" si="88"/>
        <v>17060.664975253458</v>
      </c>
      <c r="AU80" s="78">
        <f t="shared" si="119"/>
        <v>1584.974449577616</v>
      </c>
      <c r="AV80" s="79">
        <f t="shared" si="129"/>
        <v>4.8039732467767549E-3</v>
      </c>
      <c r="AW80" s="80">
        <f t="shared" si="90"/>
        <v>254.90443869869119</v>
      </c>
      <c r="AX80" s="81">
        <f t="shared" si="91"/>
        <v>1330.0700108789244</v>
      </c>
      <c r="AY80" s="82"/>
      <c r="AZ80" s="83">
        <f t="shared" si="120"/>
        <v>0</v>
      </c>
      <c r="BB80" s="84"/>
    </row>
    <row r="81" spans="2:54" ht="34.5" customHeight="1" thickTop="1" thickBot="1">
      <c r="B81" s="129">
        <f>Pricing!A77</f>
        <v>74</v>
      </c>
      <c r="C81" s="130" t="str">
        <f>Pricing!D77</f>
        <v>3 TRACK 2 SHUTTER SLIDING WINDOW</v>
      </c>
      <c r="D81" s="131" t="str">
        <f>Pricing!B77</f>
        <v>SW33</v>
      </c>
      <c r="E81" s="132" t="str">
        <f>Pricing!N77</f>
        <v>20MM</v>
      </c>
      <c r="F81" s="68">
        <f>Pricing!G77</f>
        <v>1809</v>
      </c>
      <c r="G81" s="68">
        <f>Pricing!H77</f>
        <v>819</v>
      </c>
      <c r="H81" s="100">
        <f t="shared" si="121"/>
        <v>1.481571</v>
      </c>
      <c r="I81" s="70">
        <f>Pricing!I77</f>
        <v>1</v>
      </c>
      <c r="J81" s="69">
        <f t="shared" si="125"/>
        <v>1.481571</v>
      </c>
      <c r="K81" s="71">
        <f t="shared" si="126"/>
        <v>15.947630243999999</v>
      </c>
      <c r="L81" s="69"/>
      <c r="M81" s="72"/>
      <c r="N81" s="72"/>
      <c r="O81" s="72">
        <f t="shared" si="79"/>
        <v>0</v>
      </c>
      <c r="P81" s="73">
        <f>Pricing!M77</f>
        <v>6586.88</v>
      </c>
      <c r="Q81" s="74">
        <f t="shared" si="107"/>
        <v>658.6880000000001</v>
      </c>
      <c r="R81" s="74">
        <f t="shared" si="108"/>
        <v>797.01247999999998</v>
      </c>
      <c r="S81" s="74">
        <f t="shared" si="109"/>
        <v>40.212902400000004</v>
      </c>
      <c r="T81" s="74">
        <f t="shared" si="110"/>
        <v>80.827933823999999</v>
      </c>
      <c r="U81" s="72">
        <f t="shared" si="111"/>
        <v>8163.6213162240001</v>
      </c>
      <c r="V81" s="74">
        <f t="shared" si="112"/>
        <v>122.45431974336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3760.227198</v>
      </c>
      <c r="AE81" s="76">
        <f t="shared" si="127"/>
        <v>430.81967213114751</v>
      </c>
      <c r="AF81" s="346">
        <f t="shared" si="128"/>
        <v>441.50400000000002</v>
      </c>
      <c r="AG81" s="347"/>
      <c r="AH81" s="76">
        <f t="shared" si="130"/>
        <v>15.768000000000001</v>
      </c>
      <c r="AI81" s="76">
        <f t="shared" si="122"/>
        <v>52.56</v>
      </c>
      <c r="AJ81" s="76">
        <f>J81*Pricing!Q77</f>
        <v>558.16705853999997</v>
      </c>
      <c r="AK81" s="76">
        <f>J81*Pricing!R77</f>
        <v>0</v>
      </c>
      <c r="AL81" s="76">
        <f t="shared" si="81"/>
        <v>1594.7630243999997</v>
      </c>
      <c r="AM81" s="77">
        <f t="shared" si="82"/>
        <v>0</v>
      </c>
      <c r="AN81" s="76">
        <f t="shared" si="83"/>
        <v>1275.8104195199999</v>
      </c>
      <c r="AO81" s="72">
        <f t="shared" si="84"/>
        <v>9226.7273080985069</v>
      </c>
      <c r="AP81" s="74">
        <f t="shared" si="85"/>
        <v>23066.818270246265</v>
      </c>
      <c r="AQ81" s="74">
        <f t="shared" si="118"/>
        <v>0</v>
      </c>
      <c r="AR81" s="74">
        <f t="shared" si="123"/>
        <v>21796.826192160061</v>
      </c>
      <c r="AS81" s="72">
        <f t="shared" si="124"/>
        <v>39482.51327880477</v>
      </c>
      <c r="AT81" s="72">
        <f t="shared" si="88"/>
        <v>26649.086192160059</v>
      </c>
      <c r="AU81" s="78">
        <f t="shared" si="119"/>
        <v>2475.7605158082551</v>
      </c>
      <c r="AV81" s="79">
        <f t="shared" si="129"/>
        <v>1.0071983323144901E-2</v>
      </c>
      <c r="AW81" s="80">
        <f t="shared" si="90"/>
        <v>519.58037082561793</v>
      </c>
      <c r="AX81" s="81">
        <f t="shared" si="91"/>
        <v>1956.1801449826376</v>
      </c>
      <c r="AY81" s="82"/>
      <c r="AZ81" s="83">
        <f t="shared" si="120"/>
        <v>0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147.09823800000001</v>
      </c>
      <c r="I109" s="87">
        <f>SUM(I8:I108)</f>
        <v>74</v>
      </c>
      <c r="J109" s="88">
        <f>SUM(J8:J108)</f>
        <v>147.09823800000001</v>
      </c>
      <c r="K109" s="89">
        <f>SUM(K8:K108)</f>
        <v>1583.3654338320002</v>
      </c>
      <c r="L109" s="88">
        <f>SUM(L8:L8)</f>
        <v>0</v>
      </c>
      <c r="M109" s="88"/>
      <c r="N109" s="88"/>
      <c r="O109" s="88"/>
      <c r="P109" s="87">
        <f>SUM(P8:P108)</f>
        <v>383014.2900000001</v>
      </c>
      <c r="Q109" s="88">
        <f t="shared" ref="Q109:AE109" si="156">SUM(Q8:Q108)</f>
        <v>38301.429000000018</v>
      </c>
      <c r="R109" s="88">
        <f t="shared" si="156"/>
        <v>46344.729090000001</v>
      </c>
      <c r="S109" s="88">
        <f t="shared" si="156"/>
        <v>2338.3022404500007</v>
      </c>
      <c r="T109" s="88">
        <f t="shared" si="156"/>
        <v>4699.9875033044991</v>
      </c>
      <c r="U109" s="88">
        <f t="shared" si="156"/>
        <v>474698.73783375433</v>
      </c>
      <c r="V109" s="88">
        <f t="shared" si="156"/>
        <v>7120.4810675063163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361500.35486400005</v>
      </c>
      <c r="AE109" s="88">
        <f t="shared" si="156"/>
        <v>33349.344262295082</v>
      </c>
      <c r="AF109" s="407">
        <f>SUM(AF8:AG108)</f>
        <v>34176.407999999996</v>
      </c>
      <c r="AG109" s="408"/>
      <c r="AH109" s="88">
        <f t="shared" ref="AH109:AQ109" si="157">SUM(AH8:AH108)</f>
        <v>1220.5859999999996</v>
      </c>
      <c r="AI109" s="88">
        <f t="shared" si="157"/>
        <v>4068.62</v>
      </c>
      <c r="AJ109" s="88">
        <f t="shared" ref="AJ109" si="158">SUM(AJ8:AJ108)</f>
        <v>35806.392072360002</v>
      </c>
      <c r="AK109" s="88">
        <f t="shared" si="157"/>
        <v>0</v>
      </c>
      <c r="AL109" s="88">
        <f t="shared" si="157"/>
        <v>158336.54338319995</v>
      </c>
      <c r="AM109" s="88">
        <f t="shared" si="157"/>
        <v>0</v>
      </c>
      <c r="AN109" s="88">
        <f t="shared" si="157"/>
        <v>126669.23470655999</v>
      </c>
      <c r="AO109" s="88">
        <f t="shared" si="157"/>
        <v>554634.17716355587</v>
      </c>
      <c r="AP109" s="88">
        <f t="shared" si="157"/>
        <v>1386585.4429088894</v>
      </c>
      <c r="AQ109" s="88">
        <f t="shared" si="157"/>
        <v>0</v>
      </c>
      <c r="AR109" s="88"/>
      <c r="AS109" s="87">
        <f>SUM(AS8:AS108)</f>
        <v>2623532.1450985661</v>
      </c>
      <c r="AT109" s="90"/>
      <c r="AU109" s="91"/>
      <c r="AV109" s="92">
        <f>SUM(AV8:AV108)</f>
        <v>0.99999999999999967</v>
      </c>
    </row>
    <row r="110" spans="2:54" ht="13.5" thickTop="1">
      <c r="AF110" s="49">
        <f>AF109</f>
        <v>34176.407999999996</v>
      </c>
      <c r="AW110" s="84"/>
    </row>
    <row r="111" spans="2:54">
      <c r="AF111" s="174"/>
      <c r="AG111" s="174"/>
      <c r="AH111" s="174">
        <f>SUM(AE109:AI109,AC109)</f>
        <v>72814.958262295069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ABPL-DE-19.20-2169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Mr. Ravi Varma</v>
      </c>
      <c r="G7" s="458"/>
      <c r="H7" s="458"/>
      <c r="I7" s="458"/>
      <c r="J7" s="459"/>
      <c r="K7" s="435" t="s">
        <v>104</v>
      </c>
      <c r="L7" s="427"/>
      <c r="M7" s="432">
        <f>'BD Team'!J3</f>
        <v>43701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43701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 xml:space="preserve">Mr. Jagadish : 8008103070 </v>
      </c>
      <c r="G9" s="458"/>
      <c r="H9" s="458"/>
      <c r="I9" s="458"/>
      <c r="J9" s="459"/>
      <c r="K9" s="435" t="s">
        <v>178</v>
      </c>
      <c r="L9" s="427"/>
      <c r="M9" s="447" t="str">
        <f>'BD Team'!J4</f>
        <v>Pradeep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White Powder Coating</v>
      </c>
      <c r="G10" s="440" t="s">
        <v>177</v>
      </c>
      <c r="H10" s="441"/>
      <c r="I10" s="438" t="str">
        <f>'BD Team'!G5</f>
        <v>White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FG</v>
      </c>
      <c r="E16" s="187" t="str">
        <f>Pricing!C4</f>
        <v>M940</v>
      </c>
      <c r="F16" s="187" t="str">
        <f>Pricing!D4</f>
        <v>FIXED GLASS</v>
      </c>
      <c r="G16" s="187" t="str">
        <f>Pricing!N4</f>
        <v>20MM</v>
      </c>
      <c r="H16" s="187" t="str">
        <f>Pricing!F4</f>
        <v>GF - SERVANT ROOM</v>
      </c>
      <c r="I16" s="216" t="str">
        <f>Pricing!E4</f>
        <v>NO</v>
      </c>
      <c r="J16" s="216">
        <f>Pricing!G4</f>
        <v>861</v>
      </c>
      <c r="K16" s="216">
        <f>Pricing!H4</f>
        <v>1270</v>
      </c>
      <c r="L16" s="216">
        <f>Pricing!I4</f>
        <v>1</v>
      </c>
      <c r="M16" s="188">
        <f t="shared" ref="M16:M24" si="0">J16*K16*L16/1000000</f>
        <v>1.0934699999999999</v>
      </c>
      <c r="N16" s="189">
        <f>'Cost Calculation'!AS8</f>
        <v>16070.928227304514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SW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20MM</v>
      </c>
      <c r="H17" s="187" t="str">
        <f>Pricing!F5</f>
        <v>GF - STAIRCASE STILT MID LANDING</v>
      </c>
      <c r="I17" s="216" t="str">
        <f>Pricing!E5</f>
        <v>SS</v>
      </c>
      <c r="J17" s="216">
        <f>Pricing!G5</f>
        <v>1803</v>
      </c>
      <c r="K17" s="216">
        <f>Pricing!H5</f>
        <v>1292</v>
      </c>
      <c r="L17" s="216">
        <f>Pricing!I5</f>
        <v>1</v>
      </c>
      <c r="M17" s="188">
        <f t="shared" si="0"/>
        <v>2.3294760000000001</v>
      </c>
      <c r="N17" s="189">
        <f>'Cost Calculation'!AS9</f>
        <v>49447.79326775892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SW1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FF - RECEPTION</v>
      </c>
      <c r="I18" s="216" t="str">
        <f>Pricing!E6</f>
        <v>SS</v>
      </c>
      <c r="J18" s="216">
        <f>Pricing!G6</f>
        <v>3743</v>
      </c>
      <c r="K18" s="216">
        <f>Pricing!H6</f>
        <v>1295</v>
      </c>
      <c r="L18" s="216">
        <f>Pricing!I6</f>
        <v>1</v>
      </c>
      <c r="M18" s="188">
        <f t="shared" si="0"/>
        <v>4.8471849999999996</v>
      </c>
      <c r="N18" s="189">
        <f>'Cost Calculation'!AS10</f>
        <v>85103.957329814773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SW2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20MM</v>
      </c>
      <c r="H19" s="187" t="str">
        <f>Pricing!F7</f>
        <v>FF - CONFERENCE</v>
      </c>
      <c r="I19" s="216" t="str">
        <f>Pricing!E7</f>
        <v>SS</v>
      </c>
      <c r="J19" s="216">
        <f>Pricing!G7</f>
        <v>2443</v>
      </c>
      <c r="K19" s="216">
        <f>Pricing!H7</f>
        <v>1295</v>
      </c>
      <c r="L19" s="216">
        <f>Pricing!I7</f>
        <v>1</v>
      </c>
      <c r="M19" s="188">
        <f t="shared" si="0"/>
        <v>3.1636850000000001</v>
      </c>
      <c r="N19" s="189">
        <f>'Cost Calculation'!AS11</f>
        <v>58569.454956710826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FG1</v>
      </c>
      <c r="E20" s="187" t="str">
        <f>Pricing!C8</f>
        <v>M940</v>
      </c>
      <c r="F20" s="187" t="str">
        <f>Pricing!D8</f>
        <v>FIXED GLASS</v>
      </c>
      <c r="G20" s="187" t="str">
        <f>Pricing!N8</f>
        <v>20MM</v>
      </c>
      <c r="H20" s="187" t="str">
        <f>Pricing!F8</f>
        <v>FF - CONFERENCE</v>
      </c>
      <c r="I20" s="216" t="str">
        <f>Pricing!E8</f>
        <v>NO</v>
      </c>
      <c r="J20" s="216">
        <f>Pricing!G8</f>
        <v>1527</v>
      </c>
      <c r="K20" s="216">
        <f>Pricing!H8</f>
        <v>1291</v>
      </c>
      <c r="L20" s="216">
        <f>Pricing!I8</f>
        <v>1</v>
      </c>
      <c r="M20" s="188">
        <f t="shared" si="0"/>
        <v>1.971357</v>
      </c>
      <c r="N20" s="189">
        <f>'Cost Calculation'!AS12</f>
        <v>23513.671871205839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FG2</v>
      </c>
      <c r="E21" s="187" t="str">
        <f>Pricing!C9</f>
        <v>M940</v>
      </c>
      <c r="F21" s="187" t="str">
        <f>Pricing!D9</f>
        <v>FIXED GLASS</v>
      </c>
      <c r="G21" s="187" t="str">
        <f>Pricing!N9</f>
        <v>20MM</v>
      </c>
      <c r="H21" s="187" t="str">
        <f>Pricing!F9</f>
        <v>FF - HALL</v>
      </c>
      <c r="I21" s="216" t="str">
        <f>Pricing!E9</f>
        <v>NO</v>
      </c>
      <c r="J21" s="216">
        <f>Pricing!G9</f>
        <v>1561</v>
      </c>
      <c r="K21" s="216">
        <f>Pricing!H9</f>
        <v>1328</v>
      </c>
      <c r="L21" s="216">
        <f>Pricing!I9</f>
        <v>1</v>
      </c>
      <c r="M21" s="188">
        <f t="shared" si="0"/>
        <v>2.0730080000000002</v>
      </c>
      <c r="N21" s="189">
        <f>'Cost Calculation'!AS13</f>
        <v>24327.984759154402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FG3</v>
      </c>
      <c r="E22" s="187" t="str">
        <f>Pricing!C10</f>
        <v>M940</v>
      </c>
      <c r="F22" s="187" t="str">
        <f>Pricing!D10</f>
        <v>FIXED GLASS</v>
      </c>
      <c r="G22" s="187" t="str">
        <f>Pricing!N10</f>
        <v>20MM</v>
      </c>
      <c r="H22" s="187" t="str">
        <f>Pricing!F10</f>
        <v>FF - HALL</v>
      </c>
      <c r="I22" s="216" t="str">
        <f>Pricing!E10</f>
        <v>NO</v>
      </c>
      <c r="J22" s="216">
        <f>Pricing!G10</f>
        <v>1565</v>
      </c>
      <c r="K22" s="216">
        <f>Pricing!H10</f>
        <v>1340</v>
      </c>
      <c r="L22" s="216">
        <f>Pricing!I10</f>
        <v>1</v>
      </c>
      <c r="M22" s="188">
        <f t="shared" si="0"/>
        <v>2.0971000000000002</v>
      </c>
      <c r="N22" s="189">
        <f>'Cost Calculation'!AS14</f>
        <v>24517.977999885945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FG4</v>
      </c>
      <c r="E23" s="187" t="str">
        <f>Pricing!C11</f>
        <v>M940</v>
      </c>
      <c r="F23" s="187" t="str">
        <f>Pricing!D11</f>
        <v>FIXED GLASS</v>
      </c>
      <c r="G23" s="187" t="str">
        <f>Pricing!N11</f>
        <v>20MM</v>
      </c>
      <c r="H23" s="187" t="str">
        <f>Pricing!F11</f>
        <v>FF - DINING</v>
      </c>
      <c r="I23" s="216" t="str">
        <f>Pricing!E11</f>
        <v>NO</v>
      </c>
      <c r="J23" s="216">
        <f>Pricing!G11</f>
        <v>1560</v>
      </c>
      <c r="K23" s="216">
        <f>Pricing!H11</f>
        <v>1334</v>
      </c>
      <c r="L23" s="216">
        <f>Pricing!I11</f>
        <v>1</v>
      </c>
      <c r="M23" s="188">
        <f t="shared" si="0"/>
        <v>2.0810399999999998</v>
      </c>
      <c r="N23" s="189">
        <f>'Cost Calculation'!AS15</f>
        <v>24392.12234767319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FG5</v>
      </c>
      <c r="E24" s="187" t="str">
        <f>Pricing!C12</f>
        <v>M940</v>
      </c>
      <c r="F24" s="187" t="str">
        <f>Pricing!D12</f>
        <v>FIXED GLASS</v>
      </c>
      <c r="G24" s="187" t="str">
        <f>Pricing!N12</f>
        <v>20MM</v>
      </c>
      <c r="H24" s="187" t="str">
        <f>Pricing!F12</f>
        <v>FF - KITCHEN</v>
      </c>
      <c r="I24" s="216" t="str">
        <f>Pricing!E12</f>
        <v>NO</v>
      </c>
      <c r="J24" s="216">
        <f>Pricing!G12</f>
        <v>1556</v>
      </c>
      <c r="K24" s="216">
        <f>Pricing!H12</f>
        <v>1327</v>
      </c>
      <c r="L24" s="216">
        <f>Pricing!I12</f>
        <v>1</v>
      </c>
      <c r="M24" s="188">
        <f t="shared" si="0"/>
        <v>2.0648119999999999</v>
      </c>
      <c r="N24" s="189">
        <f>'Cost Calculation'!AS16</f>
        <v>24261.860414863808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SW3</v>
      </c>
      <c r="E25" s="187" t="str">
        <f>Pricing!C13</f>
        <v>M900</v>
      </c>
      <c r="F25" s="187" t="str">
        <f>Pricing!D13</f>
        <v>3 TRACK 2 SHUTTER SLIDING WINDOW</v>
      </c>
      <c r="G25" s="187" t="str">
        <f>Pricing!N13</f>
        <v>20MM</v>
      </c>
      <c r="H25" s="187" t="str">
        <f>Pricing!F13</f>
        <v>FF - KITCHEN</v>
      </c>
      <c r="I25" s="216" t="str">
        <f>Pricing!E13</f>
        <v>SS</v>
      </c>
      <c r="J25" s="216">
        <f>Pricing!G13</f>
        <v>1377</v>
      </c>
      <c r="K25" s="216">
        <f>Pricing!H13</f>
        <v>904</v>
      </c>
      <c r="L25" s="216">
        <f>Pricing!I13</f>
        <v>1</v>
      </c>
      <c r="M25" s="188">
        <f t="shared" ref="M25:M42" si="1">J25*K25*L25/1000000</f>
        <v>1.2448079999999999</v>
      </c>
      <c r="N25" s="189">
        <f>'Cost Calculation'!AS17</f>
        <v>35991.373014248828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V</v>
      </c>
      <c r="E26" s="187" t="str">
        <f>Pricing!C14</f>
        <v>M940</v>
      </c>
      <c r="F26" s="187" t="str">
        <f>Pricing!D14</f>
        <v>Z LOUVERS</v>
      </c>
      <c r="G26" s="187" t="str">
        <f>Pricing!N14</f>
        <v>NA</v>
      </c>
      <c r="H26" s="187" t="str">
        <f>Pricing!F14</f>
        <v>FF - STORE</v>
      </c>
      <c r="I26" s="216" t="str">
        <f>Pricing!E14</f>
        <v>NO</v>
      </c>
      <c r="J26" s="216">
        <f>Pricing!G14</f>
        <v>653</v>
      </c>
      <c r="K26" s="216">
        <f>Pricing!H14</f>
        <v>590</v>
      </c>
      <c r="L26" s="216">
        <f>Pricing!I14</f>
        <v>1</v>
      </c>
      <c r="M26" s="188">
        <f t="shared" si="1"/>
        <v>0.38527</v>
      </c>
      <c r="N26" s="189">
        <f>'Cost Calculation'!AS18</f>
        <v>12886.784864988338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V1</v>
      </c>
      <c r="E27" s="187" t="str">
        <f>Pricing!C15</f>
        <v>M940</v>
      </c>
      <c r="F27" s="187" t="str">
        <f>Pricing!D15</f>
        <v>Z LOUVERS</v>
      </c>
      <c r="G27" s="187" t="str">
        <f>Pricing!N15</f>
        <v>NA</v>
      </c>
      <c r="H27" s="187" t="str">
        <f>Pricing!F15</f>
        <v>FF - MD TOILET</v>
      </c>
      <c r="I27" s="216" t="str">
        <f>Pricing!E15</f>
        <v>NO</v>
      </c>
      <c r="J27" s="216">
        <f>Pricing!G15</f>
        <v>573</v>
      </c>
      <c r="K27" s="216">
        <f>Pricing!H15</f>
        <v>563</v>
      </c>
      <c r="L27" s="216">
        <f>Pricing!I15</f>
        <v>1</v>
      </c>
      <c r="M27" s="188">
        <f t="shared" si="1"/>
        <v>0.32259900000000002</v>
      </c>
      <c r="N27" s="189">
        <f>'Cost Calculation'!AS19</f>
        <v>12218.365670706335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SW4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20MM</v>
      </c>
      <c r="H28" s="187" t="str">
        <f>Pricing!F16</f>
        <v>FF - MD ROOM</v>
      </c>
      <c r="I28" s="216" t="str">
        <f>Pricing!E16</f>
        <v>SS</v>
      </c>
      <c r="J28" s="216">
        <f>Pricing!G16</f>
        <v>2477</v>
      </c>
      <c r="K28" s="216">
        <f>Pricing!H16</f>
        <v>1333</v>
      </c>
      <c r="L28" s="216">
        <f>Pricing!I16</f>
        <v>1</v>
      </c>
      <c r="M28" s="188">
        <f t="shared" si="1"/>
        <v>3.301841</v>
      </c>
      <c r="N28" s="189">
        <f>'Cost Calculation'!AS20</f>
        <v>59980.505260800564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SW5</v>
      </c>
      <c r="E29" s="187" t="str">
        <f>Pricing!C17</f>
        <v>M900</v>
      </c>
      <c r="F29" s="187" t="str">
        <f>Pricing!D17</f>
        <v>3 TRACK 2 SHUTTER SLIDING WINDOW</v>
      </c>
      <c r="G29" s="187" t="str">
        <f>Pricing!N17</f>
        <v>20MM</v>
      </c>
      <c r="H29" s="187" t="str">
        <f>Pricing!F17</f>
        <v>FF - MD ROOM 2</v>
      </c>
      <c r="I29" s="216" t="str">
        <f>Pricing!E17</f>
        <v>SS</v>
      </c>
      <c r="J29" s="216">
        <f>Pricing!G17</f>
        <v>2477</v>
      </c>
      <c r="K29" s="216">
        <f>Pricing!H17</f>
        <v>1324</v>
      </c>
      <c r="L29" s="216">
        <f>Pricing!I17</f>
        <v>1</v>
      </c>
      <c r="M29" s="188">
        <f t="shared" si="1"/>
        <v>3.2795480000000001</v>
      </c>
      <c r="N29" s="189">
        <f>'Cost Calculation'!AS21</f>
        <v>59762.390276805367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SW6</v>
      </c>
      <c r="E30" s="187" t="str">
        <f>Pricing!C18</f>
        <v>M900</v>
      </c>
      <c r="F30" s="187" t="str">
        <f>Pricing!D18</f>
        <v>3 TRACK 2 SHUTTER SLIDING WINDOW</v>
      </c>
      <c r="G30" s="187" t="str">
        <f>Pricing!N18</f>
        <v>20MM</v>
      </c>
      <c r="H30" s="187" t="str">
        <f>Pricing!F18</f>
        <v>FF - MD ROOM 3</v>
      </c>
      <c r="I30" s="216" t="str">
        <f>Pricing!E18</f>
        <v>SS</v>
      </c>
      <c r="J30" s="216">
        <f>Pricing!G18</f>
        <v>1861</v>
      </c>
      <c r="K30" s="216">
        <f>Pricing!H18</f>
        <v>1333</v>
      </c>
      <c r="L30" s="216">
        <f>Pricing!I18</f>
        <v>1</v>
      </c>
      <c r="M30" s="188">
        <f t="shared" si="1"/>
        <v>2.4807130000000002</v>
      </c>
      <c r="N30" s="189">
        <f>'Cost Calculation'!AS22</f>
        <v>51149.823629728693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SW7</v>
      </c>
      <c r="E31" s="187" t="str">
        <f>Pricing!C19</f>
        <v>M900</v>
      </c>
      <c r="F31" s="187" t="str">
        <f>Pricing!D19</f>
        <v>3 TRACK 2 SHUTTER SLIDING WINDOW</v>
      </c>
      <c r="G31" s="187" t="str">
        <f>Pricing!N19</f>
        <v>20MM</v>
      </c>
      <c r="H31" s="187" t="str">
        <f>Pricing!F19</f>
        <v>FF - 4TH ROOM</v>
      </c>
      <c r="I31" s="216" t="str">
        <f>Pricing!E19</f>
        <v>SS</v>
      </c>
      <c r="J31" s="216">
        <f>Pricing!G19</f>
        <v>917</v>
      </c>
      <c r="K31" s="216">
        <f>Pricing!H19</f>
        <v>1299</v>
      </c>
      <c r="L31" s="216">
        <f>Pricing!I19</f>
        <v>1</v>
      </c>
      <c r="M31" s="188">
        <f t="shared" si="1"/>
        <v>1.1911830000000001</v>
      </c>
      <c r="N31" s="189">
        <f>'Cost Calculation'!AS23</f>
        <v>37034.755526463923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V2</v>
      </c>
      <c r="E32" s="187" t="str">
        <f>Pricing!C20</f>
        <v>M940</v>
      </c>
      <c r="F32" s="187" t="str">
        <f>Pricing!D20</f>
        <v>Z LOUVERS</v>
      </c>
      <c r="G32" s="187" t="str">
        <f>Pricing!N20</f>
        <v>NA</v>
      </c>
      <c r="H32" s="187" t="str">
        <f>Pricing!F20</f>
        <v>FF - TOILET 1</v>
      </c>
      <c r="I32" s="216" t="str">
        <f>Pricing!E20</f>
        <v>NO</v>
      </c>
      <c r="J32" s="216">
        <f>Pricing!G20</f>
        <v>571</v>
      </c>
      <c r="K32" s="216">
        <f>Pricing!H20</f>
        <v>561</v>
      </c>
      <c r="L32" s="216">
        <f>Pricing!I20</f>
        <v>1</v>
      </c>
      <c r="M32" s="188">
        <f t="shared" si="1"/>
        <v>0.32033099999999998</v>
      </c>
      <c r="N32" s="189">
        <f>'Cost Calculation'!AS24</f>
        <v>12194.342720432607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V3</v>
      </c>
      <c r="E33" s="187" t="str">
        <f>Pricing!C21</f>
        <v>M940</v>
      </c>
      <c r="F33" s="187" t="str">
        <f>Pricing!D21</f>
        <v>Z LOUVERS</v>
      </c>
      <c r="G33" s="187" t="str">
        <f>Pricing!N21</f>
        <v>NA</v>
      </c>
      <c r="H33" s="187" t="str">
        <f>Pricing!F21</f>
        <v>FF - TOILET 2</v>
      </c>
      <c r="I33" s="216" t="str">
        <f>Pricing!E21</f>
        <v>NO</v>
      </c>
      <c r="J33" s="216">
        <f>Pricing!G21</f>
        <v>573</v>
      </c>
      <c r="K33" s="216">
        <f>Pricing!H21</f>
        <v>563</v>
      </c>
      <c r="L33" s="216">
        <f>Pricing!I21</f>
        <v>1</v>
      </c>
      <c r="M33" s="188">
        <f t="shared" si="1"/>
        <v>0.32259900000000002</v>
      </c>
      <c r="N33" s="189">
        <f>'Cost Calculation'!AS25</f>
        <v>12218.365670706335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FG6</v>
      </c>
      <c r="E34" s="187" t="str">
        <f>Pricing!C22</f>
        <v>M940</v>
      </c>
      <c r="F34" s="187" t="str">
        <f>Pricing!D22</f>
        <v>FIXED GLASS</v>
      </c>
      <c r="G34" s="187" t="str">
        <f>Pricing!N22</f>
        <v>20MM</v>
      </c>
      <c r="H34" s="187" t="str">
        <f>Pricing!F22</f>
        <v>FF - SERVANT ROOM</v>
      </c>
      <c r="I34" s="216" t="str">
        <f>Pricing!E22</f>
        <v>NO</v>
      </c>
      <c r="J34" s="216">
        <f>Pricing!G22</f>
        <v>864</v>
      </c>
      <c r="K34" s="216">
        <f>Pricing!H22</f>
        <v>1270</v>
      </c>
      <c r="L34" s="216">
        <f>Pricing!I22</f>
        <v>1</v>
      </c>
      <c r="M34" s="188">
        <f t="shared" si="1"/>
        <v>1.09728</v>
      </c>
      <c r="N34" s="189">
        <f>'Cost Calculation'!AS26</f>
        <v>16102.701449689815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SW8</v>
      </c>
      <c r="E35" s="187" t="str">
        <f>Pricing!C23</f>
        <v>M900</v>
      </c>
      <c r="F35" s="187" t="str">
        <f>Pricing!D23</f>
        <v>3 TRACK 2 SHUTTER SLIDING WINDOW</v>
      </c>
      <c r="G35" s="187" t="str">
        <f>Pricing!N23</f>
        <v>20MM</v>
      </c>
      <c r="H35" s="187" t="str">
        <f>Pricing!F23</f>
        <v>FF - STAIRCASE</v>
      </c>
      <c r="I35" s="216" t="str">
        <f>Pricing!E23</f>
        <v>SS</v>
      </c>
      <c r="J35" s="216">
        <f>Pricing!G23</f>
        <v>1841</v>
      </c>
      <c r="K35" s="216">
        <f>Pricing!H23</f>
        <v>1249</v>
      </c>
      <c r="L35" s="216">
        <f>Pricing!I23</f>
        <v>1</v>
      </c>
      <c r="M35" s="188">
        <f t="shared" si="1"/>
        <v>2.2994089999999998</v>
      </c>
      <c r="N35" s="189">
        <f>'Cost Calculation'!AS27</f>
        <v>49061.75534673567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SW9</v>
      </c>
      <c r="E36" s="187" t="str">
        <f>Pricing!C24</f>
        <v>M900</v>
      </c>
      <c r="F36" s="187" t="str">
        <f>Pricing!D24</f>
        <v>3 TRACK 2 SHUTTER SLIDING WINDOW</v>
      </c>
      <c r="G36" s="187" t="str">
        <f>Pricing!N24</f>
        <v>20MM</v>
      </c>
      <c r="H36" s="187" t="str">
        <f>Pricing!F24</f>
        <v>SF - RECEPTION</v>
      </c>
      <c r="I36" s="216" t="str">
        <f>Pricing!E24</f>
        <v>SS</v>
      </c>
      <c r="J36" s="216">
        <f>Pricing!G24</f>
        <v>3735</v>
      </c>
      <c r="K36" s="216">
        <f>Pricing!H24</f>
        <v>1296</v>
      </c>
      <c r="L36" s="216">
        <f>Pricing!I24</f>
        <v>1</v>
      </c>
      <c r="M36" s="188">
        <f t="shared" si="1"/>
        <v>4.84056</v>
      </c>
      <c r="N36" s="189">
        <f>'Cost Calculation'!AS28</f>
        <v>76888.164043533616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SW10</v>
      </c>
      <c r="E37" s="187" t="str">
        <f>Pricing!C25</f>
        <v>M900</v>
      </c>
      <c r="F37" s="187" t="str">
        <f>Pricing!D25</f>
        <v>3 TRACK 2 SHUTTER SLIDING WINDOW</v>
      </c>
      <c r="G37" s="187" t="str">
        <f>Pricing!N25</f>
        <v>20MM</v>
      </c>
      <c r="H37" s="187" t="str">
        <f>Pricing!F25</f>
        <v>SF - CONFERENCE</v>
      </c>
      <c r="I37" s="216" t="str">
        <f>Pricing!E25</f>
        <v>SS</v>
      </c>
      <c r="J37" s="216">
        <f>Pricing!G25</f>
        <v>2442</v>
      </c>
      <c r="K37" s="216">
        <f>Pricing!H25</f>
        <v>1294</v>
      </c>
      <c r="L37" s="216">
        <f>Pricing!I25</f>
        <v>1</v>
      </c>
      <c r="M37" s="188">
        <f t="shared" si="1"/>
        <v>3.159948</v>
      </c>
      <c r="N37" s="189">
        <f>'Cost Calculation'!AS29</f>
        <v>58534.198947160679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FG7</v>
      </c>
      <c r="E38" s="187" t="str">
        <f>Pricing!C26</f>
        <v>M940</v>
      </c>
      <c r="F38" s="187" t="str">
        <f>Pricing!D26</f>
        <v>FIXED GLASS</v>
      </c>
      <c r="G38" s="187" t="str">
        <f>Pricing!N26</f>
        <v>20MM</v>
      </c>
      <c r="H38" s="187" t="str">
        <f>Pricing!F26</f>
        <v>SF - CONFERENCE</v>
      </c>
      <c r="I38" s="216" t="str">
        <f>Pricing!E26</f>
        <v>NO</v>
      </c>
      <c r="J38" s="216">
        <f>Pricing!G26</f>
        <v>1521</v>
      </c>
      <c r="K38" s="216">
        <f>Pricing!H26</f>
        <v>1295</v>
      </c>
      <c r="L38" s="216">
        <f>Pricing!I26</f>
        <v>1</v>
      </c>
      <c r="M38" s="188">
        <f t="shared" si="1"/>
        <v>1.969695</v>
      </c>
      <c r="N38" s="189">
        <f>'Cost Calculation'!AS30</f>
        <v>23496.419229508974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FG8</v>
      </c>
      <c r="E39" s="187" t="str">
        <f>Pricing!C27</f>
        <v>M940</v>
      </c>
      <c r="F39" s="187" t="str">
        <f>Pricing!D27</f>
        <v>FIXED GLASS</v>
      </c>
      <c r="G39" s="187" t="str">
        <f>Pricing!N27</f>
        <v>20MM</v>
      </c>
      <c r="H39" s="187" t="str">
        <f>Pricing!F27</f>
        <v>SF - HALL</v>
      </c>
      <c r="I39" s="216" t="str">
        <f>Pricing!E27</f>
        <v>NO</v>
      </c>
      <c r="J39" s="216">
        <f>Pricing!G27</f>
        <v>1557</v>
      </c>
      <c r="K39" s="216">
        <f>Pricing!H27</f>
        <v>1332</v>
      </c>
      <c r="L39" s="216">
        <f>Pricing!I27</f>
        <v>1</v>
      </c>
      <c r="M39" s="188">
        <f t="shared" si="1"/>
        <v>2.0739239999999999</v>
      </c>
      <c r="N39" s="189">
        <f>'Cost Calculation'!AS31</f>
        <v>24332.084335474399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FG9</v>
      </c>
      <c r="E40" s="187" t="str">
        <f>Pricing!C28</f>
        <v>M940</v>
      </c>
      <c r="F40" s="187" t="str">
        <f>Pricing!D28</f>
        <v>FIXED GLASS</v>
      </c>
      <c r="G40" s="187" t="str">
        <f>Pricing!N28</f>
        <v>20MM</v>
      </c>
      <c r="H40" s="187" t="str">
        <f>Pricing!F28</f>
        <v>SF - HALL</v>
      </c>
      <c r="I40" s="216" t="str">
        <f>Pricing!E28</f>
        <v>NO</v>
      </c>
      <c r="J40" s="216">
        <f>Pricing!G28</f>
        <v>1558</v>
      </c>
      <c r="K40" s="216">
        <f>Pricing!H28</f>
        <v>1332</v>
      </c>
      <c r="L40" s="216">
        <f>Pricing!I28</f>
        <v>1</v>
      </c>
      <c r="M40" s="188">
        <f t="shared" si="1"/>
        <v>2.075256</v>
      </c>
      <c r="N40" s="189">
        <f>'Cost Calculation'!AS32</f>
        <v>24346.607285079463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FG10</v>
      </c>
      <c r="E41" s="187" t="str">
        <f>Pricing!C29</f>
        <v>M940</v>
      </c>
      <c r="F41" s="187" t="str">
        <f>Pricing!D29</f>
        <v>FIXED GLASS</v>
      </c>
      <c r="G41" s="187" t="str">
        <f>Pricing!N29</f>
        <v>20MM</v>
      </c>
      <c r="H41" s="187" t="str">
        <f>Pricing!F29</f>
        <v>SF - HALL</v>
      </c>
      <c r="I41" s="216" t="str">
        <f>Pricing!E29</f>
        <v>NO</v>
      </c>
      <c r="J41" s="216">
        <f>Pricing!G29</f>
        <v>1561</v>
      </c>
      <c r="K41" s="216">
        <f>Pricing!H29</f>
        <v>1334</v>
      </c>
      <c r="L41" s="216">
        <f>Pricing!I29</f>
        <v>1</v>
      </c>
      <c r="M41" s="188">
        <f t="shared" si="1"/>
        <v>2.0823740000000002</v>
      </c>
      <c r="N41" s="189">
        <f>'Cost Calculation'!AS33</f>
        <v>24402.999855081624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FG11</v>
      </c>
      <c r="E42" s="187" t="str">
        <f>Pricing!C30</f>
        <v>M940</v>
      </c>
      <c r="F42" s="187" t="str">
        <f>Pricing!D30</f>
        <v>FIXED GLASS</v>
      </c>
      <c r="G42" s="187" t="str">
        <f>Pricing!N30</f>
        <v>20MM</v>
      </c>
      <c r="H42" s="187" t="str">
        <f>Pricing!F30</f>
        <v>SF - KITCHEN</v>
      </c>
      <c r="I42" s="216" t="str">
        <f>Pricing!E30</f>
        <v>NO</v>
      </c>
      <c r="J42" s="216">
        <f>Pricing!G30</f>
        <v>1553</v>
      </c>
      <c r="K42" s="216">
        <f>Pricing!H30</f>
        <v>1338</v>
      </c>
      <c r="L42" s="216">
        <f>Pricing!I30</f>
        <v>1</v>
      </c>
      <c r="M42" s="188">
        <f t="shared" si="1"/>
        <v>2.0779139999999998</v>
      </c>
      <c r="N42" s="189">
        <f>'Cost Calculation'!AS34</f>
        <v>24363.410380967889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SW11</v>
      </c>
      <c r="E43" s="187" t="str">
        <f>Pricing!C31</f>
        <v>M900</v>
      </c>
      <c r="F43" s="187" t="str">
        <f>Pricing!D31</f>
        <v>3 TRACK 2 SHUTTER SLIDING WINDOW</v>
      </c>
      <c r="G43" s="187" t="str">
        <f>Pricing!N31</f>
        <v>20MM</v>
      </c>
      <c r="H43" s="187" t="str">
        <f>Pricing!F31</f>
        <v>SF - KITCHEN</v>
      </c>
      <c r="I43" s="216" t="str">
        <f>Pricing!E31</f>
        <v>SS</v>
      </c>
      <c r="J43" s="216">
        <f>Pricing!G31</f>
        <v>2464</v>
      </c>
      <c r="K43" s="216">
        <f>Pricing!H31</f>
        <v>1323</v>
      </c>
      <c r="L43" s="216">
        <f>Pricing!I31</f>
        <v>1</v>
      </c>
      <c r="M43" s="188">
        <f t="shared" ref="M43:M92" si="2">J43*K43*L43/1000000</f>
        <v>3.2598720000000001</v>
      </c>
      <c r="N43" s="189">
        <f>'Cost Calculation'!AS35</f>
        <v>67685.389149506751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V4</v>
      </c>
      <c r="E44" s="187" t="str">
        <f>Pricing!C32</f>
        <v>M940</v>
      </c>
      <c r="F44" s="187" t="str">
        <f>Pricing!D32</f>
        <v>Z LOUVERS</v>
      </c>
      <c r="G44" s="187" t="str">
        <f>Pricing!N32</f>
        <v>NA</v>
      </c>
      <c r="H44" s="187" t="str">
        <f>Pricing!F32</f>
        <v>FF - MD TOILET</v>
      </c>
      <c r="I44" s="216" t="str">
        <f>Pricing!E32</f>
        <v>NO</v>
      </c>
      <c r="J44" s="216">
        <f>Pricing!G32</f>
        <v>564</v>
      </c>
      <c r="K44" s="216">
        <f>Pricing!H32</f>
        <v>567</v>
      </c>
      <c r="L44" s="216">
        <f>Pricing!I32</f>
        <v>1</v>
      </c>
      <c r="M44" s="188">
        <f t="shared" si="2"/>
        <v>0.31978800000000002</v>
      </c>
      <c r="N44" s="189">
        <f>'Cost Calculation'!AS36</f>
        <v>12188.383483344176</v>
      </c>
      <c r="O44" s="95"/>
    </row>
    <row r="45" spans="2:15" s="94" customFormat="1" ht="49.9" customHeight="1" thickTop="1" thickBot="1">
      <c r="B45" s="414">
        <f>Pricing!A33</f>
        <v>30</v>
      </c>
      <c r="C45" s="415"/>
      <c r="D45" s="187" t="str">
        <f>Pricing!B33</f>
        <v>SW12</v>
      </c>
      <c r="E45" s="187" t="str">
        <f>Pricing!C33</f>
        <v>M900</v>
      </c>
      <c r="F45" s="187" t="str">
        <f>Pricing!D33</f>
        <v>3 TRACK 2 SHUTTER SLIDING WINDOW</v>
      </c>
      <c r="G45" s="187" t="str">
        <f>Pricing!N33</f>
        <v>20MM</v>
      </c>
      <c r="H45" s="187" t="str">
        <f>Pricing!F33</f>
        <v>SF - MD ROOM</v>
      </c>
      <c r="I45" s="216" t="str">
        <f>Pricing!E33</f>
        <v>SS</v>
      </c>
      <c r="J45" s="216">
        <f>Pricing!G33</f>
        <v>2471</v>
      </c>
      <c r="K45" s="216">
        <f>Pricing!H33</f>
        <v>1334</v>
      </c>
      <c r="L45" s="216">
        <f>Pricing!I33</f>
        <v>1</v>
      </c>
      <c r="M45" s="188">
        <f t="shared" si="2"/>
        <v>3.2963140000000002</v>
      </c>
      <c r="N45" s="189">
        <f>'Cost Calculation'!AS37</f>
        <v>68052.867166164113</v>
      </c>
      <c r="O45" s="95"/>
    </row>
    <row r="46" spans="2:15" s="94" customFormat="1" ht="49.9" customHeight="1" thickTop="1" thickBot="1">
      <c r="B46" s="414">
        <f>Pricing!A34</f>
        <v>31</v>
      </c>
      <c r="C46" s="415"/>
      <c r="D46" s="187" t="str">
        <f>Pricing!B34</f>
        <v>SW13</v>
      </c>
      <c r="E46" s="187" t="str">
        <f>Pricing!C34</f>
        <v>M900</v>
      </c>
      <c r="F46" s="187" t="str">
        <f>Pricing!D34</f>
        <v>3 TRACK 2 SHUTTER SLIDING WINDOW</v>
      </c>
      <c r="G46" s="187" t="str">
        <f>Pricing!N34</f>
        <v>20MM</v>
      </c>
      <c r="H46" s="187" t="str">
        <f>Pricing!F34</f>
        <v>SF - MD ROOM 2</v>
      </c>
      <c r="I46" s="216" t="str">
        <f>Pricing!E34</f>
        <v>SS</v>
      </c>
      <c r="J46" s="216">
        <f>Pricing!G34</f>
        <v>2479</v>
      </c>
      <c r="K46" s="216">
        <f>Pricing!H34</f>
        <v>1328</v>
      </c>
      <c r="L46" s="216">
        <f>Pricing!I34</f>
        <v>1</v>
      </c>
      <c r="M46" s="188">
        <f t="shared" si="2"/>
        <v>3.2921119999999999</v>
      </c>
      <c r="N46" s="189">
        <f>'Cost Calculation'!AS38</f>
        <v>59889.340986182244</v>
      </c>
      <c r="O46" s="95"/>
    </row>
    <row r="47" spans="2:15" s="94" customFormat="1" ht="49.9" customHeight="1" thickTop="1" thickBot="1">
      <c r="B47" s="414">
        <f>Pricing!A35</f>
        <v>32</v>
      </c>
      <c r="C47" s="415"/>
      <c r="D47" s="187" t="str">
        <f>Pricing!B35</f>
        <v>SW14</v>
      </c>
      <c r="E47" s="187" t="str">
        <f>Pricing!C35</f>
        <v>M900</v>
      </c>
      <c r="F47" s="187" t="str">
        <f>Pricing!D35</f>
        <v>3 TRACK 2 SHUTTER SLIDING WINDOW</v>
      </c>
      <c r="G47" s="187" t="str">
        <f>Pricing!N35</f>
        <v>20MM</v>
      </c>
      <c r="H47" s="187" t="str">
        <f>Pricing!F35</f>
        <v>SF - MD ROOM 3</v>
      </c>
      <c r="I47" s="216" t="str">
        <f>Pricing!E35</f>
        <v>SS</v>
      </c>
      <c r="J47" s="216">
        <f>Pricing!G35</f>
        <v>1865</v>
      </c>
      <c r="K47" s="216">
        <f>Pricing!H35</f>
        <v>1340</v>
      </c>
      <c r="L47" s="216">
        <f>Pricing!I35</f>
        <v>1</v>
      </c>
      <c r="M47" s="188">
        <f t="shared" si="2"/>
        <v>2.4990999999999999</v>
      </c>
      <c r="N47" s="189">
        <f>'Cost Calculation'!AS39</f>
        <v>51358.80001362077</v>
      </c>
      <c r="O47" s="95"/>
    </row>
    <row r="48" spans="2:15" s="94" customFormat="1" ht="49.9" customHeight="1" thickTop="1" thickBot="1">
      <c r="B48" s="414">
        <f>Pricing!A36</f>
        <v>33</v>
      </c>
      <c r="C48" s="415"/>
      <c r="D48" s="187" t="str">
        <f>Pricing!B36</f>
        <v>SW15</v>
      </c>
      <c r="E48" s="187" t="str">
        <f>Pricing!C36</f>
        <v>M900</v>
      </c>
      <c r="F48" s="187" t="str">
        <f>Pricing!D36</f>
        <v>3 TRACK 2 SHUTTER SLIDING WINDOW</v>
      </c>
      <c r="G48" s="187" t="str">
        <f>Pricing!N36</f>
        <v>20MM</v>
      </c>
      <c r="H48" s="187" t="str">
        <f>Pricing!F36</f>
        <v>SF - SMALL ROOM</v>
      </c>
      <c r="I48" s="216" t="str">
        <f>Pricing!E36</f>
        <v>SS</v>
      </c>
      <c r="J48" s="216">
        <f>Pricing!G36</f>
        <v>917</v>
      </c>
      <c r="K48" s="216">
        <f>Pricing!H36</f>
        <v>1295</v>
      </c>
      <c r="L48" s="216">
        <f>Pricing!I36</f>
        <v>1</v>
      </c>
      <c r="M48" s="188">
        <f t="shared" si="2"/>
        <v>1.1875150000000001</v>
      </c>
      <c r="N48" s="189">
        <f>'Cost Calculation'!AS40</f>
        <v>36968.093635977159</v>
      </c>
      <c r="O48" s="95"/>
    </row>
    <row r="49" spans="2:15" s="94" customFormat="1" ht="49.9" customHeight="1" thickTop="1" thickBot="1">
      <c r="B49" s="414">
        <f>Pricing!A37</f>
        <v>34</v>
      </c>
      <c r="C49" s="415"/>
      <c r="D49" s="187" t="str">
        <f>Pricing!B37</f>
        <v>V5</v>
      </c>
      <c r="E49" s="187" t="str">
        <f>Pricing!C37</f>
        <v>M940</v>
      </c>
      <c r="F49" s="187" t="str">
        <f>Pricing!D37</f>
        <v>Z LOUVERS</v>
      </c>
      <c r="G49" s="187" t="str">
        <f>Pricing!N37</f>
        <v>NA</v>
      </c>
      <c r="H49" s="187" t="str">
        <f>Pricing!F37</f>
        <v>SF - TOILET</v>
      </c>
      <c r="I49" s="216" t="str">
        <f>Pricing!E37</f>
        <v>NO</v>
      </c>
      <c r="J49" s="216">
        <f>Pricing!G37</f>
        <v>572</v>
      </c>
      <c r="K49" s="216">
        <f>Pricing!H37</f>
        <v>580</v>
      </c>
      <c r="L49" s="216">
        <f>Pricing!I37</f>
        <v>1</v>
      </c>
      <c r="M49" s="188">
        <f t="shared" si="2"/>
        <v>0.33176</v>
      </c>
      <c r="N49" s="189">
        <f>'Cost Calculation'!AS41</f>
        <v>12318.28430431788</v>
      </c>
      <c r="O49" s="95"/>
    </row>
    <row r="50" spans="2:15" s="94" customFormat="1" ht="49.9" customHeight="1" thickTop="1" thickBot="1">
      <c r="B50" s="414">
        <f>Pricing!A38</f>
        <v>35</v>
      </c>
      <c r="C50" s="415"/>
      <c r="D50" s="187" t="str">
        <f>Pricing!B38</f>
        <v>V6</v>
      </c>
      <c r="E50" s="187" t="str">
        <f>Pricing!C38</f>
        <v>M940</v>
      </c>
      <c r="F50" s="187" t="str">
        <f>Pricing!D38</f>
        <v>Z LOUVERS</v>
      </c>
      <c r="G50" s="187" t="str">
        <f>Pricing!N38</f>
        <v>NA</v>
      </c>
      <c r="H50" s="187" t="str">
        <f>Pricing!F38</f>
        <v>SF - TOILET 2</v>
      </c>
      <c r="I50" s="216" t="str">
        <f>Pricing!E38</f>
        <v>NO</v>
      </c>
      <c r="J50" s="216">
        <f>Pricing!G38</f>
        <v>581</v>
      </c>
      <c r="K50" s="216">
        <f>Pricing!H38</f>
        <v>575</v>
      </c>
      <c r="L50" s="216">
        <f>Pricing!I38</f>
        <v>1</v>
      </c>
      <c r="M50" s="188">
        <f t="shared" si="2"/>
        <v>0.33407500000000001</v>
      </c>
      <c r="N50" s="189">
        <f>'Cost Calculation'!AS42</f>
        <v>12342.398318031605</v>
      </c>
      <c r="O50" s="95"/>
    </row>
    <row r="51" spans="2:15" s="94" customFormat="1" ht="49.9" customHeight="1" thickTop="1" thickBot="1">
      <c r="B51" s="414">
        <f>Pricing!A39</f>
        <v>36</v>
      </c>
      <c r="C51" s="415"/>
      <c r="D51" s="187" t="str">
        <f>Pricing!B39</f>
        <v>FG12</v>
      </c>
      <c r="E51" s="187" t="str">
        <f>Pricing!C39</f>
        <v>M940</v>
      </c>
      <c r="F51" s="187" t="str">
        <f>Pricing!D39</f>
        <v>FIXED GLASS</v>
      </c>
      <c r="G51" s="187" t="str">
        <f>Pricing!N39</f>
        <v>20MM</v>
      </c>
      <c r="H51" s="187" t="str">
        <f>Pricing!F39</f>
        <v>SF - SERVANT ROOM</v>
      </c>
      <c r="I51" s="216" t="str">
        <f>Pricing!E39</f>
        <v>NO</v>
      </c>
      <c r="J51" s="216">
        <f>Pricing!G39</f>
        <v>860</v>
      </c>
      <c r="K51" s="216">
        <f>Pricing!H39</f>
        <v>1271</v>
      </c>
      <c r="L51" s="216">
        <f>Pricing!I39</f>
        <v>1</v>
      </c>
      <c r="M51" s="188">
        <f t="shared" si="2"/>
        <v>1.0930599999999999</v>
      </c>
      <c r="N51" s="189">
        <f>'Cost Calculation'!AS43</f>
        <v>16069.093264104515</v>
      </c>
      <c r="O51" s="95"/>
    </row>
    <row r="52" spans="2:15" s="94" customFormat="1" ht="49.9" customHeight="1" thickTop="1" thickBot="1">
      <c r="B52" s="414">
        <f>Pricing!A40</f>
        <v>37</v>
      </c>
      <c r="C52" s="415"/>
      <c r="D52" s="187" t="str">
        <f>Pricing!B40</f>
        <v>SW16</v>
      </c>
      <c r="E52" s="187" t="str">
        <f>Pricing!C40</f>
        <v>M900</v>
      </c>
      <c r="F52" s="187" t="str">
        <f>Pricing!D40</f>
        <v>3 TRACK 2 SHUTTER SLIDING WINDOW</v>
      </c>
      <c r="G52" s="187" t="str">
        <f>Pricing!N40</f>
        <v>20MM</v>
      </c>
      <c r="H52" s="187" t="str">
        <f>Pricing!F40</f>
        <v>SF - STAIRCASE</v>
      </c>
      <c r="I52" s="216" t="str">
        <f>Pricing!E40</f>
        <v>SS</v>
      </c>
      <c r="J52" s="216">
        <f>Pricing!G40</f>
        <v>1841</v>
      </c>
      <c r="K52" s="216">
        <f>Pricing!H40</f>
        <v>1249</v>
      </c>
      <c r="L52" s="216">
        <f>Pricing!I40</f>
        <v>1</v>
      </c>
      <c r="M52" s="188">
        <f t="shared" si="2"/>
        <v>2.2994089999999998</v>
      </c>
      <c r="N52" s="189">
        <f>'Cost Calculation'!AS44</f>
        <v>49061.75534673567</v>
      </c>
      <c r="O52" s="95"/>
    </row>
    <row r="53" spans="2:15" s="94" customFormat="1" ht="49.9" customHeight="1" thickTop="1" thickBot="1">
      <c r="B53" s="414">
        <f>Pricing!A41</f>
        <v>38</v>
      </c>
      <c r="C53" s="415"/>
      <c r="D53" s="187" t="str">
        <f>Pricing!B41</f>
        <v>SW17</v>
      </c>
      <c r="E53" s="187" t="str">
        <f>Pricing!C41</f>
        <v>M900</v>
      </c>
      <c r="F53" s="187" t="str">
        <f>Pricing!D41</f>
        <v>3 TRACK 2 SHUTTER SLIDING WINDOW</v>
      </c>
      <c r="G53" s="187" t="str">
        <f>Pricing!N41</f>
        <v>20MM</v>
      </c>
      <c r="H53" s="187" t="str">
        <f>Pricing!F41</f>
        <v>3F - KITCHEN</v>
      </c>
      <c r="I53" s="216" t="str">
        <f>Pricing!E41</f>
        <v>SS</v>
      </c>
      <c r="J53" s="216">
        <f>Pricing!G41</f>
        <v>3728</v>
      </c>
      <c r="K53" s="216">
        <f>Pricing!H41</f>
        <v>1301</v>
      </c>
      <c r="L53" s="216">
        <f>Pricing!I41</f>
        <v>1</v>
      </c>
      <c r="M53" s="188">
        <f t="shared" si="2"/>
        <v>4.8501279999999998</v>
      </c>
      <c r="N53" s="189">
        <f>'Cost Calculation'!AS45</f>
        <v>76943.048105939903</v>
      </c>
      <c r="O53" s="95"/>
    </row>
    <row r="54" spans="2:15" s="94" customFormat="1" ht="49.9" customHeight="1" thickTop="1" thickBot="1">
      <c r="B54" s="414">
        <f>Pricing!A42</f>
        <v>39</v>
      </c>
      <c r="C54" s="415"/>
      <c r="D54" s="187" t="str">
        <f>Pricing!B42</f>
        <v>SW18</v>
      </c>
      <c r="E54" s="187" t="str">
        <f>Pricing!C42</f>
        <v>M900</v>
      </c>
      <c r="F54" s="187" t="str">
        <f>Pricing!D42</f>
        <v>3 TRACK 2 SHUTTER SLIDING WINDOW</v>
      </c>
      <c r="G54" s="187" t="str">
        <f>Pricing!N42</f>
        <v>20MM</v>
      </c>
      <c r="H54" s="187" t="str">
        <f>Pricing!F42</f>
        <v>3F - CONFERENCE</v>
      </c>
      <c r="I54" s="216" t="str">
        <f>Pricing!E42</f>
        <v>SS</v>
      </c>
      <c r="J54" s="216">
        <f>Pricing!G42</f>
        <v>2439</v>
      </c>
      <c r="K54" s="216">
        <f>Pricing!H42</f>
        <v>1298</v>
      </c>
      <c r="L54" s="216">
        <f>Pricing!I42</f>
        <v>1</v>
      </c>
      <c r="M54" s="188">
        <f t="shared" si="2"/>
        <v>3.1658219999999999</v>
      </c>
      <c r="N54" s="189">
        <f>'Cost Calculation'!AS46</f>
        <v>58585.880252312279</v>
      </c>
      <c r="O54" s="95"/>
    </row>
    <row r="55" spans="2:15" s="94" customFormat="1" ht="49.9" customHeight="1" thickTop="1" thickBot="1">
      <c r="B55" s="414">
        <f>Pricing!A43</f>
        <v>40</v>
      </c>
      <c r="C55" s="415"/>
      <c r="D55" s="187" t="str">
        <f>Pricing!B43</f>
        <v>FG13</v>
      </c>
      <c r="E55" s="187" t="str">
        <f>Pricing!C43</f>
        <v>M940</v>
      </c>
      <c r="F55" s="187" t="str">
        <f>Pricing!D43</f>
        <v>FIXED GLASS</v>
      </c>
      <c r="G55" s="187" t="str">
        <f>Pricing!N43</f>
        <v>20MM</v>
      </c>
      <c r="H55" s="187" t="str">
        <f>Pricing!F43</f>
        <v>3F - CONFERENCE</v>
      </c>
      <c r="I55" s="216" t="str">
        <f>Pricing!E43</f>
        <v>NO</v>
      </c>
      <c r="J55" s="216">
        <f>Pricing!G43</f>
        <v>1519</v>
      </c>
      <c r="K55" s="216">
        <f>Pricing!H43</f>
        <v>1295</v>
      </c>
      <c r="L55" s="216">
        <f>Pricing!I43</f>
        <v>1</v>
      </c>
      <c r="M55" s="188">
        <f t="shared" si="2"/>
        <v>1.9671050000000001</v>
      </c>
      <c r="N55" s="189">
        <f>'Cost Calculation'!AS47</f>
        <v>23475.013305252116</v>
      </c>
      <c r="O55" s="95"/>
    </row>
    <row r="56" spans="2:15" s="94" customFormat="1" ht="49.9" customHeight="1" thickTop="1" thickBot="1">
      <c r="B56" s="414">
        <f>Pricing!A44</f>
        <v>41</v>
      </c>
      <c r="C56" s="415"/>
      <c r="D56" s="187" t="str">
        <f>Pricing!B44</f>
        <v>FG14</v>
      </c>
      <c r="E56" s="187" t="str">
        <f>Pricing!C44</f>
        <v>M940</v>
      </c>
      <c r="F56" s="187" t="str">
        <f>Pricing!D44</f>
        <v>FIXED GLASS</v>
      </c>
      <c r="G56" s="187" t="str">
        <f>Pricing!N44</f>
        <v>20MM</v>
      </c>
      <c r="H56" s="187" t="str">
        <f>Pricing!F44</f>
        <v>3F - HALL</v>
      </c>
      <c r="I56" s="216" t="str">
        <f>Pricing!E44</f>
        <v>NO</v>
      </c>
      <c r="J56" s="216">
        <f>Pricing!G44</f>
        <v>1559</v>
      </c>
      <c r="K56" s="216">
        <f>Pricing!H44</f>
        <v>1337</v>
      </c>
      <c r="L56" s="216">
        <f>Pricing!I44</f>
        <v>1</v>
      </c>
      <c r="M56" s="188">
        <f t="shared" si="2"/>
        <v>2.0843829999999999</v>
      </c>
      <c r="N56" s="189">
        <f>'Cost Calculation'!AS48</f>
        <v>24416.898338490057</v>
      </c>
      <c r="O56" s="95"/>
    </row>
    <row r="57" spans="2:15" s="94" customFormat="1" ht="49.9" customHeight="1" thickTop="1" thickBot="1">
      <c r="B57" s="414">
        <f>Pricing!A45</f>
        <v>42</v>
      </c>
      <c r="C57" s="415"/>
      <c r="D57" s="187" t="str">
        <f>Pricing!B45</f>
        <v>FG15</v>
      </c>
      <c r="E57" s="187" t="str">
        <f>Pricing!C45</f>
        <v>M940</v>
      </c>
      <c r="F57" s="187" t="str">
        <f>Pricing!D45</f>
        <v>FIXED GLASS</v>
      </c>
      <c r="G57" s="187" t="str">
        <f>Pricing!N45</f>
        <v>20MM</v>
      </c>
      <c r="H57" s="187" t="str">
        <f>Pricing!F45</f>
        <v>3F - HALL</v>
      </c>
      <c r="I57" s="216" t="str">
        <f>Pricing!E45</f>
        <v>NO</v>
      </c>
      <c r="J57" s="216">
        <f>Pricing!G45</f>
        <v>1564</v>
      </c>
      <c r="K57" s="216">
        <f>Pricing!H45</f>
        <v>1331</v>
      </c>
      <c r="L57" s="216">
        <f>Pricing!I45</f>
        <v>1</v>
      </c>
      <c r="M57" s="188">
        <f t="shared" si="2"/>
        <v>2.0816840000000001</v>
      </c>
      <c r="N57" s="189">
        <f>'Cost Calculation'!AS49</f>
        <v>24399.911746281625</v>
      </c>
      <c r="O57" s="95"/>
    </row>
    <row r="58" spans="2:15" s="94" customFormat="1" ht="49.9" customHeight="1" thickTop="1" thickBot="1">
      <c r="B58" s="414">
        <f>Pricing!A46</f>
        <v>43</v>
      </c>
      <c r="C58" s="415"/>
      <c r="D58" s="187" t="str">
        <f>Pricing!B46</f>
        <v>FG16</v>
      </c>
      <c r="E58" s="187" t="str">
        <f>Pricing!C46</f>
        <v>M940</v>
      </c>
      <c r="F58" s="187" t="str">
        <f>Pricing!D46</f>
        <v>FIXED GLASS</v>
      </c>
      <c r="G58" s="187" t="str">
        <f>Pricing!N46</f>
        <v>20MM</v>
      </c>
      <c r="H58" s="187" t="str">
        <f>Pricing!F46</f>
        <v>3F - KITCHEN</v>
      </c>
      <c r="I58" s="216" t="str">
        <f>Pricing!E46</f>
        <v>NO</v>
      </c>
      <c r="J58" s="216">
        <f>Pricing!G46</f>
        <v>1564</v>
      </c>
      <c r="K58" s="216">
        <f>Pricing!H46</f>
        <v>1337</v>
      </c>
      <c r="L58" s="216">
        <f>Pricing!I46</f>
        <v>1</v>
      </c>
      <c r="M58" s="188">
        <f t="shared" si="2"/>
        <v>2.0910679999999999</v>
      </c>
      <c r="N58" s="189">
        <f>'Cost Calculation'!AS50</f>
        <v>24471.353008332222</v>
      </c>
      <c r="O58" s="95"/>
    </row>
    <row r="59" spans="2:15" s="94" customFormat="1" ht="49.9" customHeight="1" thickTop="1" thickBot="1">
      <c r="B59" s="414">
        <f>Pricing!A47</f>
        <v>44</v>
      </c>
      <c r="C59" s="415"/>
      <c r="D59" s="187" t="str">
        <f>Pricing!B47</f>
        <v>FG17</v>
      </c>
      <c r="E59" s="187" t="str">
        <f>Pricing!C47</f>
        <v>M940</v>
      </c>
      <c r="F59" s="187" t="str">
        <f>Pricing!D47</f>
        <v>FIXED GLASS</v>
      </c>
      <c r="G59" s="187" t="str">
        <f>Pricing!N47</f>
        <v>20MM</v>
      </c>
      <c r="H59" s="187" t="str">
        <f>Pricing!F47</f>
        <v>3F - KITCHEN</v>
      </c>
      <c r="I59" s="216" t="str">
        <f>Pricing!E47</f>
        <v>NO</v>
      </c>
      <c r="J59" s="216">
        <f>Pricing!G47</f>
        <v>1562</v>
      </c>
      <c r="K59" s="216">
        <f>Pricing!H47</f>
        <v>1334</v>
      </c>
      <c r="L59" s="216">
        <f>Pricing!I47</f>
        <v>1</v>
      </c>
      <c r="M59" s="188">
        <f t="shared" si="2"/>
        <v>2.0837080000000001</v>
      </c>
      <c r="N59" s="189">
        <f>'Cost Calculation'!AS51</f>
        <v>24413.87736249006</v>
      </c>
      <c r="O59" s="95"/>
    </row>
    <row r="60" spans="2:15" s="94" customFormat="1" ht="49.9" customHeight="1" thickTop="1" thickBot="1">
      <c r="B60" s="414">
        <f>Pricing!A48</f>
        <v>45</v>
      </c>
      <c r="C60" s="415"/>
      <c r="D60" s="187" t="str">
        <f>Pricing!B48</f>
        <v>SW19</v>
      </c>
      <c r="E60" s="187" t="str">
        <f>Pricing!C48</f>
        <v>M900</v>
      </c>
      <c r="F60" s="187" t="str">
        <f>Pricing!D48</f>
        <v>3 TRACK 2 SHUTTER SLIDING WINDOW</v>
      </c>
      <c r="G60" s="187" t="str">
        <f>Pricing!N48</f>
        <v>20MM</v>
      </c>
      <c r="H60" s="187" t="str">
        <f>Pricing!F48</f>
        <v>3F - KITCHEN</v>
      </c>
      <c r="I60" s="216" t="str">
        <f>Pricing!E48</f>
        <v>SS</v>
      </c>
      <c r="J60" s="216">
        <f>Pricing!G48</f>
        <v>1380</v>
      </c>
      <c r="K60" s="216">
        <f>Pricing!H48</f>
        <v>897</v>
      </c>
      <c r="L60" s="216">
        <f>Pricing!I48</f>
        <v>1</v>
      </c>
      <c r="M60" s="188">
        <f t="shared" si="2"/>
        <v>1.23786</v>
      </c>
      <c r="N60" s="189">
        <f>'Cost Calculation'!AS52</f>
        <v>35894.178138015552</v>
      </c>
      <c r="O60" s="95"/>
    </row>
    <row r="61" spans="2:15" s="94" customFormat="1" ht="49.9" customHeight="1" thickTop="1" thickBot="1">
      <c r="B61" s="414">
        <f>Pricing!A49</f>
        <v>46</v>
      </c>
      <c r="C61" s="415"/>
      <c r="D61" s="187" t="str">
        <f>Pricing!B49</f>
        <v>V7</v>
      </c>
      <c r="E61" s="187" t="str">
        <f>Pricing!C49</f>
        <v>M940</v>
      </c>
      <c r="F61" s="187" t="str">
        <f>Pricing!D49</f>
        <v>Z LOUVERS</v>
      </c>
      <c r="G61" s="187" t="str">
        <f>Pricing!N49</f>
        <v>NA</v>
      </c>
      <c r="H61" s="187" t="str">
        <f>Pricing!F49</f>
        <v>3F - STORE</v>
      </c>
      <c r="I61" s="216" t="str">
        <f>Pricing!E49</f>
        <v>NO</v>
      </c>
      <c r="J61" s="216">
        <f>Pricing!G49</f>
        <v>646</v>
      </c>
      <c r="K61" s="216">
        <f>Pricing!H49</f>
        <v>592</v>
      </c>
      <c r="L61" s="216">
        <f>Pricing!I49</f>
        <v>1</v>
      </c>
      <c r="M61" s="188">
        <f t="shared" si="2"/>
        <v>0.38243199999999999</v>
      </c>
      <c r="N61" s="189">
        <f>'Cost Calculation'!AS53</f>
        <v>12856.750364586176</v>
      </c>
      <c r="O61" s="95"/>
    </row>
    <row r="62" spans="2:15" s="94" customFormat="1" ht="49.9" customHeight="1" thickTop="1" thickBot="1">
      <c r="B62" s="414">
        <f>Pricing!A50</f>
        <v>47</v>
      </c>
      <c r="C62" s="415"/>
      <c r="D62" s="187" t="str">
        <f>Pricing!B50</f>
        <v>V8</v>
      </c>
      <c r="E62" s="187" t="str">
        <f>Pricing!C50</f>
        <v>M940</v>
      </c>
      <c r="F62" s="187" t="str">
        <f>Pricing!D50</f>
        <v>Z LOUVERS</v>
      </c>
      <c r="G62" s="187" t="str">
        <f>Pricing!N50</f>
        <v>NA</v>
      </c>
      <c r="H62" s="187" t="str">
        <f>Pricing!F50</f>
        <v>3F - MD TOILET</v>
      </c>
      <c r="I62" s="216" t="str">
        <f>Pricing!E50</f>
        <v>NO</v>
      </c>
      <c r="J62" s="216">
        <f>Pricing!G50</f>
        <v>573</v>
      </c>
      <c r="K62" s="216">
        <f>Pricing!H50</f>
        <v>567</v>
      </c>
      <c r="L62" s="216">
        <f>Pricing!I50</f>
        <v>1</v>
      </c>
      <c r="M62" s="188">
        <f t="shared" si="2"/>
        <v>0.32489099999999999</v>
      </c>
      <c r="N62" s="189">
        <f>'Cost Calculation'!AS54</f>
        <v>12246.089514696694</v>
      </c>
      <c r="O62" s="95"/>
    </row>
    <row r="63" spans="2:15" s="94" customFormat="1" ht="49.9" customHeight="1" thickTop="1" thickBot="1">
      <c r="B63" s="414">
        <f>Pricing!A51</f>
        <v>48</v>
      </c>
      <c r="C63" s="415"/>
      <c r="D63" s="187" t="str">
        <f>Pricing!B51</f>
        <v>SW20</v>
      </c>
      <c r="E63" s="187" t="str">
        <f>Pricing!C51</f>
        <v>M900</v>
      </c>
      <c r="F63" s="187" t="str">
        <f>Pricing!D51</f>
        <v>3 TRACK 2 SHUTTER SLIDING WINDOW</v>
      </c>
      <c r="G63" s="187" t="str">
        <f>Pricing!N51</f>
        <v>20MM</v>
      </c>
      <c r="H63" s="187" t="str">
        <f>Pricing!F51</f>
        <v>3F - MD ROOM</v>
      </c>
      <c r="I63" s="216" t="str">
        <f>Pricing!E51</f>
        <v>SS</v>
      </c>
      <c r="J63" s="216">
        <f>Pricing!G51</f>
        <v>2475</v>
      </c>
      <c r="K63" s="216">
        <f>Pricing!H51</f>
        <v>1341</v>
      </c>
      <c r="L63" s="216">
        <f>Pricing!I51</f>
        <v>1</v>
      </c>
      <c r="M63" s="188">
        <f t="shared" si="2"/>
        <v>3.318975</v>
      </c>
      <c r="N63" s="189">
        <f>'Cost Calculation'!AS55</f>
        <v>60147.902764560611</v>
      </c>
      <c r="O63" s="95"/>
    </row>
    <row r="64" spans="2:15" s="94" customFormat="1" ht="49.9" customHeight="1" thickTop="1" thickBot="1">
      <c r="B64" s="414">
        <f>Pricing!A52</f>
        <v>49</v>
      </c>
      <c r="C64" s="415"/>
      <c r="D64" s="187" t="str">
        <f>Pricing!B52</f>
        <v>SW21</v>
      </c>
      <c r="E64" s="187" t="str">
        <f>Pricing!C52</f>
        <v>M900</v>
      </c>
      <c r="F64" s="187" t="str">
        <f>Pricing!D52</f>
        <v>3 TRACK 2 SHUTTER SLIDING WINDOW</v>
      </c>
      <c r="G64" s="187" t="str">
        <f>Pricing!N52</f>
        <v>20MM</v>
      </c>
      <c r="H64" s="187" t="str">
        <f>Pricing!F52</f>
        <v>3F - MD ROOM 2</v>
      </c>
      <c r="I64" s="216" t="str">
        <f>Pricing!E52</f>
        <v>SS</v>
      </c>
      <c r="J64" s="216">
        <f>Pricing!G52</f>
        <v>2447</v>
      </c>
      <c r="K64" s="216">
        <f>Pricing!H52</f>
        <v>1332</v>
      </c>
      <c r="L64" s="216">
        <f>Pricing!I52</f>
        <v>1</v>
      </c>
      <c r="M64" s="188">
        <f t="shared" si="2"/>
        <v>3.259404</v>
      </c>
      <c r="N64" s="189">
        <f>'Cost Calculation'!AS56</f>
        <v>59527.45360344684</v>
      </c>
      <c r="O64" s="95"/>
    </row>
    <row r="65" spans="2:15" s="94" customFormat="1" ht="49.9" customHeight="1" thickTop="1" thickBot="1">
      <c r="B65" s="414">
        <f>Pricing!A53</f>
        <v>50</v>
      </c>
      <c r="C65" s="415"/>
      <c r="D65" s="187" t="str">
        <f>Pricing!B53</f>
        <v>SW22</v>
      </c>
      <c r="E65" s="187" t="str">
        <f>Pricing!C53</f>
        <v>M900</v>
      </c>
      <c r="F65" s="187" t="str">
        <f>Pricing!D53</f>
        <v>3 TRACK 2 SHUTTER SLIDING WINDOW</v>
      </c>
      <c r="G65" s="187" t="str">
        <f>Pricing!N53</f>
        <v>20MM</v>
      </c>
      <c r="H65" s="187" t="str">
        <f>Pricing!F53</f>
        <v>3F - MD ROOM 3</v>
      </c>
      <c r="I65" s="216" t="str">
        <f>Pricing!E53</f>
        <v>SS</v>
      </c>
      <c r="J65" s="216">
        <f>Pricing!G53</f>
        <v>1858</v>
      </c>
      <c r="K65" s="216">
        <f>Pricing!H53</f>
        <v>1338</v>
      </c>
      <c r="L65" s="216">
        <f>Pricing!I53</f>
        <v>1</v>
      </c>
      <c r="M65" s="188">
        <f t="shared" si="2"/>
        <v>2.4860039999999999</v>
      </c>
      <c r="N65" s="189">
        <f>'Cost Calculation'!AS57</f>
        <v>51214.546410738607</v>
      </c>
      <c r="O65" s="95"/>
    </row>
    <row r="66" spans="2:15" s="94" customFormat="1" ht="49.9" customHeight="1" thickTop="1" thickBot="1">
      <c r="B66" s="414">
        <f>Pricing!A54</f>
        <v>51</v>
      </c>
      <c r="C66" s="415"/>
      <c r="D66" s="187" t="str">
        <f>Pricing!B54</f>
        <v>SW23</v>
      </c>
      <c r="E66" s="187" t="str">
        <f>Pricing!C54</f>
        <v>M900</v>
      </c>
      <c r="F66" s="187" t="str">
        <f>Pricing!D54</f>
        <v>3 TRACK 2 SHUTTER SLIDING WINDOW</v>
      </c>
      <c r="G66" s="187" t="str">
        <f>Pricing!N54</f>
        <v>20MM</v>
      </c>
      <c r="H66" s="187" t="str">
        <f>Pricing!F54</f>
        <v>3F - SMALL ROOM</v>
      </c>
      <c r="I66" s="229" t="str">
        <f>Pricing!E54</f>
        <v>SS</v>
      </c>
      <c r="J66" s="229">
        <f>Pricing!G54</f>
        <v>911</v>
      </c>
      <c r="K66" s="229">
        <f>Pricing!H54</f>
        <v>1295</v>
      </c>
      <c r="L66" s="229">
        <f>Pricing!I54</f>
        <v>1</v>
      </c>
      <c r="M66" s="188">
        <f t="shared" si="2"/>
        <v>1.179745</v>
      </c>
      <c r="N66" s="189">
        <f>'Cost Calculation'!AS58</f>
        <v>36886.331020460042</v>
      </c>
      <c r="O66" s="95"/>
    </row>
    <row r="67" spans="2:15" s="94" customFormat="1" ht="49.9" customHeight="1" thickTop="1" thickBot="1">
      <c r="B67" s="414">
        <f>Pricing!A55</f>
        <v>52</v>
      </c>
      <c r="C67" s="415"/>
      <c r="D67" s="187" t="str">
        <f>Pricing!B55</f>
        <v>V9</v>
      </c>
      <c r="E67" s="187" t="str">
        <f>Pricing!C55</f>
        <v>M940</v>
      </c>
      <c r="F67" s="187" t="str">
        <f>Pricing!D55</f>
        <v>Z LOUVERS</v>
      </c>
      <c r="G67" s="187" t="str">
        <f>Pricing!N55</f>
        <v>NA</v>
      </c>
      <c r="H67" s="187" t="str">
        <f>Pricing!F55</f>
        <v>3F - TOILET 1</v>
      </c>
      <c r="I67" s="229" t="str">
        <f>Pricing!E55</f>
        <v>NO</v>
      </c>
      <c r="J67" s="229">
        <f>Pricing!G55</f>
        <v>566</v>
      </c>
      <c r="K67" s="229">
        <f>Pricing!H55</f>
        <v>566</v>
      </c>
      <c r="L67" s="229">
        <f>Pricing!I55</f>
        <v>1</v>
      </c>
      <c r="M67" s="188">
        <f t="shared" si="2"/>
        <v>0.32035599999999997</v>
      </c>
      <c r="N67" s="189">
        <f>'Cost Calculation'!AS59</f>
        <v>12194.391158432605</v>
      </c>
      <c r="O67" s="95"/>
    </row>
    <row r="68" spans="2:15" s="94" customFormat="1" ht="49.9" customHeight="1" thickTop="1" thickBot="1">
      <c r="B68" s="414">
        <f>Pricing!A56</f>
        <v>53</v>
      </c>
      <c r="C68" s="415"/>
      <c r="D68" s="187" t="str">
        <f>Pricing!B56</f>
        <v>V10</v>
      </c>
      <c r="E68" s="187" t="str">
        <f>Pricing!C56</f>
        <v>M940</v>
      </c>
      <c r="F68" s="187" t="str">
        <f>Pricing!D56</f>
        <v>Z LOUVERS</v>
      </c>
      <c r="G68" s="187" t="str">
        <f>Pricing!N56</f>
        <v>NA</v>
      </c>
      <c r="H68" s="187" t="str">
        <f>Pricing!F56</f>
        <v>3F - TOILET 2</v>
      </c>
      <c r="I68" s="229" t="str">
        <f>Pricing!E56</f>
        <v>NO</v>
      </c>
      <c r="J68" s="229">
        <f>Pricing!G56</f>
        <v>571</v>
      </c>
      <c r="K68" s="229">
        <f>Pricing!H56</f>
        <v>565</v>
      </c>
      <c r="L68" s="229">
        <f>Pricing!I56</f>
        <v>1</v>
      </c>
      <c r="M68" s="188">
        <f t="shared" si="2"/>
        <v>0.32261499999999999</v>
      </c>
      <c r="N68" s="189">
        <f>'Cost Calculation'!AS60</f>
        <v>12218.396671026334</v>
      </c>
      <c r="O68" s="95"/>
    </row>
    <row r="69" spans="2:15" s="94" customFormat="1" ht="49.9" customHeight="1" thickTop="1" thickBot="1">
      <c r="B69" s="414">
        <f>Pricing!A57</f>
        <v>54</v>
      </c>
      <c r="C69" s="415"/>
      <c r="D69" s="187" t="str">
        <f>Pricing!B57</f>
        <v>FG18</v>
      </c>
      <c r="E69" s="187" t="str">
        <f>Pricing!C57</f>
        <v>M940</v>
      </c>
      <c r="F69" s="187" t="str">
        <f>Pricing!D57</f>
        <v>FIXED GLASS</v>
      </c>
      <c r="G69" s="187" t="str">
        <f>Pricing!N57</f>
        <v>20MM</v>
      </c>
      <c r="H69" s="187" t="str">
        <f>Pricing!F57</f>
        <v>3F - SERVANT ROOM</v>
      </c>
      <c r="I69" s="229" t="str">
        <f>Pricing!E57</f>
        <v>NO</v>
      </c>
      <c r="J69" s="229">
        <f>Pricing!G57</f>
        <v>865</v>
      </c>
      <c r="K69" s="229">
        <f>Pricing!H57</f>
        <v>1269</v>
      </c>
      <c r="L69" s="229">
        <f>Pricing!I57</f>
        <v>1</v>
      </c>
      <c r="M69" s="188">
        <f t="shared" si="2"/>
        <v>1.097685</v>
      </c>
      <c r="N69" s="189">
        <f>'Cost Calculation'!AS61</f>
        <v>16104.514035289812</v>
      </c>
      <c r="O69" s="95"/>
    </row>
    <row r="70" spans="2:15" s="94" customFormat="1" ht="49.9" customHeight="1" thickTop="1" thickBot="1">
      <c r="B70" s="414">
        <f>Pricing!A58</f>
        <v>55</v>
      </c>
      <c r="C70" s="415"/>
      <c r="D70" s="187" t="str">
        <f>Pricing!B58</f>
        <v>SW24</v>
      </c>
      <c r="E70" s="187" t="str">
        <f>Pricing!C58</f>
        <v>M900</v>
      </c>
      <c r="F70" s="187" t="str">
        <f>Pricing!D58</f>
        <v>3 TRACK 2 SHUTTER SLIDING WINDOW</v>
      </c>
      <c r="G70" s="187" t="str">
        <f>Pricing!N58</f>
        <v>20MM</v>
      </c>
      <c r="H70" s="187" t="str">
        <f>Pricing!F58</f>
        <v>3F</v>
      </c>
      <c r="I70" s="229" t="str">
        <f>Pricing!E58</f>
        <v>SS</v>
      </c>
      <c r="J70" s="229">
        <f>Pricing!G58</f>
        <v>1842</v>
      </c>
      <c r="K70" s="229">
        <f>Pricing!H58</f>
        <v>1253</v>
      </c>
      <c r="L70" s="229">
        <f>Pricing!I58</f>
        <v>1</v>
      </c>
      <c r="M70" s="188">
        <f t="shared" si="2"/>
        <v>2.3080259999999999</v>
      </c>
      <c r="N70" s="189">
        <f>'Cost Calculation'!AS62</f>
        <v>49164.647022164128</v>
      </c>
      <c r="O70" s="95"/>
    </row>
    <row r="71" spans="2:15" s="94" customFormat="1" ht="49.9" customHeight="1" thickTop="1" thickBot="1">
      <c r="B71" s="414">
        <f>Pricing!A59</f>
        <v>56</v>
      </c>
      <c r="C71" s="415"/>
      <c r="D71" s="187" t="str">
        <f>Pricing!B59</f>
        <v>SW25</v>
      </c>
      <c r="E71" s="187" t="str">
        <f>Pricing!C59</f>
        <v>M900</v>
      </c>
      <c r="F71" s="187" t="str">
        <f>Pricing!D59</f>
        <v>3 TRACK 2 SHUTTER SLIDING WINDOW</v>
      </c>
      <c r="G71" s="187" t="str">
        <f>Pricing!N59</f>
        <v>20MM</v>
      </c>
      <c r="H71" s="187" t="str">
        <f>Pricing!F59</f>
        <v>4F - RECEPTION</v>
      </c>
      <c r="I71" s="229" t="str">
        <f>Pricing!E59</f>
        <v>SS</v>
      </c>
      <c r="J71" s="229">
        <f>Pricing!G59</f>
        <v>3730</v>
      </c>
      <c r="K71" s="229">
        <f>Pricing!H59</f>
        <v>1295</v>
      </c>
      <c r="L71" s="229">
        <f>Pricing!I59</f>
        <v>1</v>
      </c>
      <c r="M71" s="188">
        <f t="shared" si="2"/>
        <v>4.8303500000000001</v>
      </c>
      <c r="N71" s="189">
        <f>'Cost Calculation'!AS63</f>
        <v>76787.253127143267</v>
      </c>
      <c r="O71" s="95"/>
    </row>
    <row r="72" spans="2:15" s="94" customFormat="1" ht="49.9" customHeight="1" thickTop="1" thickBot="1">
      <c r="B72" s="414">
        <f>Pricing!A60</f>
        <v>57</v>
      </c>
      <c r="C72" s="415"/>
      <c r="D72" s="187" t="str">
        <f>Pricing!B60</f>
        <v>SW26</v>
      </c>
      <c r="E72" s="187" t="str">
        <f>Pricing!C60</f>
        <v>M900</v>
      </c>
      <c r="F72" s="187" t="str">
        <f>Pricing!D60</f>
        <v>3 TRACK 2 SHUTTER SLIDING WINDOW</v>
      </c>
      <c r="G72" s="187" t="str">
        <f>Pricing!N60</f>
        <v>20MM</v>
      </c>
      <c r="H72" s="187" t="str">
        <f>Pricing!F60</f>
        <v>4F - CONFERENCE</v>
      </c>
      <c r="I72" s="229" t="str">
        <f>Pricing!E60</f>
        <v>SS</v>
      </c>
      <c r="J72" s="229">
        <f>Pricing!G60</f>
        <v>2441</v>
      </c>
      <c r="K72" s="229">
        <f>Pricing!H60</f>
        <v>1301</v>
      </c>
      <c r="L72" s="229">
        <f>Pricing!I60</f>
        <v>1</v>
      </c>
      <c r="M72" s="188">
        <f t="shared" si="2"/>
        <v>3.1757409999999999</v>
      </c>
      <c r="N72" s="189">
        <f>'Cost Calculation'!AS64</f>
        <v>58691.43517702409</v>
      </c>
      <c r="O72" s="95"/>
    </row>
    <row r="73" spans="2:15" s="94" customFormat="1" ht="49.9" customHeight="1" thickTop="1" thickBot="1">
      <c r="B73" s="414">
        <f>Pricing!A61</f>
        <v>58</v>
      </c>
      <c r="C73" s="415"/>
      <c r="D73" s="187" t="str">
        <f>Pricing!B61</f>
        <v>FG19</v>
      </c>
      <c r="E73" s="187" t="str">
        <f>Pricing!C61</f>
        <v>M940</v>
      </c>
      <c r="F73" s="187" t="str">
        <f>Pricing!D61</f>
        <v>FIXED GLASS</v>
      </c>
      <c r="G73" s="187" t="str">
        <f>Pricing!N61</f>
        <v>20MM</v>
      </c>
      <c r="H73" s="187" t="str">
        <f>Pricing!F61</f>
        <v>4F - CONFERENCE</v>
      </c>
      <c r="I73" s="229" t="str">
        <f>Pricing!E61</f>
        <v>NO</v>
      </c>
      <c r="J73" s="229">
        <f>Pricing!G61</f>
        <v>1524</v>
      </c>
      <c r="K73" s="229">
        <f>Pricing!H61</f>
        <v>1294</v>
      </c>
      <c r="L73" s="229">
        <f>Pricing!I61</f>
        <v>1</v>
      </c>
      <c r="M73" s="188">
        <f t="shared" si="2"/>
        <v>1.972056</v>
      </c>
      <c r="N73" s="189">
        <f>'Cost Calculation'!AS65</f>
        <v>23516.800259685839</v>
      </c>
      <c r="O73" s="95"/>
    </row>
    <row r="74" spans="2:15" s="94" customFormat="1" ht="49.9" customHeight="1" thickTop="1" thickBot="1">
      <c r="B74" s="414">
        <f>Pricing!A62</f>
        <v>59</v>
      </c>
      <c r="C74" s="415"/>
      <c r="D74" s="187" t="str">
        <f>Pricing!B62</f>
        <v>FG20</v>
      </c>
      <c r="E74" s="187" t="str">
        <f>Pricing!C62</f>
        <v>M940</v>
      </c>
      <c r="F74" s="187" t="str">
        <f>Pricing!D62</f>
        <v>FIXED GLASS</v>
      </c>
      <c r="G74" s="187" t="str">
        <f>Pricing!N62</f>
        <v>20MM</v>
      </c>
      <c r="H74" s="187" t="str">
        <f>Pricing!F62</f>
        <v>4F - HALL</v>
      </c>
      <c r="I74" s="229" t="str">
        <f>Pricing!E62</f>
        <v>NO</v>
      </c>
      <c r="J74" s="229">
        <f>Pricing!G62</f>
        <v>1564</v>
      </c>
      <c r="K74" s="229">
        <f>Pricing!H62</f>
        <v>1337</v>
      </c>
      <c r="L74" s="229">
        <f>Pricing!I62</f>
        <v>1</v>
      </c>
      <c r="M74" s="188">
        <f t="shared" si="2"/>
        <v>2.0910679999999999</v>
      </c>
      <c r="N74" s="189">
        <f>'Cost Calculation'!AS66</f>
        <v>24471.353008332222</v>
      </c>
      <c r="O74" s="95"/>
    </row>
    <row r="75" spans="2:15" s="94" customFormat="1" ht="49.9" customHeight="1" thickTop="1" thickBot="1">
      <c r="B75" s="414">
        <f>Pricing!A63</f>
        <v>60</v>
      </c>
      <c r="C75" s="415"/>
      <c r="D75" s="187" t="str">
        <f>Pricing!B63</f>
        <v>FG21</v>
      </c>
      <c r="E75" s="187" t="str">
        <f>Pricing!C63</f>
        <v>M940</v>
      </c>
      <c r="F75" s="187" t="str">
        <f>Pricing!D63</f>
        <v>FIXED GLASS</v>
      </c>
      <c r="G75" s="187" t="str">
        <f>Pricing!N63</f>
        <v>20MM</v>
      </c>
      <c r="H75" s="187" t="str">
        <f>Pricing!F63</f>
        <v>4F - HALL</v>
      </c>
      <c r="I75" s="229" t="str">
        <f>Pricing!E63</f>
        <v>NO</v>
      </c>
      <c r="J75" s="229">
        <f>Pricing!G63</f>
        <v>1564</v>
      </c>
      <c r="K75" s="229">
        <f>Pricing!H63</f>
        <v>1336</v>
      </c>
      <c r="L75" s="229">
        <f>Pricing!I63</f>
        <v>1</v>
      </c>
      <c r="M75" s="188">
        <f t="shared" si="2"/>
        <v>2.0895039999999998</v>
      </c>
      <c r="N75" s="189">
        <f>'Cost Calculation'!AS67</f>
        <v>24459.446131323781</v>
      </c>
      <c r="O75" s="95"/>
    </row>
    <row r="76" spans="2:15" s="94" customFormat="1" ht="49.9" customHeight="1" thickTop="1" thickBot="1">
      <c r="B76" s="414">
        <f>Pricing!A64</f>
        <v>61</v>
      </c>
      <c r="C76" s="415"/>
      <c r="D76" s="187" t="str">
        <f>Pricing!B64</f>
        <v>FG22</v>
      </c>
      <c r="E76" s="187" t="str">
        <f>Pricing!C64</f>
        <v>M940</v>
      </c>
      <c r="F76" s="187" t="str">
        <f>Pricing!D64</f>
        <v>FIXED GLASS</v>
      </c>
      <c r="G76" s="187" t="str">
        <f>Pricing!N64</f>
        <v>20MM</v>
      </c>
      <c r="H76" s="187" t="str">
        <f>Pricing!F64</f>
        <v>4F - HALL</v>
      </c>
      <c r="I76" s="229" t="str">
        <f>Pricing!E64</f>
        <v>NO</v>
      </c>
      <c r="J76" s="229">
        <f>Pricing!G64</f>
        <v>1563</v>
      </c>
      <c r="K76" s="229">
        <f>Pricing!H64</f>
        <v>1340</v>
      </c>
      <c r="L76" s="229">
        <f>Pricing!I64</f>
        <v>1</v>
      </c>
      <c r="M76" s="188">
        <f t="shared" si="2"/>
        <v>2.0944199999999999</v>
      </c>
      <c r="N76" s="189">
        <f>'Cost Calculation'!AS68</f>
        <v>24496.169278829082</v>
      </c>
      <c r="O76" s="95"/>
    </row>
    <row r="77" spans="2:15" s="94" customFormat="1" ht="49.9" customHeight="1" thickTop="1" thickBot="1">
      <c r="B77" s="414">
        <f>Pricing!A65</f>
        <v>62</v>
      </c>
      <c r="C77" s="415"/>
      <c r="D77" s="187" t="str">
        <f>Pricing!B65</f>
        <v>FG23</v>
      </c>
      <c r="E77" s="187" t="str">
        <f>Pricing!C65</f>
        <v>M940</v>
      </c>
      <c r="F77" s="187" t="str">
        <f>Pricing!D65</f>
        <v>FIXED GLASS</v>
      </c>
      <c r="G77" s="187" t="str">
        <f>Pricing!N65</f>
        <v>20MM</v>
      </c>
      <c r="H77" s="187" t="str">
        <f>Pricing!F65</f>
        <v>4F - KITCHEN</v>
      </c>
      <c r="I77" s="229" t="str">
        <f>Pricing!E65</f>
        <v>NO</v>
      </c>
      <c r="J77" s="229">
        <f>Pricing!G65</f>
        <v>1562</v>
      </c>
      <c r="K77" s="229">
        <f>Pricing!H65</f>
        <v>1336</v>
      </c>
      <c r="L77" s="229">
        <f>Pricing!I65</f>
        <v>1</v>
      </c>
      <c r="M77" s="188">
        <f t="shared" si="2"/>
        <v>2.0868319999999998</v>
      </c>
      <c r="N77" s="189">
        <f>'Cost Calculation'!AS69</f>
        <v>24437.673214426919</v>
      </c>
      <c r="O77" s="95"/>
    </row>
    <row r="78" spans="2:15" s="94" customFormat="1" ht="49.9" customHeight="1" thickTop="1" thickBot="1">
      <c r="B78" s="414">
        <f>Pricing!A66</f>
        <v>63</v>
      </c>
      <c r="C78" s="415"/>
      <c r="D78" s="187" t="str">
        <f>Pricing!B66</f>
        <v>SW27</v>
      </c>
      <c r="E78" s="187" t="str">
        <f>Pricing!C66</f>
        <v>M900</v>
      </c>
      <c r="F78" s="187" t="str">
        <f>Pricing!D66</f>
        <v>3 TRACK 2 SHUTTER SLIDING WINDOW</v>
      </c>
      <c r="G78" s="187" t="str">
        <f>Pricing!N66</f>
        <v>20MM</v>
      </c>
      <c r="H78" s="187" t="str">
        <f>Pricing!F66</f>
        <v>4F - KITCHEN</v>
      </c>
      <c r="I78" s="229" t="str">
        <f>Pricing!E66</f>
        <v>SS</v>
      </c>
      <c r="J78" s="229">
        <f>Pricing!G66</f>
        <v>2461</v>
      </c>
      <c r="K78" s="229">
        <f>Pricing!H66</f>
        <v>1326</v>
      </c>
      <c r="L78" s="229">
        <f>Pricing!I66</f>
        <v>1</v>
      </c>
      <c r="M78" s="188">
        <f t="shared" si="2"/>
        <v>3.2632859999999999</v>
      </c>
      <c r="N78" s="189">
        <f>'Cost Calculation'!AS70</f>
        <v>59581.892993357658</v>
      </c>
      <c r="O78" s="95"/>
    </row>
    <row r="79" spans="2:15" s="94" customFormat="1" ht="49.9" customHeight="1" thickTop="1" thickBot="1">
      <c r="B79" s="414">
        <f>Pricing!A67</f>
        <v>64</v>
      </c>
      <c r="C79" s="415"/>
      <c r="D79" s="187" t="str">
        <f>Pricing!B67</f>
        <v>V11</v>
      </c>
      <c r="E79" s="187" t="str">
        <f>Pricing!C67</f>
        <v>M940</v>
      </c>
      <c r="F79" s="187" t="str">
        <f>Pricing!D67</f>
        <v>Z LOUVERS</v>
      </c>
      <c r="G79" s="187" t="str">
        <f>Pricing!N67</f>
        <v>NA</v>
      </c>
      <c r="H79" s="187" t="str">
        <f>Pricing!F67</f>
        <v>4F - MD TOILET</v>
      </c>
      <c r="I79" s="229" t="str">
        <f>Pricing!E67</f>
        <v>NO</v>
      </c>
      <c r="J79" s="229">
        <f>Pricing!G67</f>
        <v>568</v>
      </c>
      <c r="K79" s="229">
        <f>Pricing!H67</f>
        <v>576</v>
      </c>
      <c r="L79" s="229">
        <f>Pricing!I67</f>
        <v>1</v>
      </c>
      <c r="M79" s="188">
        <f t="shared" si="2"/>
        <v>0.32716800000000001</v>
      </c>
      <c r="N79" s="189">
        <f>'Cost Calculation'!AS71</f>
        <v>12270.12990265042</v>
      </c>
      <c r="O79" s="95"/>
    </row>
    <row r="80" spans="2:15" s="94" customFormat="1" ht="49.9" customHeight="1" thickTop="1" thickBot="1">
      <c r="B80" s="414">
        <f>Pricing!A68</f>
        <v>65</v>
      </c>
      <c r="C80" s="415"/>
      <c r="D80" s="187" t="str">
        <f>Pricing!B68</f>
        <v>SW28</v>
      </c>
      <c r="E80" s="187" t="str">
        <f>Pricing!C68</f>
        <v>M900</v>
      </c>
      <c r="F80" s="187" t="str">
        <f>Pricing!D68</f>
        <v>3 TRACK 2 SHUTTER SLIDING WINDOW</v>
      </c>
      <c r="G80" s="187" t="str">
        <f>Pricing!N68</f>
        <v>20MM</v>
      </c>
      <c r="H80" s="187" t="str">
        <f>Pricing!F68</f>
        <v>4F - MD ROOM</v>
      </c>
      <c r="I80" s="229" t="str">
        <f>Pricing!E68</f>
        <v>SS</v>
      </c>
      <c r="J80" s="229">
        <f>Pricing!G68</f>
        <v>2483</v>
      </c>
      <c r="K80" s="229">
        <f>Pricing!H68</f>
        <v>1335</v>
      </c>
      <c r="L80" s="229">
        <f>Pricing!I68</f>
        <v>1</v>
      </c>
      <c r="M80" s="188">
        <f t="shared" si="2"/>
        <v>3.3148049999999998</v>
      </c>
      <c r="N80" s="189">
        <f>'Cost Calculation'!AS72</f>
        <v>60119.211201634309</v>
      </c>
      <c r="O80" s="95"/>
    </row>
    <row r="81" spans="2:15" s="94" customFormat="1" ht="49.9" customHeight="1" thickTop="1" thickBot="1">
      <c r="B81" s="414">
        <f>Pricing!A69</f>
        <v>66</v>
      </c>
      <c r="C81" s="415"/>
      <c r="D81" s="187" t="str">
        <f>Pricing!B69</f>
        <v>SW29</v>
      </c>
      <c r="E81" s="187" t="str">
        <f>Pricing!C69</f>
        <v>M900</v>
      </c>
      <c r="F81" s="187" t="str">
        <f>Pricing!D69</f>
        <v>3 TRACK 2 SHUTTER SLIDING WINDOW</v>
      </c>
      <c r="G81" s="187" t="str">
        <f>Pricing!N69</f>
        <v>20MM</v>
      </c>
      <c r="H81" s="187" t="str">
        <f>Pricing!F69</f>
        <v>4F - MD ROOM 2</v>
      </c>
      <c r="I81" s="229" t="str">
        <f>Pricing!E69</f>
        <v>SS</v>
      </c>
      <c r="J81" s="229">
        <f>Pricing!G69</f>
        <v>2481</v>
      </c>
      <c r="K81" s="229">
        <f>Pricing!H69</f>
        <v>1335</v>
      </c>
      <c r="L81" s="229">
        <f>Pricing!I69</f>
        <v>1</v>
      </c>
      <c r="M81" s="188">
        <f t="shared" si="2"/>
        <v>3.3121350000000001</v>
      </c>
      <c r="N81" s="189">
        <f>'Cost Calculation'!AS73</f>
        <v>60089.132553504198</v>
      </c>
      <c r="O81" s="95"/>
    </row>
    <row r="82" spans="2:15" s="94" customFormat="1" ht="49.9" customHeight="1" thickTop="1" thickBot="1">
      <c r="B82" s="414">
        <f>Pricing!A70</f>
        <v>67</v>
      </c>
      <c r="C82" s="415"/>
      <c r="D82" s="187" t="str">
        <f>Pricing!B70</f>
        <v>SW30</v>
      </c>
      <c r="E82" s="187" t="str">
        <f>Pricing!C70</f>
        <v>M900</v>
      </c>
      <c r="F82" s="187" t="str">
        <f>Pricing!D70</f>
        <v>3 TRACK 2 SHUTTER SLIDING WINDOW</v>
      </c>
      <c r="G82" s="187" t="str">
        <f>Pricing!N70</f>
        <v>20MM</v>
      </c>
      <c r="H82" s="187" t="str">
        <f>Pricing!F70</f>
        <v>4F - MD ROOM 3</v>
      </c>
      <c r="I82" s="229" t="str">
        <f>Pricing!E70</f>
        <v>SS</v>
      </c>
      <c r="J82" s="229">
        <f>Pricing!G70</f>
        <v>1865</v>
      </c>
      <c r="K82" s="229">
        <f>Pricing!H70</f>
        <v>1334</v>
      </c>
      <c r="L82" s="229">
        <f>Pricing!I70</f>
        <v>1</v>
      </c>
      <c r="M82" s="188">
        <f t="shared" si="2"/>
        <v>2.4879099999999998</v>
      </c>
      <c r="N82" s="189">
        <f>'Cost Calculation'!AS74</f>
        <v>51227.553129774024</v>
      </c>
      <c r="O82" s="95"/>
    </row>
    <row r="83" spans="2:15" s="94" customFormat="1" ht="49.9" customHeight="1" thickTop="1" thickBot="1">
      <c r="B83" s="414">
        <f>Pricing!A71</f>
        <v>68</v>
      </c>
      <c r="C83" s="415"/>
      <c r="D83" s="187" t="str">
        <f>Pricing!B71</f>
        <v>SW31</v>
      </c>
      <c r="E83" s="187" t="str">
        <f>Pricing!C71</f>
        <v>M900</v>
      </c>
      <c r="F83" s="187" t="str">
        <f>Pricing!D71</f>
        <v>3 TRACK 2 SHUTTER SLIDING WINDOW</v>
      </c>
      <c r="G83" s="187" t="str">
        <f>Pricing!N71</f>
        <v>20MM</v>
      </c>
      <c r="H83" s="187" t="str">
        <f>Pricing!F71</f>
        <v>4F - SMALL ROOM</v>
      </c>
      <c r="I83" s="229" t="str">
        <f>Pricing!E71</f>
        <v>SS</v>
      </c>
      <c r="J83" s="229">
        <f>Pricing!G71</f>
        <v>914</v>
      </c>
      <c r="K83" s="229">
        <f>Pricing!H71</f>
        <v>1295</v>
      </c>
      <c r="L83" s="229">
        <f>Pricing!I71</f>
        <v>1</v>
      </c>
      <c r="M83" s="188">
        <f t="shared" si="2"/>
        <v>1.18363</v>
      </c>
      <c r="N83" s="189">
        <f>'Cost Calculation'!AS75</f>
        <v>36927.212328218608</v>
      </c>
      <c r="O83" s="95"/>
    </row>
    <row r="84" spans="2:15" s="94" customFormat="1" ht="49.9" customHeight="1" thickTop="1" thickBot="1">
      <c r="B84" s="414">
        <f>Pricing!A72</f>
        <v>69</v>
      </c>
      <c r="C84" s="415"/>
      <c r="D84" s="187" t="str">
        <f>Pricing!B72</f>
        <v>V12</v>
      </c>
      <c r="E84" s="187" t="str">
        <f>Pricing!C72</f>
        <v>M940</v>
      </c>
      <c r="F84" s="187" t="str">
        <f>Pricing!D72</f>
        <v>Z LOUVERS</v>
      </c>
      <c r="G84" s="187" t="str">
        <f>Pricing!N72</f>
        <v>NA</v>
      </c>
      <c r="H84" s="187" t="str">
        <f>Pricing!F72</f>
        <v>4F - TOILET 1</v>
      </c>
      <c r="I84" s="229" t="str">
        <f>Pricing!E72</f>
        <v>NO</v>
      </c>
      <c r="J84" s="229">
        <f>Pricing!G72</f>
        <v>570</v>
      </c>
      <c r="K84" s="229">
        <f>Pricing!H72</f>
        <v>569</v>
      </c>
      <c r="L84" s="229">
        <f>Pricing!I72</f>
        <v>1</v>
      </c>
      <c r="M84" s="188">
        <f t="shared" si="2"/>
        <v>0.32433000000000001</v>
      </c>
      <c r="N84" s="189">
        <f>'Cost Calculation'!AS76</f>
        <v>12240.095402248258</v>
      </c>
      <c r="O84" s="95"/>
    </row>
    <row r="85" spans="2:15" s="94" customFormat="1" ht="49.9" customHeight="1" thickTop="1" thickBot="1">
      <c r="B85" s="414">
        <f>Pricing!A73</f>
        <v>70</v>
      </c>
      <c r="C85" s="415"/>
      <c r="D85" s="187" t="str">
        <f>Pricing!B73</f>
        <v>V13</v>
      </c>
      <c r="E85" s="187" t="str">
        <f>Pricing!C73</f>
        <v>M940</v>
      </c>
      <c r="F85" s="187" t="str">
        <f>Pricing!D73</f>
        <v>Z LOUVERS</v>
      </c>
      <c r="G85" s="187" t="str">
        <f>Pricing!N73</f>
        <v>NA</v>
      </c>
      <c r="H85" s="187" t="str">
        <f>Pricing!F73</f>
        <v>4F - TOILET 2</v>
      </c>
      <c r="I85" s="229" t="str">
        <f>Pricing!E73</f>
        <v>NO</v>
      </c>
      <c r="J85" s="229">
        <f>Pricing!G73</f>
        <v>572</v>
      </c>
      <c r="K85" s="229">
        <f>Pricing!H73</f>
        <v>568</v>
      </c>
      <c r="L85" s="229">
        <f>Pricing!I73</f>
        <v>1</v>
      </c>
      <c r="M85" s="188">
        <f t="shared" si="2"/>
        <v>0.32489600000000002</v>
      </c>
      <c r="N85" s="189">
        <f>'Cost Calculation'!AS77</f>
        <v>12246.099202296695</v>
      </c>
      <c r="O85" s="95"/>
    </row>
    <row r="86" spans="2:15" s="94" customFormat="1" ht="49.9" customHeight="1" thickTop="1" thickBot="1">
      <c r="B86" s="414">
        <f>Pricing!A74</f>
        <v>71</v>
      </c>
      <c r="C86" s="415"/>
      <c r="D86" s="187" t="str">
        <f>Pricing!B74</f>
        <v>FG24</v>
      </c>
      <c r="E86" s="187" t="str">
        <f>Pricing!C74</f>
        <v>M940</v>
      </c>
      <c r="F86" s="187" t="str">
        <f>Pricing!D74</f>
        <v>FIXED GLASS</v>
      </c>
      <c r="G86" s="187" t="str">
        <f>Pricing!N74</f>
        <v>20MM</v>
      </c>
      <c r="H86" s="187" t="str">
        <f>Pricing!F74</f>
        <v>4F - SERVANT ROOM</v>
      </c>
      <c r="I86" s="229" t="str">
        <f>Pricing!E74</f>
        <v>NO</v>
      </c>
      <c r="J86" s="229">
        <f>Pricing!G74</f>
        <v>865</v>
      </c>
      <c r="K86" s="229">
        <f>Pricing!H74</f>
        <v>1267</v>
      </c>
      <c r="L86" s="229">
        <f>Pricing!I74</f>
        <v>1</v>
      </c>
      <c r="M86" s="188">
        <f t="shared" si="2"/>
        <v>1.095955</v>
      </c>
      <c r="N86" s="189">
        <f>'Cost Calculation'!AS78</f>
        <v>16086.957058232947</v>
      </c>
      <c r="O86" s="95"/>
    </row>
    <row r="87" spans="2:15" s="94" customFormat="1" ht="49.9" customHeight="1" thickTop="1" thickBot="1">
      <c r="B87" s="414">
        <f>Pricing!A75</f>
        <v>72</v>
      </c>
      <c r="C87" s="415"/>
      <c r="D87" s="187" t="str">
        <f>Pricing!B75</f>
        <v>SW32</v>
      </c>
      <c r="E87" s="187" t="str">
        <f>Pricing!C75</f>
        <v>M900</v>
      </c>
      <c r="F87" s="187" t="str">
        <f>Pricing!D75</f>
        <v>3 TRACK 2 SHUTTER SLIDING WINDOW</v>
      </c>
      <c r="G87" s="187" t="str">
        <f>Pricing!N75</f>
        <v>20MM</v>
      </c>
      <c r="H87" s="187" t="str">
        <f>Pricing!F75</f>
        <v>4F - STAIRCASE</v>
      </c>
      <c r="I87" s="229" t="str">
        <f>Pricing!E75</f>
        <v>SS</v>
      </c>
      <c r="J87" s="229">
        <f>Pricing!G75</f>
        <v>1844</v>
      </c>
      <c r="K87" s="229">
        <f>Pricing!H75</f>
        <v>1201</v>
      </c>
      <c r="L87" s="229">
        <f>Pricing!I75</f>
        <v>1</v>
      </c>
      <c r="M87" s="188">
        <f t="shared" si="2"/>
        <v>2.2146439999999998</v>
      </c>
      <c r="N87" s="189">
        <f>'Cost Calculation'!AS79</f>
        <v>48078.809409339883</v>
      </c>
      <c r="O87" s="95"/>
    </row>
    <row r="88" spans="2:15" s="94" customFormat="1" ht="49.9" customHeight="1" thickTop="1" thickBot="1">
      <c r="B88" s="414">
        <f>Pricing!A76</f>
        <v>73</v>
      </c>
      <c r="C88" s="415"/>
      <c r="D88" s="187" t="str">
        <f>Pricing!B76</f>
        <v>FG25</v>
      </c>
      <c r="E88" s="187" t="str">
        <f>Pricing!C76</f>
        <v>M940</v>
      </c>
      <c r="F88" s="187" t="str">
        <f>Pricing!D76</f>
        <v>FIXED GLASS</v>
      </c>
      <c r="G88" s="187" t="str">
        <f>Pricing!N76</f>
        <v>20MM</v>
      </c>
      <c r="H88" s="187" t="str">
        <f>Pricing!F76</f>
        <v>BF - SERVANT ROOM</v>
      </c>
      <c r="I88" s="229" t="str">
        <f>Pricing!E76</f>
        <v>NO</v>
      </c>
      <c r="J88" s="229">
        <f>Pricing!G76</f>
        <v>866</v>
      </c>
      <c r="K88" s="229">
        <f>Pricing!H76</f>
        <v>816</v>
      </c>
      <c r="L88" s="229">
        <f>Pricing!I76</f>
        <v>1</v>
      </c>
      <c r="M88" s="188">
        <f t="shared" si="2"/>
        <v>0.70665599999999995</v>
      </c>
      <c r="N88" s="189">
        <f>'Cost Calculation'!AS80</f>
        <v>12056.021268752706</v>
      </c>
      <c r="O88" s="95"/>
    </row>
    <row r="89" spans="2:15" s="94" customFormat="1" ht="49.9" customHeight="1" thickTop="1" thickBot="1">
      <c r="B89" s="414">
        <f>Pricing!A77</f>
        <v>74</v>
      </c>
      <c r="C89" s="415"/>
      <c r="D89" s="187" t="str">
        <f>Pricing!B77</f>
        <v>SW33</v>
      </c>
      <c r="E89" s="187" t="str">
        <f>Pricing!C77</f>
        <v>M900</v>
      </c>
      <c r="F89" s="187" t="str">
        <f>Pricing!D77</f>
        <v>3 TRACK 2 SHUTTER SLIDING WINDOW</v>
      </c>
      <c r="G89" s="187" t="str">
        <f>Pricing!N77</f>
        <v>20MM</v>
      </c>
      <c r="H89" s="187" t="str">
        <f>Pricing!F77</f>
        <v>BF - STAIRCASE</v>
      </c>
      <c r="I89" s="229" t="str">
        <f>Pricing!E77</f>
        <v>SS</v>
      </c>
      <c r="J89" s="229">
        <f>Pricing!G77</f>
        <v>1809</v>
      </c>
      <c r="K89" s="229">
        <f>Pricing!H77</f>
        <v>819</v>
      </c>
      <c r="L89" s="229">
        <f>Pricing!I77</f>
        <v>1</v>
      </c>
      <c r="M89" s="188">
        <f t="shared" si="2"/>
        <v>1.481571</v>
      </c>
      <c r="N89" s="189">
        <f>'Cost Calculation'!AS81</f>
        <v>39482.51327880477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74</v>
      </c>
      <c r="M116" s="191">
        <f>SUM(M16:M115)</f>
        <v>147.09823800000001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2623532</v>
      </c>
      <c r="O117" s="95">
        <f>N117/SUM(M116)</f>
        <v>17835.237428200871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472236</v>
      </c>
      <c r="O118" s="95">
        <f>N118/SUM(M116)</f>
        <v>3210.3443686388682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3095768</v>
      </c>
      <c r="O119" s="95">
        <f>N119/SUM(M116)</f>
        <v>21045.581796839742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1656.9339862691261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568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388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512" t="s">
        <v>404</v>
      </c>
      <c r="E129" s="512"/>
      <c r="F129" s="512"/>
      <c r="G129" s="512"/>
      <c r="H129" s="512"/>
      <c r="I129" s="512"/>
      <c r="J129" s="512"/>
      <c r="K129" s="512"/>
      <c r="L129" s="512"/>
      <c r="M129" s="512"/>
      <c r="N129" s="513"/>
    </row>
    <row r="130" spans="2:14" s="139" customFormat="1" ht="30" customHeight="1">
      <c r="B130" s="494" t="s">
        <v>141</v>
      </c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6"/>
    </row>
    <row r="131" spans="2:14" s="93" customFormat="1" ht="24.95" customHeight="1">
      <c r="B131" s="410">
        <v>1</v>
      </c>
      <c r="C131" s="411"/>
      <c r="D131" s="412" t="s">
        <v>142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2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3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94" t="s">
        <v>145</v>
      </c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6"/>
    </row>
    <row r="135" spans="2:14" s="139" customFormat="1" ht="30" customHeight="1">
      <c r="B135" s="509" t="s">
        <v>146</v>
      </c>
      <c r="C135" s="510"/>
      <c r="D135" s="510"/>
      <c r="E135" s="510"/>
      <c r="F135" s="510"/>
      <c r="G135" s="510"/>
      <c r="H135" s="510"/>
      <c r="I135" s="510"/>
      <c r="J135" s="510"/>
      <c r="K135" s="510"/>
      <c r="L135" s="510"/>
      <c r="M135" s="510"/>
      <c r="N135" s="511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401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94" t="s">
        <v>152</v>
      </c>
      <c r="C142" s="495"/>
      <c r="D142" s="495"/>
      <c r="E142" s="495"/>
      <c r="F142" s="495"/>
      <c r="G142" s="495"/>
      <c r="H142" s="495"/>
      <c r="I142" s="495"/>
      <c r="J142" s="495"/>
      <c r="K142" s="495"/>
      <c r="L142" s="495"/>
      <c r="M142" s="495"/>
      <c r="N142" s="496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7" t="s">
        <v>421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9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94" t="s">
        <v>156</v>
      </c>
      <c r="C147" s="495"/>
      <c r="D147" s="495"/>
      <c r="E147" s="495"/>
      <c r="F147" s="495"/>
      <c r="G147" s="495"/>
      <c r="H147" s="495"/>
      <c r="I147" s="495"/>
      <c r="J147" s="495"/>
      <c r="K147" s="495"/>
      <c r="L147" s="495"/>
      <c r="M147" s="495"/>
      <c r="N147" s="496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7" t="s">
        <v>158</v>
      </c>
      <c r="E149" s="498"/>
      <c r="F149" s="498"/>
      <c r="G149" s="498"/>
      <c r="H149" s="498"/>
      <c r="I149" s="498"/>
      <c r="J149" s="498"/>
      <c r="K149" s="498"/>
      <c r="L149" s="498"/>
      <c r="M149" s="498"/>
      <c r="N149" s="499"/>
    </row>
    <row r="150" spans="2:14" s="140" customFormat="1" ht="30" customHeight="1">
      <c r="B150" s="494" t="s">
        <v>159</v>
      </c>
      <c r="C150" s="495"/>
      <c r="D150" s="495"/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93" customFormat="1" ht="24.95" customHeight="1">
      <c r="B151" s="410">
        <v>1</v>
      </c>
      <c r="C151" s="411"/>
      <c r="D151" s="472" t="s">
        <v>160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24.95" customHeight="1">
      <c r="B152" s="410">
        <v>2</v>
      </c>
      <c r="C152" s="411"/>
      <c r="D152" s="472" t="s">
        <v>161</v>
      </c>
      <c r="E152" s="472"/>
      <c r="F152" s="472"/>
      <c r="G152" s="472"/>
      <c r="H152" s="472"/>
      <c r="I152" s="472"/>
      <c r="J152" s="472"/>
      <c r="K152" s="472"/>
      <c r="L152" s="472"/>
      <c r="M152" s="472"/>
      <c r="N152" s="473"/>
    </row>
    <row r="153" spans="2:14" s="93" customFormat="1" ht="49.9" customHeight="1">
      <c r="B153" s="410">
        <v>3</v>
      </c>
      <c r="C153" s="411"/>
      <c r="D153" s="491" t="s">
        <v>162</v>
      </c>
      <c r="E153" s="492"/>
      <c r="F153" s="492"/>
      <c r="G153" s="492"/>
      <c r="H153" s="492"/>
      <c r="I153" s="492"/>
      <c r="J153" s="492"/>
      <c r="K153" s="492"/>
      <c r="L153" s="492"/>
      <c r="M153" s="492"/>
      <c r="N153" s="493"/>
    </row>
    <row r="154" spans="2:14" s="93" customFormat="1" ht="24.95" customHeight="1">
      <c r="B154" s="410">
        <v>4</v>
      </c>
      <c r="C154" s="411"/>
      <c r="D154" s="472" t="s">
        <v>163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140" customFormat="1" ht="30" customHeight="1">
      <c r="B155" s="494" t="s">
        <v>164</v>
      </c>
      <c r="C155" s="495"/>
      <c r="D155" s="495"/>
      <c r="E155" s="495"/>
      <c r="F155" s="495"/>
      <c r="G155" s="495"/>
      <c r="H155" s="495"/>
      <c r="I155" s="495"/>
      <c r="J155" s="495"/>
      <c r="K155" s="495"/>
      <c r="L155" s="495"/>
      <c r="M155" s="495"/>
      <c r="N155" s="496"/>
    </row>
    <row r="156" spans="2:14" s="93" customFormat="1" ht="24.95" customHeight="1">
      <c r="B156" s="410">
        <v>1</v>
      </c>
      <c r="C156" s="411"/>
      <c r="D156" s="472" t="s">
        <v>165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2</v>
      </c>
      <c r="C157" s="411"/>
      <c r="D157" s="472" t="s">
        <v>166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3</v>
      </c>
      <c r="C158" s="411"/>
      <c r="D158" s="472" t="s">
        <v>167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0">
        <v>4</v>
      </c>
      <c r="C159" s="411"/>
      <c r="D159" s="472" t="s">
        <v>400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54" t="s">
        <v>239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24.95" customHeight="1">
      <c r="B161" s="454" t="s">
        <v>240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41.25" customHeight="1">
      <c r="B162" s="480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2"/>
    </row>
    <row r="163" spans="2:14" s="93" customFormat="1" ht="39.950000000000003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41.25" customHeight="1">
      <c r="B164" s="483"/>
      <c r="C164" s="484"/>
      <c r="D164" s="484"/>
      <c r="E164" s="484"/>
      <c r="F164" s="484"/>
      <c r="G164" s="484"/>
      <c r="H164" s="484"/>
      <c r="I164" s="484"/>
      <c r="J164" s="484"/>
      <c r="K164" s="484"/>
      <c r="L164" s="484"/>
      <c r="M164" s="484"/>
      <c r="N164" s="485"/>
    </row>
    <row r="165" spans="2:14" s="93" customFormat="1" ht="39.950000000000003" customHeight="1" thickBot="1">
      <c r="B165" s="486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7"/>
      <c r="N165" s="488"/>
    </row>
    <row r="166" spans="2:14" s="93" customFormat="1" ht="30" customHeight="1" thickTop="1">
      <c r="B166" s="468" t="s">
        <v>110</v>
      </c>
      <c r="C166" s="469"/>
      <c r="D166" s="469"/>
      <c r="E166" s="474"/>
      <c r="F166" s="475"/>
      <c r="G166" s="475"/>
      <c r="H166" s="475"/>
      <c r="I166" s="475"/>
      <c r="J166" s="475"/>
      <c r="K166" s="475"/>
      <c r="L166" s="476"/>
      <c r="M166" s="469" t="s">
        <v>204</v>
      </c>
      <c r="N166" s="470"/>
    </row>
    <row r="167" spans="2:14" s="93" customFormat="1" ht="33" customHeight="1" thickBot="1">
      <c r="B167" s="471" t="s">
        <v>107</v>
      </c>
      <c r="C167" s="466"/>
      <c r="D167" s="466"/>
      <c r="E167" s="477"/>
      <c r="F167" s="478"/>
      <c r="G167" s="478"/>
      <c r="H167" s="478"/>
      <c r="I167" s="478"/>
      <c r="J167" s="478"/>
      <c r="K167" s="478"/>
      <c r="L167" s="479"/>
      <c r="M167" s="466" t="s">
        <v>108</v>
      </c>
      <c r="N167" s="46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43701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Ravi Varma</v>
      </c>
      <c r="E3" s="519"/>
      <c r="F3" s="522" t="s">
        <v>245</v>
      </c>
      <c r="G3" s="523">
        <f>QUOTATION!N8</f>
        <v>43701</v>
      </c>
    </row>
    <row r="4" spans="3:13">
      <c r="C4" s="297" t="s">
        <v>242</v>
      </c>
      <c r="D4" s="520" t="str">
        <f>QUOTATION!M6</f>
        <v>ABPL-DE-19.20-2169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 xml:space="preserve">Mr. Jagadish : 8008103070 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White Powder Coating</v>
      </c>
      <c r="E8" s="519"/>
      <c r="F8" s="522"/>
      <c r="G8" s="524"/>
    </row>
    <row r="9" spans="3:13">
      <c r="C9" s="297" t="s">
        <v>177</v>
      </c>
      <c r="D9" s="519" t="str">
        <f>QUOTATION!I10</f>
        <v>White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Pradeep</v>
      </c>
      <c r="E11" s="519"/>
      <c r="F11" s="522"/>
      <c r="G11" s="524"/>
    </row>
    <row r="12" spans="3:13">
      <c r="C12" s="297" t="s">
        <v>243</v>
      </c>
      <c r="D12" s="521">
        <f>QUOTATION!M7</f>
        <v>43701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4614.6299999999992</v>
      </c>
      <c r="F14" s="205"/>
      <c r="G14" s="206">
        <f>E14</f>
        <v>4614.6299999999992</v>
      </c>
    </row>
    <row r="15" spans="3:13">
      <c r="C15" s="194" t="s">
        <v>234</v>
      </c>
      <c r="D15" s="296">
        <f>'Changable Values'!D4</f>
        <v>83</v>
      </c>
      <c r="E15" s="199">
        <f>E14*D15</f>
        <v>383014.28999999992</v>
      </c>
      <c r="F15" s="205"/>
      <c r="G15" s="207">
        <f>E15</f>
        <v>383014.28999999992</v>
      </c>
    </row>
    <row r="16" spans="3:13">
      <c r="C16" s="195" t="s">
        <v>97</v>
      </c>
      <c r="D16" s="200">
        <f>'Changable Values'!D5</f>
        <v>0.1</v>
      </c>
      <c r="E16" s="199">
        <f>E15*D16</f>
        <v>38301.428999999996</v>
      </c>
      <c r="F16" s="208">
        <f>'Changable Values'!D5</f>
        <v>0.1</v>
      </c>
      <c r="G16" s="207">
        <f>G15*F16</f>
        <v>38301.428999999996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46344.729089999993</v>
      </c>
      <c r="F17" s="208">
        <f>'Changable Values'!D6</f>
        <v>0.11</v>
      </c>
      <c r="G17" s="207">
        <f>SUM(G15:G16)*F17</f>
        <v>46344.729089999993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2338.3022404499998</v>
      </c>
      <c r="F18" s="208">
        <f>'Changable Values'!D7</f>
        <v>5.0000000000000001E-3</v>
      </c>
      <c r="G18" s="207">
        <f>SUM(G15:G17)*F18</f>
        <v>2338.3022404499998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4699.9875033044991</v>
      </c>
      <c r="F19" s="208">
        <f>'Changable Values'!D8</f>
        <v>0.01</v>
      </c>
      <c r="G19" s="207">
        <f>SUM(G15:G18)*F19</f>
        <v>4699.9875033044991</v>
      </c>
    </row>
    <row r="20" spans="3:7">
      <c r="C20" s="195" t="s">
        <v>99</v>
      </c>
      <c r="D20" s="201"/>
      <c r="E20" s="199">
        <f>SUM(E15:E19)</f>
        <v>474698.73783375439</v>
      </c>
      <c r="F20" s="208"/>
      <c r="G20" s="207">
        <f>SUM(G15:G19)</f>
        <v>474698.73783375439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7120.4810675063154</v>
      </c>
      <c r="F21" s="208">
        <f>'Changable Values'!D9</f>
        <v>1.4999999999999999E-2</v>
      </c>
      <c r="G21" s="207">
        <f>G20*F21</f>
        <v>7120.4810675063154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361500.35486400005</v>
      </c>
      <c r="F23" s="209"/>
      <c r="G23" s="207">
        <f t="shared" si="0"/>
        <v>361500.35486400005</v>
      </c>
    </row>
    <row r="24" spans="3:7">
      <c r="C24" s="195" t="s">
        <v>229</v>
      </c>
      <c r="D24" s="198"/>
      <c r="E24" s="199">
        <f>'Cost Calculation'!AH111</f>
        <v>72814.958262295069</v>
      </c>
      <c r="F24" s="209"/>
      <c r="G24" s="207">
        <f t="shared" si="0"/>
        <v>72814.958262295069</v>
      </c>
    </row>
    <row r="25" spans="3:7">
      <c r="C25" s="196" t="s">
        <v>237</v>
      </c>
      <c r="D25" s="198"/>
      <c r="E25" s="199">
        <f>'Cost Calculation'!AJ109</f>
        <v>35806.392072360002</v>
      </c>
      <c r="F25" s="209"/>
      <c r="G25" s="207">
        <f t="shared" si="0"/>
        <v>35806.392072360002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158336.54338319995</v>
      </c>
      <c r="F27" s="209"/>
      <c r="G27" s="207">
        <f t="shared" si="0"/>
        <v>158336.54338319995</v>
      </c>
    </row>
    <row r="28" spans="3:7">
      <c r="C28" s="195" t="s">
        <v>88</v>
      </c>
      <c r="D28" s="198"/>
      <c r="E28" s="199">
        <f>'Cost Calculation'!AN109</f>
        <v>126669.23470655999</v>
      </c>
      <c r="F28" s="209"/>
      <c r="G28" s="207">
        <f t="shared" si="0"/>
        <v>126669.23470655999</v>
      </c>
    </row>
    <row r="29" spans="3:7">
      <c r="C29" s="293" t="s">
        <v>378</v>
      </c>
      <c r="D29" s="294"/>
      <c r="E29" s="295">
        <f>SUM(E20:E28)</f>
        <v>1236946.7021896758</v>
      </c>
      <c r="F29" s="209"/>
      <c r="G29" s="207">
        <f>SUM(G20:G21,G24)</f>
        <v>554634.17716355575</v>
      </c>
    </row>
    <row r="30" spans="3:7">
      <c r="C30" s="293" t="s">
        <v>379</v>
      </c>
      <c r="D30" s="294"/>
      <c r="E30" s="295">
        <f>E29/E33</f>
        <v>781.21365779475479</v>
      </c>
      <c r="F30" s="209"/>
      <c r="G30" s="207"/>
    </row>
    <row r="31" spans="3:7">
      <c r="C31" s="195" t="s">
        <v>4</v>
      </c>
      <c r="D31" s="202">
        <f>'Changable Values'!D23</f>
        <v>2.5</v>
      </c>
      <c r="E31" s="199">
        <f>(E29-SUM(E22:E23,E25:E28))*D31</f>
        <v>1386585.4429088894</v>
      </c>
      <c r="F31" s="214">
        <f>'Changable Values'!D23</f>
        <v>2.5</v>
      </c>
      <c r="G31" s="207">
        <f>G29*F31</f>
        <v>1386585.4429088894</v>
      </c>
    </row>
    <row r="32" spans="3:7">
      <c r="C32" s="290" t="s">
        <v>5</v>
      </c>
      <c r="D32" s="291"/>
      <c r="E32" s="292">
        <f>E31+E29</f>
        <v>2623532.1450985651</v>
      </c>
      <c r="F32" s="205"/>
      <c r="G32" s="207">
        <f>SUM(G25:G31,G22:G23)</f>
        <v>2623532.1450985647</v>
      </c>
    </row>
    <row r="33" spans="3:7">
      <c r="C33" s="300" t="s">
        <v>230</v>
      </c>
      <c r="D33" s="301"/>
      <c r="E33" s="308">
        <f>'Cost Calculation'!K109</f>
        <v>1583.3654338320002</v>
      </c>
      <c r="F33" s="210"/>
      <c r="G33" s="211">
        <f>E33</f>
        <v>1583.3654338320002</v>
      </c>
    </row>
    <row r="34" spans="3:7">
      <c r="C34" s="302" t="s">
        <v>9</v>
      </c>
      <c r="D34" s="303"/>
      <c r="E34" s="304">
        <f>QUOTATION!L116</f>
        <v>74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1656.9340779084671</v>
      </c>
      <c r="F35" s="212"/>
      <c r="G35" s="213">
        <f>G32/(G33)</f>
        <v>1656.9340779084666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2019-08-24T11:26:02Z</cp:lastPrinted>
  <dcterms:created xsi:type="dcterms:W3CDTF">2010-12-18T06:34:46Z</dcterms:created>
  <dcterms:modified xsi:type="dcterms:W3CDTF">2019-08-28T10:28:58Z</dcterms:modified>
</cp:coreProperties>
</file>