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Drawings!$C$2:$O$106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12" i="158" l="1"/>
  <c r="S11" i="158"/>
  <c r="S10" i="158"/>
  <c r="N9" i="163"/>
  <c r="O9" i="163" s="1"/>
  <c r="P9" i="163" s="1"/>
  <c r="N7" i="163"/>
  <c r="O7" i="163" s="1"/>
  <c r="P7" i="163" s="1"/>
  <c r="O5" i="158" l="1"/>
  <c r="O6" i="158"/>
  <c r="O7" i="158"/>
  <c r="O8" i="158"/>
  <c r="O9" i="158"/>
  <c r="O10" i="158"/>
  <c r="O11" i="158"/>
  <c r="O12" i="158"/>
  <c r="O4" i="158"/>
  <c r="N6" i="166" l="1"/>
  <c r="A8" i="169" l="1"/>
  <c r="U3" i="169" l="1"/>
  <c r="U4" i="169"/>
  <c r="U5" i="169"/>
  <c r="U6" i="169"/>
  <c r="U7" i="169"/>
  <c r="U8" i="169"/>
  <c r="U9" i="169"/>
  <c r="U10" i="169"/>
  <c r="U2" i="169"/>
  <c r="T3" i="169"/>
  <c r="T4" i="169"/>
  <c r="T5" i="169"/>
  <c r="T6" i="169"/>
  <c r="T7" i="169"/>
  <c r="T8" i="169"/>
  <c r="T9" i="169"/>
  <c r="T10" i="169"/>
  <c r="T2" i="169"/>
  <c r="S2" i="169"/>
  <c r="S3" i="169"/>
  <c r="S4" i="169"/>
  <c r="S5" i="169"/>
  <c r="S6" i="169"/>
  <c r="S7" i="169"/>
  <c r="S8" i="169"/>
  <c r="S9" i="169"/>
  <c r="S10" i="169"/>
  <c r="R2" i="169"/>
  <c r="R3" i="169"/>
  <c r="R4" i="169"/>
  <c r="R5" i="169"/>
  <c r="R6" i="169"/>
  <c r="R7" i="169"/>
  <c r="R8" i="169"/>
  <c r="R9" i="169"/>
  <c r="R10" i="169"/>
  <c r="Q3" i="169"/>
  <c r="Q4" i="169"/>
  <c r="Q5" i="169"/>
  <c r="Q6" i="169"/>
  <c r="Q7" i="169"/>
  <c r="Q8" i="169"/>
  <c r="Q9" i="169"/>
  <c r="Q10" i="169"/>
  <c r="Q2" i="169"/>
  <c r="P3" i="169"/>
  <c r="P4" i="169"/>
  <c r="P5" i="169"/>
  <c r="P6" i="169"/>
  <c r="P7" i="169"/>
  <c r="P8" i="169"/>
  <c r="P9" i="169"/>
  <c r="P10" i="169"/>
  <c r="P2" i="169"/>
  <c r="O2" i="169"/>
  <c r="O3" i="169"/>
  <c r="O4" i="169"/>
  <c r="O5" i="169"/>
  <c r="O6" i="169"/>
  <c r="O7" i="169"/>
  <c r="O8" i="169"/>
  <c r="O9" i="169"/>
  <c r="O10" i="169"/>
  <c r="N3" i="169"/>
  <c r="N4" i="169"/>
  <c r="N5" i="169"/>
  <c r="N6" i="169"/>
  <c r="N7" i="169"/>
  <c r="N8" i="169"/>
  <c r="N9" i="169"/>
  <c r="N10" i="169"/>
  <c r="N2" i="169"/>
  <c r="M3" i="169"/>
  <c r="M4" i="169"/>
  <c r="M5" i="169"/>
  <c r="M6" i="169"/>
  <c r="M7" i="169"/>
  <c r="M8" i="169"/>
  <c r="M9" i="169"/>
  <c r="M10" i="169"/>
  <c r="M2" i="169"/>
  <c r="L3" i="169"/>
  <c r="L4" i="169"/>
  <c r="L5" i="169"/>
  <c r="L6" i="169"/>
  <c r="L7" i="169"/>
  <c r="L8" i="169"/>
  <c r="L9" i="169"/>
  <c r="L10" i="169"/>
  <c r="L2" i="169"/>
  <c r="K2" i="169"/>
  <c r="K3" i="169"/>
  <c r="K4" i="169"/>
  <c r="K5" i="169"/>
  <c r="K6" i="169"/>
  <c r="K7" i="169"/>
  <c r="K8" i="169"/>
  <c r="K9" i="169"/>
  <c r="K10" i="169"/>
  <c r="J3" i="169"/>
  <c r="J4" i="169"/>
  <c r="J5" i="169"/>
  <c r="J6" i="169"/>
  <c r="J7" i="169"/>
  <c r="J8" i="169"/>
  <c r="J9" i="169"/>
  <c r="J10" i="169"/>
  <c r="J2" i="169"/>
  <c r="I3" i="169"/>
  <c r="I4" i="169"/>
  <c r="I5" i="169"/>
  <c r="I6" i="169"/>
  <c r="I7" i="169"/>
  <c r="I8" i="169"/>
  <c r="I9" i="169"/>
  <c r="I10" i="169"/>
  <c r="I2" i="169"/>
  <c r="F3" i="169"/>
  <c r="F4" i="169"/>
  <c r="F5" i="169"/>
  <c r="F6" i="169"/>
  <c r="F7" i="169"/>
  <c r="F8" i="169"/>
  <c r="F9" i="169"/>
  <c r="F10" i="169"/>
  <c r="F2" i="169"/>
  <c r="E3" i="169"/>
  <c r="E4" i="169"/>
  <c r="E5" i="169"/>
  <c r="E6" i="169"/>
  <c r="E7" i="169"/>
  <c r="E8" i="169"/>
  <c r="E9" i="169"/>
  <c r="E1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A3" i="169"/>
  <c r="A4" i="169"/>
  <c r="A5" i="169"/>
  <c r="A6" i="169"/>
  <c r="A7" i="169"/>
  <c r="A9" i="169"/>
  <c r="A1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6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6" i="163"/>
  <c r="F4" i="167" l="1"/>
  <c r="D4" i="167"/>
  <c r="G4" i="167" s="1"/>
  <c r="H4" i="167" s="1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1" i="163"/>
  <c r="K11" i="163"/>
  <c r="M10" i="163"/>
  <c r="K10" i="163"/>
  <c r="N10" i="163" s="1"/>
  <c r="O10" i="163" s="1"/>
  <c r="P10" i="163" s="1"/>
  <c r="M8" i="163"/>
  <c r="K8" i="163"/>
  <c r="M6" i="163"/>
  <c r="N6" i="163" l="1"/>
  <c r="O6" i="163" s="1"/>
  <c r="P6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5" i="163"/>
  <c r="O5" i="163" s="1"/>
  <c r="P5" i="163" s="1"/>
  <c r="N11" i="163"/>
  <c r="O11" i="163" s="1"/>
  <c r="P11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AH13" i="159" s="1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AH15" i="159" l="1"/>
  <c r="AH14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<sst xmlns="http://schemas.openxmlformats.org/spreadsheetml/2006/main" count="1981" uniqueCount="456">
  <si>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</si>
  <si>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</si>
  <si>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</si>
  <si>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</si>
  <si>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</si>
  <si>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</si>
  <si>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</si>
  <si>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</si>
  <si>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</si>
  <si>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</si>
  <si>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</si>
  <si>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</si>
  <si>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</si>
  <si>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</si>
  <si>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</si>
  <si>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</si>
  <si>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</si>
  <si>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</si>
  <si>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</si>
  <si>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</si>
  <si>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</si>
  <si>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</si>
  <si>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</si>
  <si>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</si>
  <si>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</si>
  <si>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</si>
  <si>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</si>
  <si>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</si>
  <si>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</si>
  <si>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</si>
  <si>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</si>
  <si>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</si>
  <si>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</si>
  <si>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</si>
  <si>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</si>
  <si>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</si>
  <si>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</si>
  <si>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</si>
  <si>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</si>
  <si>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</si>
  <si>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</si>
  <si>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</si>
  <si>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</si>
  <si>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</si>
  <si>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</si>
  <si>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</si>
  <si>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</si>
  <si>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</si>
  <si>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</si>
  <si>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</si>
  <si>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</si>
  <si>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</si>
  <si>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</si>
  <si>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</si>
  <si>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</si>
  <si>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</si>
  <si>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</si>
  <si>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</si>
  <si>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</si>
  <si>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</si>
  <si>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</si>
  <si>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</si>
  <si>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</si>
  <si>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</si>
  <si>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</si>
  <si>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</si>
  <si>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</si>
  <si>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</si>
  <si>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</si>
  <si>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</si>
  <si>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</si>
  <si>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</si>
  <si>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</si>
  <si>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</si>
  <si>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</si>
  <si>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</si>
  <si>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</si>
  <si>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</si>
  <si>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</si>
  <si>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</si>
  <si>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</si>
  <si>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</si>
  <si>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</si>
  <si>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</si>
  <si>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</si>
  <si>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</si>
  <si>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</si>
  <si>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</si>
  <si>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</si>
  <si>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</si>
  <si>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</si>
  <si>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</si>
  <si>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</si>
  <si>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</si>
  <si>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</si>
  <si>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</si>
  <si>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</si>
  <si>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</si>
  <si>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</si>
  <si>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</si>
  <si>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</si>
  <si>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</si>
  <si>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</si>
  <si>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</si>
  <si>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</si>
  <si>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</si>
  <si>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</si>
  <si>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</si>
  <si>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</si>
  <si>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</si>
  <si>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</si>
  <si>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</si>
  <si>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</si>
  <si>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</si>
  <si>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</si>
  <si>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</si>
  <si>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</si>
  <si>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</si>
  <si>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</si>
  <si>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</si>
  <si>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</si>
  <si>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</si>
  <si>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</si>
  <si>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</si>
  <si>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</si>
  <si>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</si>
  <si>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</si>
  <si>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</si>
  <si>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</si>
  <si>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</si>
  <si>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</si>
  <si>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</si>
  <si>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</si>
  <si>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</si>
  <si>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</si>
  <si>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</si>
  <si>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</si>
  <si>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</si>
  <si>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</si>
  <si>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</si>
  <si>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</si>
  <si>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</si>
  <si>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</si>
  <si>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</si>
  <si>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</si>
  <si>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</si>
  <si>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</si>
  <si>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</si>
  <si>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</si>
  <si>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</si>
  <si>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</si>
  <si>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</si>
  <si>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</si>
  <si>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</si>
  <si>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</si>
  <si>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</si>
  <si>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</si>
  <si>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</si>
  <si>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</si>
  <si>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</si>
  <si>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</si>
  <si>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</si>
  <si>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</si>
  <si>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</si>
  <si>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</si>
  <si>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</si>
  <si>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</si>
  <si>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</si>
  <si>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</si>
  <si>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</si>
  <si>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</si>
  <si>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</si>
  <si>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</si>
  <si>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</si>
  <si>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</si>
  <si>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</si>
  <si>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</si>
  <si>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</si>
  <si>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</si>
  <si>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</si>
  <si>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</si>
  <si>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</si>
  <si>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</si>
  <si>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</si>
  <si>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</si>
  <si>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</si>
  <si>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</si>
  <si>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</si>
  <si>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</si>
  <si>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</si>
  <si>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</si>
  <si>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</si>
  <si>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</si>
  <si>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</si>
  <si>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</si>
  <si>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</si>
  <si>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</si>
  <si>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</si>
  <si>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</si>
  <si>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</si>
  <si>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</si>
  <si>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</si>
  <si>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</si>
  <si>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</si>
  <si>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</si>
  <si>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</si>
  <si>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</si>
  <si>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</si>
  <si>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</si>
  <si>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</si>
  <si>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</si>
  <si>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</si>
  <si>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</si>
  <si>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</si>
  <si>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</si>
  <si>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</si>
  <si>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</si>
  <si>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</si>
  <si>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</si>
  <si>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</si>
  <si>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</si>
  <si>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</si>
  <si>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</si>
  <si>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</si>
  <si>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</si>
  <si>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</si>
  <si>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</si>
  <si>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</si>
  <si>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</si>
  <si>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</si>
  <si>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</si>
  <si>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</si>
  <si>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</si>
  <si>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</si>
  <si>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</si>
  <si>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</si>
  <si>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</si>
  <si>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</si>
  <si>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</si>
  <si>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</si>
  <si>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</si>
  <si>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</si>
  <si>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</si>
  <si>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</si>
  <si>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</si>
  <si>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</si>
  <si>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</si>
  <si>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</si>
  <si>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</si>
  <si>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</si>
  <si>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</si>
  <si>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</si>
  <si>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</si>
  <si>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</si>
  <si>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</si>
  <si>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</si>
  <si>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</si>
  <si>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</si>
  <si>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</si>
  <si>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</si>
  <si>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</si>
  <si>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</si>
  <si>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</si>
  <si>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</si>
  <si>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</si>
  <si>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</si>
  <si>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</si>
  <si>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</si>
  <si>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</si>
  <si>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</si>
  <si>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</si>
  <si>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</si>
  <si>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</si>
  <si>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</si>
  <si>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</si>
  <si>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</si>
  <si>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</si>
  <si>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</si>
  <si>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</si>
  <si>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</si>
  <si>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</si>
  <si>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</si>
  <si>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</si>
  <si>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</si>
  <si>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</si>
  <si>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</si>
  <si>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</si>
  <si>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</si>
  <si>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</si>
  <si>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</si>
  <si>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</si>
  <si>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</si>
  <si>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</si>
  <si>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</si>
  <si>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</si>
  <si>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</si>
  <si>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</si>
  <si>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</si>
  <si>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</si>
  <si>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</si>
  <si>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</si>
  <si>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</si>
  <si>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</si>
  <si>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</si>
  <si>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</si>
  <si>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</si>
  <si>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</si>
  <si>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</si>
  <si>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</si>
  <si>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</si>
  <si>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</si>
  <si>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</si>
  <si>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</si>
  <si>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</si>
  <si>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</si>
  <si>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</si>
  <si>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</si>
  <si>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</si>
  <si>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</si>
  <si>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</si>
  <si>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</si>
  <si>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</si>
  <si>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</si>
  <si>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</si>
  <si>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</si>
  <si>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</si>
  <si>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</si>
  <si>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</si>
  <si>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</si>
  <si>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</si>
  <si>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</si>
  <si>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</si>
  <si>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</si>
  <si>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</si>
  <si>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</si>
  <si>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</si>
  <si>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</si>
  <si>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</si>
  <si>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</si>
  <si>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</si>
  <si>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</si>
  <si>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</si>
  <si>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</si>
  <si>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</si>
  <si>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</si>
  <si>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</si>
  <si>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</si>
  <si>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</si>
  <si>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</si>
  <si>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</si>
  <si>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</si>
  <si>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</si>
  <si>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</si>
  <si>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</si>
  <si>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</si>
  <si>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</si>
  <si>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</si>
  <si>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</si>
  <si>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</si>
  <si>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</si>
  <si>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</si>
  <si>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</si>
  <si>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</si>
  <si>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</si>
  <si>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</si>
  <si>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</si>
  <si>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</si>
  <si>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</si>
  <si>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</si>
  <si>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</si>
  <si>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</si>
  <si>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</si>
  <si>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</si>
  <si>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</si>
  <si>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</si>
  <si>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</si>
  <si>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</si>
  <si>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</si>
  <si>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</si>
  <si>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</si>
  <si>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</si>
  <si>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</si>
  <si>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</si>
  <si>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</si>
  <si>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</si>
  <si>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</si>
  <si>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</si>
  <si>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</si>
  <si>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</si>
  <si>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</si>
  <si>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</si>
  <si>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</si>
  <si>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</si>
  <si>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</si>
  <si>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</si>
  <si>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</si>
  <si>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</si>
  <si>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</si>
  <si>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</si>
  <si>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</si>
  <si>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</si>
  <si>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</si>
  <si>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</si>
  <si>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</si>
  <si>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</si>
  <si>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</si>
  <si>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</si>
  <si>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</si>
  <si>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</si>
  <si>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</si>
  <si>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</si>
  <si>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</si>
  <si>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</si>
  <si>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</si>
  <si>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</si>
  <si>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</si>
  <si>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</si>
  <si>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</si>
  <si>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</si>
  <si>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</si>
  <si>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Tarun Gupta</t>
  </si>
  <si>
    <t>Hyderabad</t>
  </si>
  <si>
    <t>Anodized</t>
  </si>
  <si>
    <t>1.2Kpa</t>
  </si>
  <si>
    <t>W1</t>
  </si>
  <si>
    <t>M15000</t>
  </si>
  <si>
    <t>SIDE HUNG DOOR WITH 2 FIXED</t>
  </si>
  <si>
    <t>NO</t>
  </si>
  <si>
    <t>W2</t>
  </si>
  <si>
    <t>FIXED GLASS 2 NO'S</t>
  </si>
  <si>
    <t>ELEV B-3rd FL-MD CABIN</t>
  </si>
  <si>
    <t>ELEV A-3rd FL-MD CABIN</t>
  </si>
  <si>
    <t>W3</t>
  </si>
  <si>
    <t xml:space="preserve">FIXED GLASS </t>
  </si>
  <si>
    <t>ELEV C-3rd FL-MD CABIN</t>
  </si>
  <si>
    <t>W4</t>
  </si>
  <si>
    <t>ELEV A-3rd FL-PREMIUM LOUNGE</t>
  </si>
  <si>
    <t>W5</t>
  </si>
  <si>
    <t>ELEV D-3rd FL-PREMIUM LOUNGE</t>
  </si>
  <si>
    <t>W6</t>
  </si>
  <si>
    <t>FIXED GLASS</t>
  </si>
  <si>
    <t>ELEV C-3rd FL-PREMIUM LOUNGE</t>
  </si>
  <si>
    <t>W7</t>
  </si>
  <si>
    <t>W1-GROND FL-FRONT ENTRANCE</t>
  </si>
  <si>
    <t>W8</t>
  </si>
  <si>
    <t>W2-GROND FL-FRONT ENTRANCE</t>
  </si>
  <si>
    <t>W9</t>
  </si>
  <si>
    <t>W3-GROND FL-FRONT ENTRANCE</t>
  </si>
  <si>
    <t>12mm :- 12mm Clear Toughened Glass</t>
  </si>
  <si>
    <t>ABPL-DE-19.20-2171-OP-2</t>
  </si>
  <si>
    <t>CURTAIN WALL WITH 5 FIXED</t>
  </si>
  <si>
    <t>CURTAIN WALL WITH 4 FIXED</t>
  </si>
  <si>
    <t>BRACKETS</t>
  </si>
  <si>
    <t>80 X 40 X 4</t>
  </si>
  <si>
    <t>FAÇADE</t>
  </si>
  <si>
    <t>If the heights changed more than 2400 then we need to take silicon joint in width as per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</si>
</sst>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7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10" Type="http://schemas.openxmlformats.org/officeDocument/2006/relationships/image" Target="../media/image12.tmp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546651</xdr:colOff>
      <xdr:row>8</xdr:row>
      <xdr:rowOff>99391</xdr:rowOff>
    </xdr:from>
    <xdr:to>
      <xdr:col>8</xdr:col>
      <xdr:colOff>554934</xdr:colOff>
      <xdr:row>16</xdr:row>
      <xdr:rowOff>248470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7" y="1573695"/>
          <a:ext cx="3925957" cy="2666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207064</xdr:colOff>
      <xdr:row>19</xdr:row>
      <xdr:rowOff>157369</xdr:rowOff>
    </xdr:from>
    <xdr:to>
      <xdr:col>8</xdr:col>
      <xdr:colOff>463825</xdr:colOff>
      <xdr:row>27</xdr:row>
      <xdr:rowOff>166169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5" y="4944717"/>
          <a:ext cx="3586370" cy="2526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30</xdr:row>
      <xdr:rowOff>115956</xdr:rowOff>
    </xdr:from>
    <xdr:to>
      <xdr:col>7</xdr:col>
      <xdr:colOff>165652</xdr:colOff>
      <xdr:row>38</xdr:row>
      <xdr:rowOff>124650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8216347"/>
          <a:ext cx="2567609" cy="2526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</xdr:colOff>
      <xdr:row>41</xdr:row>
      <xdr:rowOff>115957</xdr:rowOff>
    </xdr:from>
    <xdr:to>
      <xdr:col>6</xdr:col>
      <xdr:colOff>372718</xdr:colOff>
      <xdr:row>49</xdr:row>
      <xdr:rowOff>199552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5" y="11529392"/>
          <a:ext cx="2302566" cy="2601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49694</xdr:colOff>
      <xdr:row>52</xdr:row>
      <xdr:rowOff>74541</xdr:rowOff>
    </xdr:from>
    <xdr:to>
      <xdr:col>8</xdr:col>
      <xdr:colOff>565868</xdr:colOff>
      <xdr:row>60</xdr:row>
      <xdr:rowOff>265042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955" y="14801019"/>
          <a:ext cx="3845783" cy="2708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63</xdr:row>
      <xdr:rowOff>82827</xdr:rowOff>
    </xdr:from>
    <xdr:to>
      <xdr:col>7</xdr:col>
      <xdr:colOff>182217</xdr:colOff>
      <xdr:row>71</xdr:row>
      <xdr:rowOff>197472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18122349"/>
          <a:ext cx="2675283" cy="26325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488673</xdr:colOff>
      <xdr:row>74</xdr:row>
      <xdr:rowOff>49698</xdr:rowOff>
    </xdr:from>
    <xdr:to>
      <xdr:col>8</xdr:col>
      <xdr:colOff>183459</xdr:colOff>
      <xdr:row>82</xdr:row>
      <xdr:rowOff>240198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4" y="21402263"/>
          <a:ext cx="3024395" cy="2708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107673</xdr:colOff>
      <xdr:row>85</xdr:row>
      <xdr:rowOff>91106</xdr:rowOff>
    </xdr:from>
    <xdr:to>
      <xdr:col>6</xdr:col>
      <xdr:colOff>304800</xdr:colOff>
      <xdr:row>93</xdr:row>
      <xdr:rowOff>214931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24756715"/>
          <a:ext cx="2176670" cy="2641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96</xdr:row>
      <xdr:rowOff>74544</xdr:rowOff>
    </xdr:from>
    <xdr:to>
      <xdr:col>6</xdr:col>
      <xdr:colOff>70403</xdr:colOff>
      <xdr:row>104</xdr:row>
      <xdr:rowOff>198369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28053196"/>
          <a:ext cx="1967120" cy="2641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596347</xdr:colOff>
      <xdr:row>9</xdr:row>
      <xdr:rowOff>91108</xdr:rowOff>
    </xdr:from>
    <xdr:to>
      <xdr:col>5</xdr:col>
      <xdr:colOff>1091716</xdr:colOff>
      <xdr:row>15</xdr:row>
      <xdr:rowOff>182218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347" y="1880151"/>
          <a:ext cx="495369" cy="197954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952516</xdr:colOff>
      <xdr:row>20</xdr:row>
      <xdr:rowOff>149086</xdr:rowOff>
    </xdr:from>
    <xdr:to>
      <xdr:col>5</xdr:col>
      <xdr:colOff>1447885</xdr:colOff>
      <xdr:row>26</xdr:row>
      <xdr:rowOff>248479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6" y="5251173"/>
          <a:ext cx="495369" cy="1987828"/>
        </a:xfrm>
        <a:prstGeom prst="rect">
          <a:avLst/>
        </a:prstGeom>
      </xdr:spPr>
    </xdr:pic>
    <xdr:clientData/>
  </xdr:twoCellAnchor>
  <xdr:twoCellAnchor editAs="oneCell">
    <xdr:from>
      <xdr:col>5</xdr:col>
      <xdr:colOff>1267328</xdr:colOff>
      <xdr:row>53</xdr:row>
      <xdr:rowOff>66273</xdr:rowOff>
    </xdr:from>
    <xdr:to>
      <xdr:col>5</xdr:col>
      <xdr:colOff>1762697</xdr:colOff>
      <xdr:row>59</xdr:row>
      <xdr:rowOff>173936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328" y="15107490"/>
          <a:ext cx="495369" cy="1996098"/>
        </a:xfrm>
        <a:prstGeom prst="rect">
          <a:avLst/>
        </a:prstGeom>
      </xdr:spPr>
    </xdr:pic>
    <xdr:clientData/>
  </xdr:twoCellAnchor>
  <xdr:twoCellAnchor>
    <xdr:from>
      <xdr:col>5</xdr:col>
      <xdr:colOff>1106504</xdr:colOff>
      <xdr:row>85</xdr:row>
      <xdr:rowOff>306456</xdr:rowOff>
    </xdr:from>
    <xdr:to>
      <xdr:col>5</xdr:col>
      <xdr:colOff>1152223</xdr:colOff>
      <xdr:row>93</xdr:row>
      <xdr:rowOff>8282</xdr:rowOff>
    </xdr:to>
    <xdr:sp macro="" textlink="">
      <xdr:nvSpPr>
        <xdr:cNvPr id="10" name="Rectangle 9"/>
        <xdr:cNvSpPr/>
      </xdr:nvSpPr>
      <xdr:spPr>
        <a:xfrm>
          <a:off x="4160457" y="24958347"/>
          <a:ext cx="45719" cy="2225951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982679</xdr:colOff>
      <xdr:row>96</xdr:row>
      <xdr:rowOff>296931</xdr:rowOff>
    </xdr:from>
    <xdr:to>
      <xdr:col>5</xdr:col>
      <xdr:colOff>1028398</xdr:colOff>
      <xdr:row>103</xdr:row>
      <xdr:rowOff>313082</xdr:rowOff>
    </xdr:to>
    <xdr:sp macro="" textlink="">
      <xdr:nvSpPr>
        <xdr:cNvPr id="17" name="Rectangle 16"/>
        <xdr:cNvSpPr/>
      </xdr:nvSpPr>
      <xdr:spPr>
        <a:xfrm>
          <a:off x="4040204" y="28186131"/>
          <a:ext cx="45719" cy="2216426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88" zoomScaleNormal="100" zoomScaleSheetLayoutView="100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ABPL-DE-19.20-2171-OP-2</v>
      </c>
      <c r="O2" s="541"/>
      <c r="P2" s="219" t="s">
        <v>256</v>
      </c>
    </row>
    <row r="3" spans="2:16">
      <c r="B3" s="218"/>
      <c r="C3" s="539" t="s">
        <v>126</v>
      </c>
      <c r="D3" s="539"/>
      <c r="E3" s="539"/>
      <c r="F3" s="541" t="str">
        <f>QUOTATION!F7</f>
        <v>Mr. Tarun Gupta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43701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179</v>
      </c>
      <c r="J4" s="542"/>
      <c r="K4" s="541" t="str">
        <f>QUOTATION!I8</f>
        <v>1.2Kpa</v>
      </c>
      <c r="L4" s="541"/>
      <c r="M4" s="284" t="s">
        <v>105</v>
      </c>
      <c r="N4" s="286" t="str">
        <f>QUOTATION!M8</f>
        <v>R0</v>
      </c>
      <c r="O4" s="287">
        <f>QUOTATION!N8</f>
        <v>43705</v>
      </c>
    </row>
    <row r="5" spans="2:16">
      <c r="B5" s="218"/>
      <c r="C5" s="539" t="s">
        <v>168</v>
      </c>
      <c r="D5" s="539"/>
      <c r="E5" s="539"/>
      <c r="F5" s="541" t="str">
        <f>QUOTATION!F9</f>
        <v>Mr. Anamol Anand : 7702300826</v>
      </c>
      <c r="G5" s="541"/>
      <c r="H5" s="541"/>
      <c r="I5" s="541"/>
      <c r="J5" s="541"/>
      <c r="K5" s="541"/>
      <c r="L5" s="541"/>
      <c r="M5" s="284" t="s">
        <v>178</v>
      </c>
      <c r="N5" s="541" t="str">
        <f>QUOTATION!M9</f>
        <v>Bal Kumari</v>
      </c>
      <c r="O5" s="541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2" t="s">
        <v>177</v>
      </c>
      <c r="J6" s="542"/>
      <c r="K6" s="541" t="str">
        <f>QUOTATION!I10</f>
        <v>Silver</v>
      </c>
      <c r="L6" s="541"/>
      <c r="M6" s="320" t="s">
        <v>373</v>
      </c>
      <c r="N6" s="548">
        <f>'BD Team'!J5</f>
        <v>0</v>
      </c>
      <c r="O6" s="549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253</v>
      </c>
      <c r="D8" s="539"/>
      <c r="E8" s="286" t="str">
        <f>'BD Team'!B9</f>
        <v>W1</v>
      </c>
      <c r="F8" s="288" t="s">
        <v>254</v>
      </c>
      <c r="G8" s="541" t="str">
        <f>'BD Team'!D9</f>
        <v>SIDE HUNG DOOR WITH 2 FIXED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ELEV B-3rd FL-MD CABIN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246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177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247</v>
      </c>
      <c r="M12" s="539"/>
      <c r="N12" s="550" t="s">
        <v>255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248</v>
      </c>
      <c r="M13" s="539"/>
      <c r="N13" s="541" t="str">
        <f>CONCATENATE('BD Team'!H9," X ",'BD Team'!I9)</f>
        <v>4105 X 2383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249</v>
      </c>
      <c r="M14" s="539"/>
      <c r="N14" s="540">
        <f>'BD Team'!J9</f>
        <v>1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250</v>
      </c>
      <c r="M15" s="539"/>
      <c r="N15" s="541" t="str">
        <f>'BD Team'!C9</f>
        <v>M15000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251</v>
      </c>
      <c r="M16" s="539"/>
      <c r="N16" s="541" t="str">
        <f>'BD Team'!E9</f>
        <v>12MM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252</v>
      </c>
      <c r="M17" s="539"/>
      <c r="N17" s="541" t="str">
        <f>'BD Team'!F9</f>
        <v>NO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253</v>
      </c>
      <c r="D19" s="539"/>
      <c r="E19" s="286" t="str">
        <f>'BD Team'!B10</f>
        <v>W2</v>
      </c>
      <c r="F19" s="288" t="s">
        <v>254</v>
      </c>
      <c r="G19" s="541" t="str">
        <f>'BD Team'!D10</f>
        <v>FIXED GLASS 2 NO'S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ELEV A-3rd FL-MD CABIN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246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177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247</v>
      </c>
      <c r="M23" s="539"/>
      <c r="N23" s="544" t="s">
        <v>255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248</v>
      </c>
      <c r="M24" s="539"/>
      <c r="N24" s="541" t="str">
        <f>CONCATENATE('BD Team'!H10," X ",'BD Team'!I10)</f>
        <v>3707 X 2383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249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250</v>
      </c>
      <c r="M26" s="539"/>
      <c r="N26" s="541" t="str">
        <f>'BD Team'!C10</f>
        <v>M15000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251</v>
      </c>
      <c r="M27" s="539"/>
      <c r="N27" s="541" t="str">
        <f>'BD Team'!E10</f>
        <v>12MM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252</v>
      </c>
      <c r="M28" s="539"/>
      <c r="N28" s="541" t="str">
        <f>'BD Team'!F10</f>
        <v>NO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1" t="str">
        <f>'BD Team'!D11</f>
        <v xml:space="preserve">FIXED GLASS 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ELEV C-3rd FL-MD CABIN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246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177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247</v>
      </c>
      <c r="M34" s="539"/>
      <c r="N34" s="544" t="s">
        <v>255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248</v>
      </c>
      <c r="M35" s="539"/>
      <c r="N35" s="541" t="str">
        <f>CONCATENATE('BD Team'!H11," X ",'BD Team'!I11)</f>
        <v>2439 X 2383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249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250</v>
      </c>
      <c r="M37" s="539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251</v>
      </c>
      <c r="M38" s="539"/>
      <c r="N38" s="541" t="str">
        <f>'BD Team'!E11</f>
        <v>12MM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252</v>
      </c>
      <c r="M39" s="539"/>
      <c r="N39" s="541" t="str">
        <f>'BD Team'!F11</f>
        <v>NO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253</v>
      </c>
      <c r="D41" s="539"/>
      <c r="E41" s="286" t="str">
        <f>'BD Team'!B12</f>
        <v>W4</v>
      </c>
      <c r="F41" s="288" t="s">
        <v>254</v>
      </c>
      <c r="G41" s="541" t="str">
        <f>'BD Team'!D12</f>
        <v xml:space="preserve">FIXED GLASS 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ELEV A-3rd FL-PREMIUM LOUNGE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246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177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247</v>
      </c>
      <c r="M45" s="539"/>
      <c r="N45" s="544" t="s">
        <v>255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248</v>
      </c>
      <c r="M46" s="539"/>
      <c r="N46" s="541" t="str">
        <f>CONCATENATE('BD Team'!H12," X ",'BD Team'!I12)</f>
        <v>2106 X 2383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249</v>
      </c>
      <c r="M47" s="539"/>
      <c r="N47" s="540">
        <f>'BD Team'!J12</f>
        <v>1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250</v>
      </c>
      <c r="M48" s="539"/>
      <c r="N48" s="541" t="str">
        <f>'BD Team'!C12</f>
        <v>M15000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251</v>
      </c>
      <c r="M49" s="539"/>
      <c r="N49" s="541" t="str">
        <f>'BD Team'!E12</f>
        <v>12MM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252</v>
      </c>
      <c r="M50" s="539"/>
      <c r="N50" s="541" t="str">
        <f>'BD Team'!F12</f>
        <v>NO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253</v>
      </c>
      <c r="D52" s="539"/>
      <c r="E52" s="286" t="str">
        <f>'BD Team'!B13</f>
        <v>W5</v>
      </c>
      <c r="F52" s="288" t="s">
        <v>254</v>
      </c>
      <c r="G52" s="541" t="str">
        <f>'BD Team'!D13</f>
        <v>SIDE HUNG DOOR WITH 2 FIXED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ELEV D-3rd FL-PREMIUM LOUNGE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246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177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247</v>
      </c>
      <c r="M56" s="539"/>
      <c r="N56" s="544" t="s">
        <v>255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248</v>
      </c>
      <c r="M57" s="539"/>
      <c r="N57" s="541" t="str">
        <f>CONCATENATE('BD Team'!H13," X ",'BD Team'!I13)</f>
        <v>4105 X 2383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249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250</v>
      </c>
      <c r="M59" s="539"/>
      <c r="N59" s="541" t="str">
        <f>'BD Team'!C13</f>
        <v>M15000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251</v>
      </c>
      <c r="M60" s="539"/>
      <c r="N60" s="541" t="str">
        <f>'BD Team'!E13</f>
        <v>12MM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252</v>
      </c>
      <c r="M61" s="539"/>
      <c r="N61" s="541" t="str">
        <f>'BD Team'!F13</f>
        <v>NO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253</v>
      </c>
      <c r="D63" s="539"/>
      <c r="E63" s="286" t="str">
        <f>'BD Team'!B14</f>
        <v>W6</v>
      </c>
      <c r="F63" s="288" t="s">
        <v>254</v>
      </c>
      <c r="G63" s="541" t="str">
        <f>'BD Team'!D14</f>
        <v>FIXED GLASS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ELEV C-3rd FL-PREMIUM LOUNGE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246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177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247</v>
      </c>
      <c r="M67" s="539"/>
      <c r="N67" s="544" t="s">
        <v>255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248</v>
      </c>
      <c r="M68" s="539"/>
      <c r="N68" s="541" t="str">
        <f>CONCATENATE('BD Team'!H14," X ",'BD Team'!I14)</f>
        <v>2439 X 2383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249</v>
      </c>
      <c r="M69" s="539"/>
      <c r="N69" s="540">
        <f>'BD Team'!J14</f>
        <v>1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250</v>
      </c>
      <c r="M70" s="539"/>
      <c r="N70" s="541" t="str">
        <f>'BD Team'!C14</f>
        <v>M15000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251</v>
      </c>
      <c r="M71" s="539"/>
      <c r="N71" s="541" t="str">
        <f>'BD Team'!E14</f>
        <v>12MM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252</v>
      </c>
      <c r="M72" s="539"/>
      <c r="N72" s="541" t="str">
        <f>'BD Team'!F14</f>
        <v>NO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253</v>
      </c>
      <c r="D74" s="539"/>
      <c r="E74" s="286" t="str">
        <f>'BD Team'!B15</f>
        <v>W7</v>
      </c>
      <c r="F74" s="288" t="s">
        <v>254</v>
      </c>
      <c r="G74" s="541" t="str">
        <f>'BD Team'!D15</f>
        <v>CURTAIN WALL WITH 5 FIXED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W1-GROND FL-FRONT ENTRANCE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246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177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247</v>
      </c>
      <c r="M78" s="539"/>
      <c r="N78" s="544" t="s">
        <v>255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248</v>
      </c>
      <c r="M79" s="539"/>
      <c r="N79" s="541" t="str">
        <f>CONCATENATE('BD Team'!H15," X ",'BD Team'!I15)</f>
        <v>6170 X 6300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249</v>
      </c>
      <c r="M80" s="539"/>
      <c r="N80" s="540">
        <f>'BD Team'!J15</f>
        <v>1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250</v>
      </c>
      <c r="M81" s="539"/>
      <c r="N81" s="541" t="str">
        <f>'BD Team'!C15</f>
        <v>FAÇADE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251</v>
      </c>
      <c r="M82" s="539"/>
      <c r="N82" s="541" t="str">
        <f>'BD Team'!E15</f>
        <v>12MM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252</v>
      </c>
      <c r="M83" s="539"/>
      <c r="N83" s="541" t="str">
        <f>'BD Team'!F15</f>
        <v>NO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253</v>
      </c>
      <c r="D85" s="539"/>
      <c r="E85" s="286" t="str">
        <f>'BD Team'!B16</f>
        <v>W8</v>
      </c>
      <c r="F85" s="288" t="s">
        <v>254</v>
      </c>
      <c r="G85" s="541" t="str">
        <f>'BD Team'!D16</f>
        <v>CURTAIN WALL WITH 4 FIXED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 t="str">
        <f>'BD Team'!G16</f>
        <v>W2-GROND FL-FRONT ENTRANCE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246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177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247</v>
      </c>
      <c r="M89" s="539"/>
      <c r="N89" s="544" t="s">
        <v>255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248</v>
      </c>
      <c r="M90" s="539"/>
      <c r="N90" s="541" t="str">
        <f>CONCATENATE('BD Team'!H16," X ",'BD Team'!I16)</f>
        <v>3805 X 6300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249</v>
      </c>
      <c r="M91" s="539"/>
      <c r="N91" s="540">
        <f>'BD Team'!J16</f>
        <v>1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250</v>
      </c>
      <c r="M92" s="539"/>
      <c r="N92" s="541" t="str">
        <f>'BD Team'!C16</f>
        <v>FAÇADE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251</v>
      </c>
      <c r="M93" s="539"/>
      <c r="N93" s="541" t="str">
        <f>'BD Team'!E16</f>
        <v>12MM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252</v>
      </c>
      <c r="M94" s="539"/>
      <c r="N94" s="541" t="str">
        <f>'BD Team'!F16</f>
        <v>NO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253</v>
      </c>
      <c r="D96" s="539"/>
      <c r="E96" s="286" t="str">
        <f>'BD Team'!B17</f>
        <v>W9</v>
      </c>
      <c r="F96" s="288" t="s">
        <v>254</v>
      </c>
      <c r="G96" s="541" t="str">
        <f>'BD Team'!D17</f>
        <v>CURTAIN WALL WITH 4 FIXED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 t="str">
        <f>'BD Team'!G17</f>
        <v>W3-GROND FL-FRONT ENTRANCE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246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177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247</v>
      </c>
      <c r="M100" s="539"/>
      <c r="N100" s="544" t="s">
        <v>255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248</v>
      </c>
      <c r="M101" s="539"/>
      <c r="N101" s="541" t="str">
        <f>CONCATENATE('BD Team'!H17," X ",'BD Team'!I17)</f>
        <v>3225 X 6300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249</v>
      </c>
      <c r="M102" s="539"/>
      <c r="N102" s="540">
        <f>'BD Team'!J17</f>
        <v>1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250</v>
      </c>
      <c r="M103" s="539"/>
      <c r="N103" s="541" t="str">
        <f>'BD Team'!C17</f>
        <v>FAÇADE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251</v>
      </c>
      <c r="M104" s="539"/>
      <c r="N104" s="541" t="str">
        <f>'BD Team'!E17</f>
        <v>12MM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252</v>
      </c>
      <c r="M105" s="539"/>
      <c r="N105" s="541" t="str">
        <f>'BD Team'!F17</f>
        <v>NO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>
        <f>'BD Team'!G18</f>
        <v>0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246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177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247</v>
      </c>
      <c r="M111" s="539"/>
      <c r="N111" s="544" t="s">
        <v>255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248</v>
      </c>
      <c r="M112" s="539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249</v>
      </c>
      <c r="M113" s="539"/>
      <c r="N113" s="540">
        <f>'BD Team'!J18</f>
        <v>0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250</v>
      </c>
      <c r="M114" s="539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251</v>
      </c>
      <c r="M115" s="539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252</v>
      </c>
      <c r="M116" s="539"/>
      <c r="N116" s="541">
        <f>'BD Team'!F18</f>
        <v>0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>
        <f>'BD Team'!G19</f>
        <v>0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246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177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247</v>
      </c>
      <c r="M122" s="539"/>
      <c r="N122" s="544" t="s">
        <v>255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248</v>
      </c>
      <c r="M123" s="539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249</v>
      </c>
      <c r="M124" s="539"/>
      <c r="N124" s="540">
        <f>'BD Team'!J19</f>
        <v>0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250</v>
      </c>
      <c r="M125" s="539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251</v>
      </c>
      <c r="M126" s="539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252</v>
      </c>
      <c r="M127" s="539"/>
      <c r="N127" s="541">
        <f>'BD Team'!F19</f>
        <v>0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>
        <f>'BD Team'!G20</f>
        <v>0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246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177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247</v>
      </c>
      <c r="M133" s="539"/>
      <c r="N133" s="544" t="s">
        <v>255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248</v>
      </c>
      <c r="M134" s="539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249</v>
      </c>
      <c r="M135" s="539"/>
      <c r="N135" s="540">
        <f>'BD Team'!J20</f>
        <v>0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250</v>
      </c>
      <c r="M136" s="539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251</v>
      </c>
      <c r="M137" s="539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252</v>
      </c>
      <c r="M138" s="539"/>
      <c r="N138" s="541">
        <f>'BD Team'!F20</f>
        <v>0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>
        <f>'BD Team'!G21</f>
        <v>0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246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177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247</v>
      </c>
      <c r="M144" s="539"/>
      <c r="N144" s="544" t="s">
        <v>255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248</v>
      </c>
      <c r="M145" s="539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249</v>
      </c>
      <c r="M146" s="539"/>
      <c r="N146" s="540">
        <f>'BD Team'!J21</f>
        <v>0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250</v>
      </c>
      <c r="M147" s="539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251</v>
      </c>
      <c r="M148" s="539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252</v>
      </c>
      <c r="M149" s="539"/>
      <c r="N149" s="541">
        <f>'BD Team'!F21</f>
        <v>0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>
        <f>'BD Team'!G22</f>
        <v>0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246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177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247</v>
      </c>
      <c r="M155" s="539"/>
      <c r="N155" s="544" t="s">
        <v>255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248</v>
      </c>
      <c r="M156" s="539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249</v>
      </c>
      <c r="M157" s="539"/>
      <c r="N157" s="540">
        <f>'BD Team'!J22</f>
        <v>0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250</v>
      </c>
      <c r="M158" s="539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251</v>
      </c>
      <c r="M159" s="539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252</v>
      </c>
      <c r="M160" s="539"/>
      <c r="N160" s="541">
        <f>'BD Team'!F22</f>
        <v>0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>
        <f>'BD Team'!G23</f>
        <v>0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246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177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247</v>
      </c>
      <c r="M166" s="539"/>
      <c r="N166" s="544" t="s">
        <v>255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248</v>
      </c>
      <c r="M167" s="539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249</v>
      </c>
      <c r="M168" s="539"/>
      <c r="N168" s="540">
        <f>'BD Team'!J23</f>
        <v>0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250</v>
      </c>
      <c r="M169" s="539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251</v>
      </c>
      <c r="M170" s="539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252</v>
      </c>
      <c r="M171" s="539"/>
      <c r="N171" s="541">
        <f>'BD Team'!F23</f>
        <v>0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>
        <f>'BD Team'!G24</f>
        <v>0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246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177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247</v>
      </c>
      <c r="M177" s="539"/>
      <c r="N177" s="544" t="s">
        <v>255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248</v>
      </c>
      <c r="M178" s="539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249</v>
      </c>
      <c r="M179" s="539"/>
      <c r="N179" s="540">
        <f>'BD Team'!J24</f>
        <v>0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250</v>
      </c>
      <c r="M180" s="539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251</v>
      </c>
      <c r="M181" s="539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252</v>
      </c>
      <c r="M182" s="539"/>
      <c r="N182" s="541">
        <f>'BD Team'!F24</f>
        <v>0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>
        <f>'BD Team'!G25</f>
        <v>0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246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177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247</v>
      </c>
      <c r="M188" s="539"/>
      <c r="N188" s="544" t="s">
        <v>255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248</v>
      </c>
      <c r="M189" s="539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249</v>
      </c>
      <c r="M190" s="539"/>
      <c r="N190" s="540">
        <f>'BD Team'!J25</f>
        <v>0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250</v>
      </c>
      <c r="M191" s="539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251</v>
      </c>
      <c r="M192" s="539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252</v>
      </c>
      <c r="M193" s="539"/>
      <c r="N193" s="541">
        <f>'BD Team'!F25</f>
        <v>0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246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177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247</v>
      </c>
      <c r="M199" s="539"/>
      <c r="N199" s="544" t="s">
        <v>255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248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249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250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251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252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246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177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247</v>
      </c>
      <c r="M210" s="539"/>
      <c r="N210" s="544" t="s">
        <v>255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248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249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250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251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252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246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177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247</v>
      </c>
      <c r="M221" s="539"/>
      <c r="N221" s="544" t="s">
        <v>255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248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249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250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251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252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246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177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247</v>
      </c>
      <c r="M232" s="539"/>
      <c r="N232" s="544" t="s">
        <v>255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248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249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250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251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252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246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177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247</v>
      </c>
      <c r="M243" s="539"/>
      <c r="N243" s="544" t="s">
        <v>255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248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249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250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251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252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246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177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247</v>
      </c>
      <c r="M254" s="539"/>
      <c r="N254" s="544" t="s">
        <v>255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248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249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250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251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252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246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177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247</v>
      </c>
      <c r="M265" s="539"/>
      <c r="N265" s="544" t="s">
        <v>255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248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249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250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251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252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246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177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247</v>
      </c>
      <c r="M276" s="539"/>
      <c r="N276" s="544" t="s">
        <v>255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248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249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250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251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252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246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177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247</v>
      </c>
      <c r="M287" s="539"/>
      <c r="N287" s="544" t="s">
        <v>255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248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249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250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251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252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246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177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247</v>
      </c>
      <c r="M298" s="539"/>
      <c r="N298" s="544" t="s">
        <v>255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248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249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250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251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252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246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177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247</v>
      </c>
      <c r="M309" s="539"/>
      <c r="N309" s="544" t="s">
        <v>255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248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249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250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251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252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246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177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247</v>
      </c>
      <c r="M320" s="539"/>
      <c r="N320" s="544" t="s">
        <v>255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248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249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250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251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252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246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177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247</v>
      </c>
      <c r="M331" s="539"/>
      <c r="N331" s="544" t="s">
        <v>255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248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249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250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251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252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246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177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247</v>
      </c>
      <c r="M342" s="539"/>
      <c r="N342" s="544" t="s">
        <v>255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248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249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250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251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252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246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177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247</v>
      </c>
      <c r="M353" s="539"/>
      <c r="N353" s="544" t="s">
        <v>255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248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249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250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251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252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246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177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247</v>
      </c>
      <c r="M364" s="539"/>
      <c r="N364" s="544" t="s">
        <v>255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248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249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250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251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252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246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177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247</v>
      </c>
      <c r="M375" s="539"/>
      <c r="N375" s="544" t="s">
        <v>255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248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249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250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251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252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246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177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247</v>
      </c>
      <c r="M386" s="539"/>
      <c r="N386" s="544" t="s">
        <v>255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248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249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250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251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252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246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177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247</v>
      </c>
      <c r="M397" s="539"/>
      <c r="N397" s="544" t="s">
        <v>255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248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249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250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251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252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246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177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247</v>
      </c>
      <c r="M408" s="539"/>
      <c r="N408" s="544" t="s">
        <v>255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248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249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250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251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252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246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177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247</v>
      </c>
      <c r="M419" s="539"/>
      <c r="N419" s="544" t="s">
        <v>255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248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249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250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251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252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246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177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247</v>
      </c>
      <c r="M430" s="539"/>
      <c r="N430" s="544" t="s">
        <v>255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248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249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250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251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252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246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177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247</v>
      </c>
      <c r="M441" s="539"/>
      <c r="N441" s="544" t="s">
        <v>255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248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249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250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251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252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246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177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247</v>
      </c>
      <c r="M452" s="539"/>
      <c r="N452" s="544" t="s">
        <v>255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248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249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250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251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252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246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177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247</v>
      </c>
      <c r="M463" s="539"/>
      <c r="N463" s="544" t="s">
        <v>255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248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249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250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251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252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246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177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247</v>
      </c>
      <c r="M474" s="539"/>
      <c r="N474" s="544" t="s">
        <v>255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248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249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250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251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252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246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177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247</v>
      </c>
      <c r="M485" s="539"/>
      <c r="N485" s="544" t="s">
        <v>255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248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249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250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251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252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246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177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247</v>
      </c>
      <c r="M496" s="539"/>
      <c r="N496" s="544" t="s">
        <v>255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248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249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250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251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252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246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177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247</v>
      </c>
      <c r="M507" s="539"/>
      <c r="N507" s="544" t="s">
        <v>255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248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249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250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251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252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246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177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247</v>
      </c>
      <c r="M518" s="539"/>
      <c r="N518" s="544" t="s">
        <v>255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248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249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250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251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252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246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177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247</v>
      </c>
      <c r="M529" s="539"/>
      <c r="N529" s="544" t="s">
        <v>255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248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249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250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251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252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246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177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247</v>
      </c>
      <c r="M540" s="539"/>
      <c r="N540" s="544" t="s">
        <v>255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248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249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250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251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252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246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177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247</v>
      </c>
      <c r="M551" s="539"/>
      <c r="N551" s="544" t="s">
        <v>255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248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249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250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251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252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246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177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247</v>
      </c>
      <c r="M562" s="539"/>
      <c r="N562" s="544" t="s">
        <v>255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248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249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250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251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252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246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177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247</v>
      </c>
      <c r="M573" s="539"/>
      <c r="N573" s="544" t="s">
        <v>255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248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249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250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251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252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246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177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247</v>
      </c>
      <c r="M584" s="539"/>
      <c r="N584" s="544" t="s">
        <v>255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248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249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250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251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252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246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177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247</v>
      </c>
      <c r="M595" s="539"/>
      <c r="N595" s="544" t="s">
        <v>255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248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249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250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251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252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246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177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247</v>
      </c>
      <c r="M606" s="539"/>
      <c r="N606" s="544" t="s">
        <v>255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248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249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250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251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252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246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177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247</v>
      </c>
      <c r="M617" s="539"/>
      <c r="N617" s="544" t="s">
        <v>255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248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249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250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251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252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246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177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247</v>
      </c>
      <c r="M628" s="539"/>
      <c r="N628" s="544" t="s">
        <v>255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248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249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250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251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252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246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177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247</v>
      </c>
      <c r="M639" s="539"/>
      <c r="N639" s="544" t="s">
        <v>255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248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249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250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251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252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246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177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247</v>
      </c>
      <c r="M650" s="539"/>
      <c r="N650" s="544" t="s">
        <v>255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248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249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250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251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252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246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177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247</v>
      </c>
      <c r="M661" s="539"/>
      <c r="N661" s="544" t="s">
        <v>255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248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249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250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251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252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246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177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247</v>
      </c>
      <c r="M672" s="539"/>
      <c r="N672" s="544" t="s">
        <v>255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248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249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250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251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252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246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177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247</v>
      </c>
      <c r="M683" s="539"/>
      <c r="N683" s="544" t="s">
        <v>255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248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249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250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251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252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246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177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247</v>
      </c>
      <c r="M694" s="539"/>
      <c r="N694" s="544" t="s">
        <v>255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248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249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250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251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252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246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177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247</v>
      </c>
      <c r="M705" s="539"/>
      <c r="N705" s="544" t="s">
        <v>255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248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249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250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251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252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246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177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247</v>
      </c>
      <c r="M716" s="539"/>
      <c r="N716" s="544" t="s">
        <v>255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248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249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250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251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252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246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177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247</v>
      </c>
      <c r="M727" s="539"/>
      <c r="N727" s="544" t="s">
        <v>255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248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249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250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251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252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246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177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247</v>
      </c>
      <c r="M738" s="539"/>
      <c r="N738" s="544" t="s">
        <v>255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248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249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250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251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252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246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177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247</v>
      </c>
      <c r="M749" s="539"/>
      <c r="N749" s="544" t="s">
        <v>255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248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249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250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251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252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246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177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247</v>
      </c>
      <c r="M760" s="539"/>
      <c r="N760" s="544" t="s">
        <v>255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248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249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250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251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252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246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177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247</v>
      </c>
      <c r="M771" s="539"/>
      <c r="N771" s="544" t="s">
        <v>255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248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249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250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251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252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246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177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247</v>
      </c>
      <c r="M782" s="539"/>
      <c r="N782" s="544" t="s">
        <v>255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248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249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250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251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252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246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177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247</v>
      </c>
      <c r="M793" s="539"/>
      <c r="N793" s="544" t="s">
        <v>255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248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249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250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251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252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246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177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247</v>
      </c>
      <c r="M804" s="539"/>
      <c r="N804" s="544" t="s">
        <v>255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248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249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250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251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252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246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177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247</v>
      </c>
      <c r="M815" s="539"/>
      <c r="N815" s="544" t="s">
        <v>255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248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249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250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251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252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246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177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247</v>
      </c>
      <c r="M826" s="539"/>
      <c r="N826" s="544" t="s">
        <v>255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248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249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250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251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252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246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177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247</v>
      </c>
      <c r="M837" s="539"/>
      <c r="N837" s="544" t="s">
        <v>255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248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249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250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251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252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246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177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247</v>
      </c>
      <c r="M848" s="539"/>
      <c r="N848" s="544" t="s">
        <v>255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248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249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250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251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252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246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177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247</v>
      </c>
      <c r="M859" s="539"/>
      <c r="N859" s="544" t="s">
        <v>255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248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249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250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251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252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246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177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247</v>
      </c>
      <c r="M870" s="539"/>
      <c r="N870" s="544" t="s">
        <v>255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248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249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250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251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252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246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177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247</v>
      </c>
      <c r="M881" s="539"/>
      <c r="N881" s="544" t="s">
        <v>255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248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249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250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251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252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246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177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247</v>
      </c>
      <c r="M892" s="539"/>
      <c r="N892" s="544" t="s">
        <v>255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248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249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250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251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252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246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177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247</v>
      </c>
      <c r="M903" s="539"/>
      <c r="N903" s="544" t="s">
        <v>255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248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249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250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251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252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246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177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247</v>
      </c>
      <c r="M914" s="539"/>
      <c r="N914" s="544" t="s">
        <v>255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248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249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250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251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252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246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177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247</v>
      </c>
      <c r="M925" s="539"/>
      <c r="N925" s="544" t="s">
        <v>255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248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249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250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251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252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246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177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247</v>
      </c>
      <c r="M936" s="539"/>
      <c r="N936" s="544" t="s">
        <v>255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248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249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250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251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252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246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177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247</v>
      </c>
      <c r="M947" s="539"/>
      <c r="N947" s="544" t="s">
        <v>255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248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249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250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251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252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246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177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247</v>
      </c>
      <c r="M958" s="539"/>
      <c r="N958" s="544" t="s">
        <v>255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248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249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250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251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252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246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177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247</v>
      </c>
      <c r="M969" s="539"/>
      <c r="N969" s="544" t="s">
        <v>255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248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249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250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251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252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246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177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247</v>
      </c>
      <c r="M980" s="539"/>
      <c r="N980" s="544" t="s">
        <v>255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248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249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250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251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252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246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177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247</v>
      </c>
      <c r="M991" s="539"/>
      <c r="N991" s="544" t="s">
        <v>255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248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249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250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251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252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246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177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247</v>
      </c>
      <c r="M1002" s="539"/>
      <c r="N1002" s="544" t="s">
        <v>255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248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249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250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251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252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246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177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247</v>
      </c>
      <c r="M1013" s="539"/>
      <c r="N1013" s="544" t="s">
        <v>255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248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249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250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251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252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246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177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247</v>
      </c>
      <c r="M1024" s="539"/>
      <c r="N1024" s="544" t="s">
        <v>255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248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249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250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251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252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246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177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247</v>
      </c>
      <c r="M1035" s="539"/>
      <c r="N1035" s="544" t="s">
        <v>255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248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249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250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251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252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246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177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247</v>
      </c>
      <c r="M1046" s="539"/>
      <c r="N1046" s="544" t="s">
        <v>255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248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249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250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251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252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246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177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247</v>
      </c>
      <c r="M1057" s="539"/>
      <c r="N1057" s="544" t="s">
        <v>255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248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249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250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251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252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246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177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247</v>
      </c>
      <c r="M1068" s="539"/>
      <c r="N1068" s="544" t="s">
        <v>255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248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249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250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251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252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246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177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247</v>
      </c>
      <c r="M1079" s="539"/>
      <c r="N1079" s="544" t="s">
        <v>255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248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249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250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251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252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246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177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247</v>
      </c>
      <c r="M1090" s="539"/>
      <c r="N1090" s="544" t="s">
        <v>255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248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249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250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251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252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246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177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247</v>
      </c>
      <c r="M1101" s="539"/>
      <c r="N1101" s="544" t="s">
        <v>255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248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249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250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251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252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435</v>
      </c>
    </row>
    <row r="5" spans="3:5">
      <c r="C5" s="236" t="s">
        <v>395</v>
      </c>
      <c r="D5" s="236" t="s">
        <v>393</v>
      </c>
      <c r="E5" s="309">
        <f>ROUND(Pricing!U104,0.1)/40</f>
        <v>13.05</v>
      </c>
    </row>
    <row r="6" spans="3:5">
      <c r="C6" s="236" t="s">
        <v>83</v>
      </c>
      <c r="D6" s="236" t="s">
        <v>392</v>
      </c>
      <c r="E6" s="309">
        <f>ROUND(Pricing!V104,0.1)</f>
        <v>27</v>
      </c>
    </row>
    <row r="7" spans="3:5">
      <c r="C7" s="236" t="s">
        <v>399</v>
      </c>
      <c r="D7" s="236" t="s">
        <v>391</v>
      </c>
      <c r="E7" s="309">
        <f>ROUND(Pricing!W104,0.1)</f>
        <v>435</v>
      </c>
    </row>
    <row r="8" spans="3:5">
      <c r="C8" s="236" t="s">
        <v>396</v>
      </c>
      <c r="D8" s="236" t="s">
        <v>391</v>
      </c>
      <c r="E8" s="309">
        <f>ROUND(Pricing!X104,0.1)</f>
        <v>871</v>
      </c>
    </row>
    <row r="9" spans="3:5">
      <c r="C9" t="s">
        <v>222</v>
      </c>
      <c r="D9" s="236" t="s">
        <v>394</v>
      </c>
      <c r="E9" s="309">
        <f>ROUND(Pricing!Y104,0.1)</f>
        <v>261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0"/>
  <sheetViews>
    <sheetView workbookViewId="0">
      <selection activeCell="A11" sqref="A11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SIDE HUNG DOOR WITH 2 FIXED</v>
      </c>
      <c r="D2" s="318" t="str">
        <f>'BD Team'!E9</f>
        <v>12MM</v>
      </c>
      <c r="E2" s="318" t="str">
        <f>'BD Team'!G9</f>
        <v>ELEV B-3rd FL-MD CABIN</v>
      </c>
      <c r="F2" s="318" t="str">
        <f>'BD Team'!F9</f>
        <v>NO</v>
      </c>
      <c r="I2" s="318">
        <f>'BD Team'!H9</f>
        <v>4105</v>
      </c>
      <c r="J2" s="318">
        <f>'BD Team'!I9</f>
        <v>2383</v>
      </c>
      <c r="K2" s="318">
        <f>'BD Team'!J9</f>
        <v>1</v>
      </c>
      <c r="L2" s="319">
        <f>'BD Team'!K9</f>
        <v>568.73</v>
      </c>
      <c r="M2" s="318">
        <f>Pricing!O4</f>
        <v>2190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 2 NO'S</v>
      </c>
      <c r="D3" s="318" t="str">
        <f>'BD Team'!E10</f>
        <v>12MM</v>
      </c>
      <c r="E3" s="318" t="str">
        <f>'BD Team'!G10</f>
        <v>ELEV A-3rd FL-MD CABIN</v>
      </c>
      <c r="F3" s="318" t="str">
        <f>'BD Team'!F10</f>
        <v>NO</v>
      </c>
      <c r="I3" s="318">
        <f>'BD Team'!H10</f>
        <v>3707</v>
      </c>
      <c r="J3" s="318">
        <f>'BD Team'!I10</f>
        <v>2383</v>
      </c>
      <c r="K3" s="318">
        <f>'BD Team'!J10</f>
        <v>1</v>
      </c>
      <c r="L3" s="319">
        <f>'BD Team'!K10</f>
        <v>202.88</v>
      </c>
      <c r="M3" s="318">
        <f>Pricing!O5</f>
        <v>2190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 xml:space="preserve">FIXED GLASS </v>
      </c>
      <c r="D4" s="318" t="str">
        <f>'BD Team'!E11</f>
        <v>12MM</v>
      </c>
      <c r="E4" s="318" t="str">
        <f>'BD Team'!G11</f>
        <v>ELEV C-3rd FL-MD CABIN</v>
      </c>
      <c r="F4" s="318" t="str">
        <f>'BD Team'!F11</f>
        <v>NO</v>
      </c>
      <c r="I4" s="318">
        <f>'BD Team'!H11</f>
        <v>2439</v>
      </c>
      <c r="J4" s="318">
        <f>'BD Team'!I11</f>
        <v>2383</v>
      </c>
      <c r="K4" s="318">
        <f>'BD Team'!J11</f>
        <v>1</v>
      </c>
      <c r="L4" s="319">
        <f>'BD Team'!K11</f>
        <v>102.22</v>
      </c>
      <c r="M4" s="318">
        <f>Pricing!O6</f>
        <v>2190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M15000</v>
      </c>
      <c r="C5" s="318" t="str">
        <f>'BD Team'!D12</f>
        <v xml:space="preserve">FIXED GLASS </v>
      </c>
      <c r="D5" s="318" t="str">
        <f>'BD Team'!E12</f>
        <v>12MM</v>
      </c>
      <c r="E5" s="318" t="str">
        <f>'BD Team'!G12</f>
        <v>ELEV A-3rd FL-PREMIUM LOUNGE</v>
      </c>
      <c r="F5" s="318" t="str">
        <f>'BD Team'!F12</f>
        <v>NO</v>
      </c>
      <c r="I5" s="318">
        <f>'BD Team'!H12</f>
        <v>2106</v>
      </c>
      <c r="J5" s="318">
        <f>'BD Team'!I12</f>
        <v>2383</v>
      </c>
      <c r="K5" s="318">
        <f>'BD Team'!J12</f>
        <v>1</v>
      </c>
      <c r="L5" s="319">
        <f>'BD Team'!K12</f>
        <v>95.63</v>
      </c>
      <c r="M5" s="318">
        <f>Pricing!O7</f>
        <v>2190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M15000</v>
      </c>
      <c r="C6" s="318" t="str">
        <f>'BD Team'!D13</f>
        <v>SIDE HUNG DOOR WITH 2 FIXED</v>
      </c>
      <c r="D6" s="318" t="str">
        <f>'BD Team'!E13</f>
        <v>12MM</v>
      </c>
      <c r="E6" s="318" t="str">
        <f>'BD Team'!G13</f>
        <v>ELEV D-3rd FL-PREMIUM LOUNGE</v>
      </c>
      <c r="F6" s="318" t="str">
        <f>'BD Team'!F13</f>
        <v>NO</v>
      </c>
      <c r="I6" s="318">
        <f>'BD Team'!H13</f>
        <v>4105</v>
      </c>
      <c r="J6" s="318">
        <f>'BD Team'!I13</f>
        <v>2383</v>
      </c>
      <c r="K6" s="318">
        <f>'BD Team'!J13</f>
        <v>1</v>
      </c>
      <c r="L6" s="319">
        <f>'BD Team'!K13</f>
        <v>568.73</v>
      </c>
      <c r="M6" s="318">
        <f>Pricing!O8</f>
        <v>2190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FIXED GLASS</v>
      </c>
      <c r="D7" s="318" t="str">
        <f>'BD Team'!E14</f>
        <v>12MM</v>
      </c>
      <c r="E7" s="318" t="str">
        <f>'BD Team'!G14</f>
        <v>ELEV C-3rd FL-PREMIUM LOUNGE</v>
      </c>
      <c r="F7" s="318" t="str">
        <f>'BD Team'!F14</f>
        <v>NO</v>
      </c>
      <c r="I7" s="318">
        <f>'BD Team'!H14</f>
        <v>2439</v>
      </c>
      <c r="J7" s="318">
        <f>'BD Team'!I14</f>
        <v>2383</v>
      </c>
      <c r="K7" s="318">
        <f>'BD Team'!J14</f>
        <v>1</v>
      </c>
      <c r="L7" s="319">
        <f>'BD Team'!K14</f>
        <v>102.22</v>
      </c>
      <c r="M7" s="318">
        <f>Pricing!O9</f>
        <v>2190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FAÇADE</v>
      </c>
      <c r="C8" s="318" t="str">
        <f>'BD Team'!D15</f>
        <v>CURTAIN WALL WITH 5 FIXED</v>
      </c>
      <c r="D8" s="318" t="str">
        <f>'BD Team'!E15</f>
        <v>12MM</v>
      </c>
      <c r="E8" s="318" t="str">
        <f>'BD Team'!G15</f>
        <v>W1-GROND FL-FRONT ENTRANCE</v>
      </c>
      <c r="F8" s="318" t="str">
        <f>'BD Team'!F15</f>
        <v>NO</v>
      </c>
      <c r="I8" s="318">
        <f>'BD Team'!H15</f>
        <v>6170</v>
      </c>
      <c r="J8" s="318">
        <f>'BD Team'!I15</f>
        <v>6300</v>
      </c>
      <c r="K8" s="318">
        <f>'BD Team'!J15</f>
        <v>1</v>
      </c>
      <c r="L8" s="319">
        <f>'BD Team'!K15</f>
        <v>795</v>
      </c>
      <c r="M8" s="318">
        <f>Pricing!O10</f>
        <v>2190</v>
      </c>
      <c r="N8" s="318">
        <f>Pricing!Q10</f>
        <v>0</v>
      </c>
      <c r="O8" s="318">
        <f>Pricing!R10</f>
        <v>0</v>
      </c>
      <c r="P8" s="318">
        <f>Pricing!S10</f>
        <v>9000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FAÇADE</v>
      </c>
      <c r="C9" s="318" t="str">
        <f>'BD Team'!D16</f>
        <v>CURTAIN WALL WITH 4 FIXED</v>
      </c>
      <c r="D9" s="318" t="str">
        <f>'BD Team'!E16</f>
        <v>12MM</v>
      </c>
      <c r="E9" s="318" t="str">
        <f>'BD Team'!G16</f>
        <v>W2-GROND FL-FRONT ENTRANCE</v>
      </c>
      <c r="F9" s="318" t="str">
        <f>'BD Team'!F16</f>
        <v>NO</v>
      </c>
      <c r="I9" s="318">
        <f>'BD Team'!H16</f>
        <v>3805</v>
      </c>
      <c r="J9" s="318">
        <f>'BD Team'!I16</f>
        <v>6300</v>
      </c>
      <c r="K9" s="318">
        <f>'BD Team'!J16</f>
        <v>1</v>
      </c>
      <c r="L9" s="319">
        <f>'BD Team'!K16</f>
        <v>405</v>
      </c>
      <c r="M9" s="318">
        <f>Pricing!O11</f>
        <v>2190</v>
      </c>
      <c r="N9" s="318">
        <f>Pricing!Q11</f>
        <v>0</v>
      </c>
      <c r="O9" s="318">
        <f>Pricing!R11</f>
        <v>0</v>
      </c>
      <c r="P9" s="318">
        <f>Pricing!S11</f>
        <v>17160.48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FAÇADE</v>
      </c>
      <c r="C10" s="318" t="str">
        <f>'BD Team'!D17</f>
        <v>CURTAIN WALL WITH 4 FIXED</v>
      </c>
      <c r="D10" s="318" t="str">
        <f>'BD Team'!E17</f>
        <v>12MM</v>
      </c>
      <c r="E10" s="318" t="str">
        <f>'BD Team'!G17</f>
        <v>W3-GROND FL-FRONT ENTRANCE</v>
      </c>
      <c r="F10" s="318" t="str">
        <f>'BD Team'!F17</f>
        <v>NO</v>
      </c>
      <c r="I10" s="318">
        <f>'BD Team'!H17</f>
        <v>3225</v>
      </c>
      <c r="J10" s="318">
        <f>'BD Team'!I17</f>
        <v>6300</v>
      </c>
      <c r="K10" s="318">
        <f>'BD Team'!J17</f>
        <v>1</v>
      </c>
      <c r="L10" s="319">
        <f>'BD Team'!K17</f>
        <v>365</v>
      </c>
      <c r="M10" s="318">
        <f>Pricing!O12</f>
        <v>2190</v>
      </c>
      <c r="N10" s="318">
        <f>Pricing!Q12</f>
        <v>0</v>
      </c>
      <c r="O10" s="318">
        <f>Pricing!R12</f>
        <v>0</v>
      </c>
      <c r="P10" s="318">
        <f>Pricing!S12</f>
        <v>15577.92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8" sqref="K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420</v>
      </c>
      <c r="F2" s="137"/>
      <c r="G2" s="163"/>
      <c r="H2" s="332" t="s">
        <v>184</v>
      </c>
      <c r="I2" s="333"/>
      <c r="J2" s="165" t="s">
        <v>449</v>
      </c>
      <c r="K2" s="167"/>
      <c r="L2" s="104" t="s">
        <v>207</v>
      </c>
      <c r="M2" s="104" t="s">
        <v>380</v>
      </c>
    </row>
    <row r="3" spans="1:13" s="104" customFormat="1">
      <c r="A3" s="331" t="s">
        <v>127</v>
      </c>
      <c r="B3" s="331"/>
      <c r="C3" s="331"/>
      <c r="D3" s="331"/>
      <c r="E3" s="162" t="s">
        <v>421</v>
      </c>
      <c r="F3" s="136" t="s">
        <v>182</v>
      </c>
      <c r="G3" s="162" t="s">
        <v>423</v>
      </c>
      <c r="H3" s="332" t="s">
        <v>185</v>
      </c>
      <c r="I3" s="333"/>
      <c r="J3" s="166">
        <v>43701</v>
      </c>
      <c r="K3" s="167"/>
      <c r="L3" s="104" t="s">
        <v>257</v>
      </c>
      <c r="M3" s="104" t="s">
        <v>381</v>
      </c>
    </row>
    <row r="4" spans="1:13" s="104" customFormat="1" ht="18">
      <c r="A4" s="331" t="s">
        <v>168</v>
      </c>
      <c r="B4" s="331"/>
      <c r="C4" s="331"/>
      <c r="D4" s="331"/>
      <c r="E4" s="162" t="s">
        <v>282</v>
      </c>
      <c r="F4" s="135"/>
      <c r="G4" s="164"/>
      <c r="H4" s="332" t="s">
        <v>186</v>
      </c>
      <c r="I4" s="333"/>
      <c r="J4" s="165" t="s">
        <v>402</v>
      </c>
      <c r="K4" s="167"/>
      <c r="L4" s="104" t="s">
        <v>258</v>
      </c>
      <c r="M4" s="104" t="s">
        <v>382</v>
      </c>
    </row>
    <row r="5" spans="1:13" s="104" customFormat="1">
      <c r="A5" s="331" t="s">
        <v>176</v>
      </c>
      <c r="B5" s="331"/>
      <c r="C5" s="331"/>
      <c r="D5" s="331"/>
      <c r="E5" s="162" t="s">
        <v>422</v>
      </c>
      <c r="F5" s="136" t="s">
        <v>183</v>
      </c>
      <c r="G5" s="162" t="s">
        <v>207</v>
      </c>
      <c r="H5" s="332" t="s">
        <v>374</v>
      </c>
      <c r="I5" s="333"/>
      <c r="J5" s="165"/>
      <c r="K5" s="167"/>
      <c r="L5" s="104" t="s">
        <v>259</v>
      </c>
      <c r="M5" s="104" t="s">
        <v>383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260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205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219</v>
      </c>
      <c r="L7" s="47" t="s">
        <v>261</v>
      </c>
      <c r="M7" s="47" t="s">
        <v>384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402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269</v>
      </c>
      <c r="F9" s="113" t="s">
        <v>427</v>
      </c>
      <c r="G9" s="113" t="s">
        <v>430</v>
      </c>
      <c r="H9" s="113">
        <v>4105</v>
      </c>
      <c r="I9" s="113">
        <v>2383</v>
      </c>
      <c r="J9" s="113">
        <v>1</v>
      </c>
      <c r="K9" s="123">
        <v>568.73</v>
      </c>
    </row>
    <row r="10" spans="1:13" ht="20.100000000000001" customHeight="1">
      <c r="A10" s="113">
        <v>2</v>
      </c>
      <c r="B10" s="113" t="s">
        <v>428</v>
      </c>
      <c r="C10" s="113" t="s">
        <v>425</v>
      </c>
      <c r="D10" s="113" t="s">
        <v>429</v>
      </c>
      <c r="E10" s="113" t="s">
        <v>269</v>
      </c>
      <c r="F10" s="113" t="s">
        <v>427</v>
      </c>
      <c r="G10" s="113" t="s">
        <v>431</v>
      </c>
      <c r="H10" s="113">
        <v>3707</v>
      </c>
      <c r="I10" s="113">
        <v>2383</v>
      </c>
      <c r="J10" s="113">
        <v>1</v>
      </c>
      <c r="K10" s="123">
        <v>202.88</v>
      </c>
      <c r="L10" s="47" t="s">
        <v>282</v>
      </c>
    </row>
    <row r="11" spans="1:13" ht="20.100000000000001" customHeight="1">
      <c r="A11" s="113">
        <v>3</v>
      </c>
      <c r="B11" s="113" t="s">
        <v>432</v>
      </c>
      <c r="C11" s="113" t="s">
        <v>425</v>
      </c>
      <c r="D11" s="113" t="s">
        <v>433</v>
      </c>
      <c r="E11" s="113" t="s">
        <v>269</v>
      </c>
      <c r="F11" s="113" t="s">
        <v>427</v>
      </c>
      <c r="G11" s="113" t="s">
        <v>434</v>
      </c>
      <c r="H11" s="113">
        <v>2439</v>
      </c>
      <c r="I11" s="113">
        <v>2383</v>
      </c>
      <c r="J11" s="113">
        <v>1</v>
      </c>
      <c r="K11" s="123">
        <v>102.22</v>
      </c>
      <c r="L11" s="47" t="s">
        <v>281</v>
      </c>
    </row>
    <row r="12" spans="1:13" ht="20.100000000000001" customHeight="1">
      <c r="A12" s="113">
        <v>4</v>
      </c>
      <c r="B12" s="113" t="s">
        <v>435</v>
      </c>
      <c r="C12" s="113" t="s">
        <v>425</v>
      </c>
      <c r="D12" s="113" t="s">
        <v>433</v>
      </c>
      <c r="E12" s="113" t="s">
        <v>269</v>
      </c>
      <c r="F12" s="113" t="s">
        <v>427</v>
      </c>
      <c r="G12" s="113" t="s">
        <v>436</v>
      </c>
      <c r="H12" s="113">
        <v>2106</v>
      </c>
      <c r="I12" s="113">
        <v>2383</v>
      </c>
      <c r="J12" s="113">
        <v>1</v>
      </c>
      <c r="K12" s="123">
        <v>95.63</v>
      </c>
      <c r="L12" s="47" t="s">
        <v>365</v>
      </c>
    </row>
    <row r="13" spans="1:13" ht="20.100000000000001" customHeight="1">
      <c r="A13" s="113">
        <v>5</v>
      </c>
      <c r="B13" s="113" t="s">
        <v>437</v>
      </c>
      <c r="C13" s="113" t="s">
        <v>425</v>
      </c>
      <c r="D13" s="113" t="s">
        <v>426</v>
      </c>
      <c r="E13" s="113" t="s">
        <v>269</v>
      </c>
      <c r="F13" s="113" t="s">
        <v>427</v>
      </c>
      <c r="G13" s="113" t="s">
        <v>438</v>
      </c>
      <c r="H13" s="113">
        <v>4105</v>
      </c>
      <c r="I13" s="113">
        <v>2383</v>
      </c>
      <c r="J13" s="113">
        <v>1</v>
      </c>
      <c r="K13" s="123">
        <v>568.73</v>
      </c>
      <c r="L13" s="47" t="s">
        <v>366</v>
      </c>
    </row>
    <row r="14" spans="1:13">
      <c r="A14" s="113">
        <v>6</v>
      </c>
      <c r="B14" s="113" t="s">
        <v>439</v>
      </c>
      <c r="C14" s="113" t="s">
        <v>425</v>
      </c>
      <c r="D14" s="113" t="s">
        <v>440</v>
      </c>
      <c r="E14" s="113" t="s">
        <v>269</v>
      </c>
      <c r="F14" s="113" t="s">
        <v>427</v>
      </c>
      <c r="G14" s="113" t="s">
        <v>441</v>
      </c>
      <c r="H14" s="113">
        <v>2439</v>
      </c>
      <c r="I14" s="113">
        <v>2383</v>
      </c>
      <c r="J14" s="113">
        <v>1</v>
      </c>
      <c r="K14" s="123">
        <v>102.22</v>
      </c>
      <c r="L14" s="47" t="s">
        <v>367</v>
      </c>
    </row>
    <row r="15" spans="1:13" ht="20.100000000000001" customHeight="1">
      <c r="A15" s="113">
        <v>7</v>
      </c>
      <c r="B15" s="113" t="s">
        <v>442</v>
      </c>
      <c r="C15" s="113" t="s">
        <v>454</v>
      </c>
      <c r="D15" s="113" t="s">
        <v>450</v>
      </c>
      <c r="E15" s="113" t="s">
        <v>269</v>
      </c>
      <c r="F15" s="113" t="s">
        <v>427</v>
      </c>
      <c r="G15" s="113" t="s">
        <v>443</v>
      </c>
      <c r="H15" s="113">
        <v>6170</v>
      </c>
      <c r="I15" s="113">
        <v>6300</v>
      </c>
      <c r="J15" s="113">
        <v>1</v>
      </c>
      <c r="K15" s="123">
        <v>795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454</v>
      </c>
      <c r="D16" s="113" t="s">
        <v>451</v>
      </c>
      <c r="E16" s="113" t="s">
        <v>269</v>
      </c>
      <c r="F16" s="113" t="s">
        <v>427</v>
      </c>
      <c r="G16" s="113" t="s">
        <v>445</v>
      </c>
      <c r="H16" s="113">
        <v>3805</v>
      </c>
      <c r="I16" s="113">
        <v>6300</v>
      </c>
      <c r="J16" s="113">
        <v>1</v>
      </c>
      <c r="K16" s="123">
        <v>405</v>
      </c>
      <c r="L16" s="47" t="s">
        <v>369</v>
      </c>
    </row>
    <row r="17" spans="1:13" ht="20.100000000000001" customHeight="1">
      <c r="A17" s="113">
        <v>9</v>
      </c>
      <c r="B17" s="113" t="s">
        <v>446</v>
      </c>
      <c r="C17" s="113" t="s">
        <v>454</v>
      </c>
      <c r="D17" s="113" t="s">
        <v>451</v>
      </c>
      <c r="E17" s="113" t="s">
        <v>269</v>
      </c>
      <c r="F17" s="113" t="s">
        <v>427</v>
      </c>
      <c r="G17" s="113" t="s">
        <v>447</v>
      </c>
      <c r="H17" s="113">
        <v>3225</v>
      </c>
      <c r="I17" s="113">
        <v>6300</v>
      </c>
      <c r="J17" s="113">
        <v>1</v>
      </c>
      <c r="K17" s="123">
        <v>365</v>
      </c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0" sqref="P3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398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DOOR WITH 2 FIXED</v>
      </c>
      <c r="E4" s="118" t="str">
        <f>'BD Team'!F9</f>
        <v>NO</v>
      </c>
      <c r="F4" s="121" t="str">
        <f>'BD Team'!G9</f>
        <v>ELEV B-3rd FL-MD CABIN</v>
      </c>
      <c r="G4" s="118">
        <f>'BD Team'!H9</f>
        <v>4105</v>
      </c>
      <c r="H4" s="118">
        <f>'BD Team'!I9</f>
        <v>2383</v>
      </c>
      <c r="I4" s="118">
        <f>'BD Team'!J9</f>
        <v>1</v>
      </c>
      <c r="J4" s="103">
        <f t="shared" ref="J4:J53" si="0">G4*H4*I4*10.764/1000000</f>
        <v>105.29576225999999</v>
      </c>
      <c r="K4" s="172">
        <f>'BD Team'!K9</f>
        <v>568.73</v>
      </c>
      <c r="L4" s="171">
        <f>K4*I4</f>
        <v>568.73</v>
      </c>
      <c r="M4" s="170">
        <f>L4*'Changable Values'!$D$4</f>
        <v>47204.590000000004</v>
      </c>
      <c r="N4" s="170" t="str">
        <f>'BD Team'!E9</f>
        <v>12MM</v>
      </c>
      <c r="O4" s="172">
        <f>1890+300</f>
        <v>2190</v>
      </c>
      <c r="P4" s="241"/>
      <c r="Q4" s="173"/>
      <c r="R4" s="185"/>
      <c r="S4" s="312"/>
      <c r="T4" s="313">
        <f>(G4+H4)*I4*2/300</f>
        <v>43.25333333333333</v>
      </c>
      <c r="U4" s="313">
        <f>SUM(G4:H4)*I4*2*4/1000</f>
        <v>51.904000000000003</v>
      </c>
      <c r="V4" s="313">
        <f>SUM(G4:H4)*I4*5*5*4/(1000*240)</f>
        <v>2.7033333333333331</v>
      </c>
      <c r="W4" s="313">
        <f>T4</f>
        <v>43.25333333333333</v>
      </c>
      <c r="X4" s="313">
        <f>W4*2</f>
        <v>86.506666666666661</v>
      </c>
      <c r="Y4" s="313">
        <f>SUM(G4:H4)*I4*4/1000</f>
        <v>25.952000000000002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ELEV A-3rd FL-MD CABIN</v>
      </c>
      <c r="G5" s="118">
        <f>'BD Team'!H10</f>
        <v>3707</v>
      </c>
      <c r="H5" s="118">
        <f>'BD Team'!I10</f>
        <v>2383</v>
      </c>
      <c r="I5" s="118">
        <f>'BD Team'!J10</f>
        <v>1</v>
      </c>
      <c r="J5" s="103">
        <f t="shared" si="0"/>
        <v>95.086818683999994</v>
      </c>
      <c r="K5" s="172">
        <f>'BD Team'!K10</f>
        <v>202.88</v>
      </c>
      <c r="L5" s="171">
        <f t="shared" ref="L5:L53" si="1">K5*I5</f>
        <v>202.88</v>
      </c>
      <c r="M5" s="170">
        <f>L5*'Changable Values'!$D$4</f>
        <v>16839.04</v>
      </c>
      <c r="N5" s="170" t="str">
        <f>'BD Team'!E10</f>
        <v>12MM</v>
      </c>
      <c r="O5" s="172">
        <f t="shared" ref="O5:O12" si="2">1890+300</f>
        <v>2190</v>
      </c>
      <c r="P5" s="241"/>
      <c r="Q5" s="173"/>
      <c r="R5" s="185"/>
      <c r="S5" s="312"/>
      <c r="T5" s="313">
        <f t="shared" ref="T5:T68" si="3">(G5+H5)*I5*2/300</f>
        <v>40.6</v>
      </c>
      <c r="U5" s="313">
        <f t="shared" ref="U5:U68" si="4">SUM(G5:H5)*I5*2*4/1000</f>
        <v>48.72</v>
      </c>
      <c r="V5" s="313">
        <f t="shared" ref="V5:V68" si="5">SUM(G5:H5)*I5*5*5*4/(1000*240)</f>
        <v>2.5375000000000001</v>
      </c>
      <c r="W5" s="313">
        <f t="shared" ref="W5:W68" si="6">T5</f>
        <v>40.6</v>
      </c>
      <c r="X5" s="313">
        <f t="shared" ref="X5:X68" si="7">W5*2</f>
        <v>81.2</v>
      </c>
      <c r="Y5" s="313">
        <f t="shared" ref="Y5:Y68" si="8">SUM(G5:H5)*I5*4/1000</f>
        <v>24.36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 xml:space="preserve">FIXED GLASS </v>
      </c>
      <c r="E6" s="118" t="str">
        <f>'BD Team'!F11</f>
        <v>NO</v>
      </c>
      <c r="F6" s="121" t="str">
        <f>'BD Team'!G11</f>
        <v>ELEV C-3rd FL-MD CABIN</v>
      </c>
      <c r="G6" s="118">
        <f>'BD Team'!H11</f>
        <v>2439</v>
      </c>
      <c r="H6" s="118">
        <f>'BD Team'!I11</f>
        <v>2383</v>
      </c>
      <c r="I6" s="118">
        <f>'BD Team'!J11</f>
        <v>1</v>
      </c>
      <c r="J6" s="103">
        <f t="shared" si="0"/>
        <v>62.561842667999997</v>
      </c>
      <c r="K6" s="172">
        <f>'BD Team'!K11</f>
        <v>102.22</v>
      </c>
      <c r="L6" s="171">
        <f t="shared" si="1"/>
        <v>102.22</v>
      </c>
      <c r="M6" s="170">
        <f>L6*'Changable Values'!$D$4</f>
        <v>8484.26</v>
      </c>
      <c r="N6" s="170" t="str">
        <f>'BD Team'!E11</f>
        <v>12MM</v>
      </c>
      <c r="O6" s="172">
        <f t="shared" si="2"/>
        <v>2190</v>
      </c>
      <c r="P6" s="241"/>
      <c r="Q6" s="173"/>
      <c r="R6" s="185"/>
      <c r="S6" s="312"/>
      <c r="T6" s="313">
        <f t="shared" si="3"/>
        <v>32.146666666666668</v>
      </c>
      <c r="U6" s="313">
        <f t="shared" si="4"/>
        <v>38.576000000000001</v>
      </c>
      <c r="V6" s="313">
        <f t="shared" si="5"/>
        <v>2.0091666666666668</v>
      </c>
      <c r="W6" s="313">
        <f t="shared" si="6"/>
        <v>32.146666666666668</v>
      </c>
      <c r="X6" s="313">
        <f t="shared" si="7"/>
        <v>64.293333333333337</v>
      </c>
      <c r="Y6" s="313">
        <f t="shared" si="8"/>
        <v>19.288</v>
      </c>
    </row>
    <row r="7" spans="1:25" ht="28.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 xml:space="preserve">FIXED GLASS </v>
      </c>
      <c r="E7" s="118" t="str">
        <f>'BD Team'!F12</f>
        <v>NO</v>
      </c>
      <c r="F7" s="121" t="str">
        <f>'BD Team'!G12</f>
        <v>ELEV A-3rd FL-PREMIUM LOUNGE</v>
      </c>
      <c r="G7" s="118">
        <f>'BD Team'!H12</f>
        <v>2106</v>
      </c>
      <c r="H7" s="118">
        <f>'BD Team'!I12</f>
        <v>2383</v>
      </c>
      <c r="I7" s="118">
        <f>'BD Team'!J12</f>
        <v>1</v>
      </c>
      <c r="J7" s="103">
        <f t="shared" si="0"/>
        <v>54.020188871999991</v>
      </c>
      <c r="K7" s="172">
        <f>'BD Team'!K12</f>
        <v>95.63</v>
      </c>
      <c r="L7" s="171">
        <f t="shared" si="1"/>
        <v>95.63</v>
      </c>
      <c r="M7" s="170">
        <f>L7*'Changable Values'!$D$4</f>
        <v>7937.29</v>
      </c>
      <c r="N7" s="170" t="str">
        <f>'BD Team'!E12</f>
        <v>12MM</v>
      </c>
      <c r="O7" s="172">
        <f t="shared" si="2"/>
        <v>2190</v>
      </c>
      <c r="P7" s="241"/>
      <c r="Q7" s="173"/>
      <c r="R7" s="185"/>
      <c r="S7" s="312"/>
      <c r="T7" s="313">
        <f t="shared" si="3"/>
        <v>29.926666666666666</v>
      </c>
      <c r="U7" s="313">
        <f t="shared" si="4"/>
        <v>35.911999999999999</v>
      </c>
      <c r="V7" s="313">
        <f t="shared" si="5"/>
        <v>1.8704166666666666</v>
      </c>
      <c r="W7" s="313">
        <f t="shared" si="6"/>
        <v>29.926666666666666</v>
      </c>
      <c r="X7" s="313">
        <f t="shared" si="7"/>
        <v>59.853333333333332</v>
      </c>
      <c r="Y7" s="313">
        <f t="shared" si="8"/>
        <v>17.956</v>
      </c>
    </row>
    <row r="8" spans="1:25" ht="28.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SIDE HUNG DOOR WITH 2 FIXED</v>
      </c>
      <c r="E8" s="118" t="str">
        <f>'BD Team'!F13</f>
        <v>NO</v>
      </c>
      <c r="F8" s="121" t="str">
        <f>'BD Team'!G13</f>
        <v>ELEV D-3rd FL-PREMIUM LOUNGE</v>
      </c>
      <c r="G8" s="118">
        <f>'BD Team'!H13</f>
        <v>4105</v>
      </c>
      <c r="H8" s="118">
        <f>'BD Team'!I13</f>
        <v>2383</v>
      </c>
      <c r="I8" s="118">
        <f>'BD Team'!J13</f>
        <v>1</v>
      </c>
      <c r="J8" s="103">
        <f t="shared" si="0"/>
        <v>105.29576225999999</v>
      </c>
      <c r="K8" s="172">
        <f>'BD Team'!K13</f>
        <v>568.73</v>
      </c>
      <c r="L8" s="171">
        <f t="shared" si="1"/>
        <v>568.73</v>
      </c>
      <c r="M8" s="170">
        <f>L8*'Changable Values'!$D$4</f>
        <v>47204.590000000004</v>
      </c>
      <c r="N8" s="170" t="str">
        <f>'BD Team'!E13</f>
        <v>12MM</v>
      </c>
      <c r="O8" s="172">
        <f t="shared" si="2"/>
        <v>2190</v>
      </c>
      <c r="P8" s="241"/>
      <c r="Q8" s="173"/>
      <c r="R8" s="185"/>
      <c r="S8" s="312"/>
      <c r="T8" s="313">
        <f t="shared" si="3"/>
        <v>43.25333333333333</v>
      </c>
      <c r="U8" s="313">
        <f t="shared" si="4"/>
        <v>51.904000000000003</v>
      </c>
      <c r="V8" s="313">
        <f t="shared" si="5"/>
        <v>2.7033333333333331</v>
      </c>
      <c r="W8" s="313">
        <f t="shared" si="6"/>
        <v>43.25333333333333</v>
      </c>
      <c r="X8" s="313">
        <f t="shared" si="7"/>
        <v>86.506666666666661</v>
      </c>
      <c r="Y8" s="313">
        <f t="shared" si="8"/>
        <v>25.952000000000002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ELEV C-3rd FL-PREMIUM LOUNGE</v>
      </c>
      <c r="G9" s="118">
        <f>'BD Team'!H14</f>
        <v>2439</v>
      </c>
      <c r="H9" s="118">
        <f>'BD Team'!I14</f>
        <v>2383</v>
      </c>
      <c r="I9" s="118">
        <f>'BD Team'!J14</f>
        <v>1</v>
      </c>
      <c r="J9" s="103">
        <f t="shared" si="0"/>
        <v>62.561842667999997</v>
      </c>
      <c r="K9" s="172">
        <f>'BD Team'!K14</f>
        <v>102.22</v>
      </c>
      <c r="L9" s="171">
        <f t="shared" si="1"/>
        <v>102.22</v>
      </c>
      <c r="M9" s="170">
        <f>L9*'Changable Values'!$D$4</f>
        <v>8484.26</v>
      </c>
      <c r="N9" s="170" t="str">
        <f>'BD Team'!E14</f>
        <v>12MM</v>
      </c>
      <c r="O9" s="172">
        <f t="shared" si="2"/>
        <v>2190</v>
      </c>
      <c r="P9" s="241"/>
      <c r="Q9" s="173"/>
      <c r="R9" s="185"/>
      <c r="S9" s="312"/>
      <c r="T9" s="313">
        <f t="shared" si="3"/>
        <v>32.146666666666668</v>
      </c>
      <c r="U9" s="313">
        <f t="shared" si="4"/>
        <v>38.576000000000001</v>
      </c>
      <c r="V9" s="313">
        <f t="shared" si="5"/>
        <v>2.0091666666666668</v>
      </c>
      <c r="W9" s="313">
        <f t="shared" si="6"/>
        <v>32.146666666666668</v>
      </c>
      <c r="X9" s="313">
        <f t="shared" si="7"/>
        <v>64.293333333333337</v>
      </c>
      <c r="Y9" s="313">
        <f t="shared" si="8"/>
        <v>19.288</v>
      </c>
    </row>
    <row r="10" spans="1:25" ht="28.5">
      <c r="A10" s="118">
        <f>'BD Team'!A15</f>
        <v>7</v>
      </c>
      <c r="B10" s="118" t="str">
        <f>'BD Team'!B15</f>
        <v>W7</v>
      </c>
      <c r="C10" s="118" t="str">
        <f>'BD Team'!C15</f>
        <v>FAÇADE</v>
      </c>
      <c r="D10" s="118" t="str">
        <f>'BD Team'!D15</f>
        <v>CURTAIN WALL WITH 5 FIXED</v>
      </c>
      <c r="E10" s="118" t="str">
        <f>'BD Team'!F15</f>
        <v>NO</v>
      </c>
      <c r="F10" s="121" t="str">
        <f>'BD Team'!G15</f>
        <v>W1-GROND FL-FRONT ENTRANCE</v>
      </c>
      <c r="G10" s="118">
        <f>'BD Team'!H15</f>
        <v>6170</v>
      </c>
      <c r="H10" s="118">
        <f>'BD Team'!I15</f>
        <v>6300</v>
      </c>
      <c r="I10" s="118">
        <f>'BD Team'!J15</f>
        <v>1</v>
      </c>
      <c r="J10" s="103">
        <f t="shared" si="0"/>
        <v>418.407444</v>
      </c>
      <c r="K10" s="172">
        <f>'BD Team'!K15</f>
        <v>795</v>
      </c>
      <c r="L10" s="171">
        <f t="shared" si="1"/>
        <v>795</v>
      </c>
      <c r="M10" s="170">
        <f>L10*'Changable Values'!$D$4</f>
        <v>65985</v>
      </c>
      <c r="N10" s="170" t="str">
        <f>'BD Team'!E15</f>
        <v>12MM</v>
      </c>
      <c r="O10" s="172">
        <f t="shared" si="2"/>
        <v>2190</v>
      </c>
      <c r="P10" s="241"/>
      <c r="Q10" s="173"/>
      <c r="R10" s="185"/>
      <c r="S10" s="312">
        <f>'MS insert'!P5</f>
        <v>9000</v>
      </c>
      <c r="T10" s="313">
        <f t="shared" si="3"/>
        <v>83.13333333333334</v>
      </c>
      <c r="U10" s="313">
        <f t="shared" si="4"/>
        <v>99.76</v>
      </c>
      <c r="V10" s="313">
        <f t="shared" si="5"/>
        <v>5.1958333333333337</v>
      </c>
      <c r="W10" s="313">
        <f t="shared" si="6"/>
        <v>83.13333333333334</v>
      </c>
      <c r="X10" s="313">
        <f t="shared" si="7"/>
        <v>166.26666666666668</v>
      </c>
      <c r="Y10" s="313">
        <f t="shared" si="8"/>
        <v>49.88</v>
      </c>
    </row>
    <row r="11" spans="1:25" ht="28.5">
      <c r="A11" s="118">
        <f>'BD Team'!A16</f>
        <v>8</v>
      </c>
      <c r="B11" s="118" t="str">
        <f>'BD Team'!B16</f>
        <v>W8</v>
      </c>
      <c r="C11" s="118" t="str">
        <f>'BD Team'!C16</f>
        <v>FAÇADE</v>
      </c>
      <c r="D11" s="118" t="str">
        <f>'BD Team'!D16</f>
        <v>CURTAIN WALL WITH 4 FIXED</v>
      </c>
      <c r="E11" s="118" t="str">
        <f>'BD Team'!F16</f>
        <v>NO</v>
      </c>
      <c r="F11" s="121" t="str">
        <f>'BD Team'!G16</f>
        <v>W2-GROND FL-FRONT ENTRANCE</v>
      </c>
      <c r="G11" s="118">
        <f>'BD Team'!H16</f>
        <v>3805</v>
      </c>
      <c r="H11" s="118">
        <f>'BD Team'!I16</f>
        <v>6300</v>
      </c>
      <c r="I11" s="118">
        <f>'BD Team'!J16</f>
        <v>1</v>
      </c>
      <c r="J11" s="103">
        <f t="shared" si="0"/>
        <v>258.02922599999999</v>
      </c>
      <c r="K11" s="172">
        <f>'BD Team'!K16</f>
        <v>405</v>
      </c>
      <c r="L11" s="171">
        <f t="shared" si="1"/>
        <v>405</v>
      </c>
      <c r="M11" s="170">
        <f>L11*'Changable Values'!$D$4</f>
        <v>33615</v>
      </c>
      <c r="N11" s="170" t="str">
        <f>'BD Team'!E16</f>
        <v>12MM</v>
      </c>
      <c r="O11" s="172">
        <f t="shared" si="2"/>
        <v>2190</v>
      </c>
      <c r="P11" s="241"/>
      <c r="Q11" s="173"/>
      <c r="R11" s="185"/>
      <c r="S11" s="312">
        <f>SUM('MS insert'!P6:P7)</f>
        <v>17160.48</v>
      </c>
      <c r="T11" s="313">
        <f t="shared" si="3"/>
        <v>67.36666666666666</v>
      </c>
      <c r="U11" s="313">
        <f t="shared" si="4"/>
        <v>80.84</v>
      </c>
      <c r="V11" s="313">
        <f t="shared" si="5"/>
        <v>4.2104166666666663</v>
      </c>
      <c r="W11" s="313">
        <f t="shared" si="6"/>
        <v>67.36666666666666</v>
      </c>
      <c r="X11" s="313">
        <f t="shared" si="7"/>
        <v>134.73333333333332</v>
      </c>
      <c r="Y11" s="313">
        <f t="shared" si="8"/>
        <v>40.42</v>
      </c>
    </row>
    <row r="12" spans="1:25" ht="28.5">
      <c r="A12" s="118">
        <f>'BD Team'!A17</f>
        <v>9</v>
      </c>
      <c r="B12" s="118" t="str">
        <f>'BD Team'!B17</f>
        <v>W9</v>
      </c>
      <c r="C12" s="118" t="str">
        <f>'BD Team'!C17</f>
        <v>FAÇADE</v>
      </c>
      <c r="D12" s="118" t="str">
        <f>'BD Team'!D17</f>
        <v>CURTAIN WALL WITH 4 FIXED</v>
      </c>
      <c r="E12" s="118" t="str">
        <f>'BD Team'!F17</f>
        <v>NO</v>
      </c>
      <c r="F12" s="121" t="str">
        <f>'BD Team'!G17</f>
        <v>W3-GROND FL-FRONT ENTRANCE</v>
      </c>
      <c r="G12" s="118">
        <f>'BD Team'!H17</f>
        <v>3225</v>
      </c>
      <c r="H12" s="118">
        <f>'BD Team'!I17</f>
        <v>6300</v>
      </c>
      <c r="I12" s="118">
        <f>'BD Team'!J17</f>
        <v>1</v>
      </c>
      <c r="J12" s="103">
        <f t="shared" si="0"/>
        <v>218.69757000000001</v>
      </c>
      <c r="K12" s="172">
        <f>'BD Team'!K17</f>
        <v>365</v>
      </c>
      <c r="L12" s="171">
        <f t="shared" si="1"/>
        <v>365</v>
      </c>
      <c r="M12" s="170">
        <f>L12*'Changable Values'!$D$4</f>
        <v>30295</v>
      </c>
      <c r="N12" s="170" t="str">
        <f>'BD Team'!E17</f>
        <v>12MM</v>
      </c>
      <c r="O12" s="172">
        <f t="shared" si="2"/>
        <v>2190</v>
      </c>
      <c r="P12" s="241"/>
      <c r="Q12" s="173"/>
      <c r="R12" s="185"/>
      <c r="S12" s="312">
        <f>SUM('MS insert'!P8:P9)</f>
        <v>15577.92</v>
      </c>
      <c r="T12" s="313">
        <f t="shared" si="3"/>
        <v>63.5</v>
      </c>
      <c r="U12" s="313">
        <f t="shared" si="4"/>
        <v>76.2</v>
      </c>
      <c r="V12" s="313">
        <f t="shared" si="5"/>
        <v>3.96875</v>
      </c>
      <c r="W12" s="313">
        <f t="shared" si="6"/>
        <v>63.5</v>
      </c>
      <c r="X12" s="313">
        <f t="shared" si="7"/>
        <v>127</v>
      </c>
      <c r="Y12" s="313">
        <f t="shared" si="8"/>
        <v>38.1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3205.41</v>
      </c>
      <c r="L104" s="168">
        <f>SUM(L4:L103)</f>
        <v>3205.41</v>
      </c>
      <c r="M104" s="168">
        <f>SUM(M4:M103)</f>
        <v>266049.03000000003</v>
      </c>
      <c r="T104" s="314">
        <f t="shared" ref="T104:Y104" si="17">SUM(T4:T103)</f>
        <v>435.32666666666671</v>
      </c>
      <c r="U104" s="314">
        <f t="shared" si="17"/>
        <v>522.39200000000005</v>
      </c>
      <c r="V104" s="314">
        <f t="shared" si="17"/>
        <v>27.207916666666669</v>
      </c>
      <c r="W104" s="314">
        <f t="shared" si="17"/>
        <v>435.32666666666671</v>
      </c>
      <c r="X104" s="314">
        <f t="shared" si="17"/>
        <v>870.65333333333342</v>
      </c>
      <c r="Y104" s="314">
        <f t="shared" si="17"/>
        <v>261.19600000000003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1889.874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6"/>
  <sheetViews>
    <sheetView workbookViewId="0">
      <selection activeCell="L9" sqref="L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321" t="s">
        <v>442</v>
      </c>
      <c r="B5" s="321" t="s">
        <v>452</v>
      </c>
      <c r="C5" s="238"/>
      <c r="I5" s="141">
        <v>1</v>
      </c>
      <c r="J5" s="141">
        <v>7.8499999999999993E-3</v>
      </c>
      <c r="K5" s="141">
        <v>5</v>
      </c>
      <c r="M5" s="141">
        <v>12</v>
      </c>
      <c r="N5" s="141">
        <f t="shared" ref="N5:N11" si="0">K5*M5</f>
        <v>60</v>
      </c>
      <c r="O5" s="141">
        <f t="shared" ref="O5:O11" si="1">N5*$O$3</f>
        <v>9000</v>
      </c>
      <c r="P5" s="143">
        <f t="shared" ref="P5:P11" si="2">O5/I5</f>
        <v>9000</v>
      </c>
    </row>
    <row r="6" spans="1:16">
      <c r="A6" s="321" t="s">
        <v>444</v>
      </c>
      <c r="B6" s="321" t="s">
        <v>453</v>
      </c>
      <c r="D6" s="141">
        <v>80</v>
      </c>
      <c r="E6" s="141">
        <v>40</v>
      </c>
      <c r="F6" s="141">
        <v>4</v>
      </c>
      <c r="H6" s="141">
        <v>3</v>
      </c>
      <c r="I6" s="141">
        <v>1</v>
      </c>
      <c r="J6" s="141">
        <v>7.8499999999999993E-3</v>
      </c>
      <c r="K6" s="141">
        <f t="shared" ref="K6:K11" si="3">(2*(D6+E6)-4*F6)*F6*J6</f>
        <v>7.0335999999999999</v>
      </c>
      <c r="L6" s="141">
        <v>4</v>
      </c>
      <c r="M6" s="141">
        <f t="shared" ref="M6:M11" si="4">H6*I6*L6</f>
        <v>12</v>
      </c>
      <c r="N6" s="141">
        <f t="shared" si="0"/>
        <v>84.403199999999998</v>
      </c>
      <c r="O6" s="141">
        <f t="shared" si="1"/>
        <v>12660.48</v>
      </c>
      <c r="P6" s="143">
        <f t="shared" si="2"/>
        <v>12660.48</v>
      </c>
    </row>
    <row r="7" spans="1:16">
      <c r="A7" s="321" t="s">
        <v>444</v>
      </c>
      <c r="B7" s="321" t="s">
        <v>452</v>
      </c>
      <c r="C7" s="238"/>
      <c r="I7" s="141">
        <v>1</v>
      </c>
      <c r="J7" s="141">
        <v>7.8499999999999993E-3</v>
      </c>
      <c r="K7" s="141">
        <v>5</v>
      </c>
      <c r="M7" s="141">
        <v>6</v>
      </c>
      <c r="N7" s="141">
        <f t="shared" ref="N7" si="5">K7*M7</f>
        <v>30</v>
      </c>
      <c r="O7" s="141">
        <f t="shared" ref="O7" si="6">N7*$O$3</f>
        <v>4500</v>
      </c>
      <c r="P7" s="143">
        <f t="shared" ref="P7" si="7">O7/I7</f>
        <v>4500</v>
      </c>
    </row>
    <row r="8" spans="1:16">
      <c r="A8" s="321" t="s">
        <v>446</v>
      </c>
      <c r="B8" s="321" t="s">
        <v>453</v>
      </c>
      <c r="D8" s="141">
        <v>80</v>
      </c>
      <c r="E8" s="141">
        <v>40</v>
      </c>
      <c r="F8" s="141">
        <v>4</v>
      </c>
      <c r="H8" s="141">
        <v>3</v>
      </c>
      <c r="I8" s="141">
        <v>1</v>
      </c>
      <c r="J8" s="141">
        <v>7.8499999999999993E-3</v>
      </c>
      <c r="K8" s="141">
        <f t="shared" si="3"/>
        <v>7.0335999999999999</v>
      </c>
      <c r="L8" s="141">
        <v>3.5</v>
      </c>
      <c r="M8" s="141">
        <f t="shared" si="4"/>
        <v>10.5</v>
      </c>
      <c r="N8" s="141">
        <f t="shared" si="0"/>
        <v>73.852800000000002</v>
      </c>
      <c r="O8" s="141">
        <f t="shared" si="1"/>
        <v>11077.92</v>
      </c>
      <c r="P8" s="143">
        <f t="shared" si="2"/>
        <v>11077.92</v>
      </c>
    </row>
    <row r="9" spans="1:16">
      <c r="A9" s="321" t="s">
        <v>446</v>
      </c>
      <c r="B9" s="321" t="s">
        <v>452</v>
      </c>
      <c r="C9" s="238"/>
      <c r="I9" s="141">
        <v>1</v>
      </c>
      <c r="J9" s="141">
        <v>7.8499999999999993E-3</v>
      </c>
      <c r="K9" s="141">
        <v>5</v>
      </c>
      <c r="M9" s="141">
        <v>6</v>
      </c>
      <c r="N9" s="141">
        <f t="shared" si="0"/>
        <v>30</v>
      </c>
      <c r="O9" s="141">
        <f t="shared" si="1"/>
        <v>4500</v>
      </c>
      <c r="P9" s="143">
        <f t="shared" si="2"/>
        <v>4500</v>
      </c>
    </row>
    <row r="10" spans="1:16">
      <c r="A10" s="321"/>
      <c r="J10" s="141">
        <v>7.8499999999999993E-3</v>
      </c>
      <c r="K10" s="141">
        <f t="shared" si="3"/>
        <v>0</v>
      </c>
      <c r="M10" s="141">
        <f t="shared" si="4"/>
        <v>0</v>
      </c>
      <c r="N10" s="141">
        <f t="shared" si="0"/>
        <v>0</v>
      </c>
      <c r="O10" s="141">
        <f t="shared" si="1"/>
        <v>0</v>
      </c>
      <c r="P10" s="143" t="e">
        <f t="shared" si="2"/>
        <v>#DIV/0!</v>
      </c>
    </row>
    <row r="11" spans="1:16">
      <c r="A11" s="321"/>
      <c r="J11" s="141">
        <v>7.8499999999999993E-3</v>
      </c>
      <c r="K11" s="141">
        <f t="shared" si="3"/>
        <v>0</v>
      </c>
      <c r="M11" s="141">
        <f t="shared" si="4"/>
        <v>0</v>
      </c>
      <c r="N11" s="141">
        <f t="shared" si="0"/>
        <v>0</v>
      </c>
      <c r="O11" s="141">
        <f t="shared" si="1"/>
        <v>0</v>
      </c>
      <c r="P11" s="143" t="e">
        <f t="shared" si="2"/>
        <v>#DIV/0!</v>
      </c>
    </row>
    <row r="16" spans="1:16">
      <c r="I16" s="141">
        <v>5383.38</v>
      </c>
      <c r="J16" s="141">
        <f>I16*0.00785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280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188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189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237</v>
      </c>
      <c r="AK4" s="384" t="s">
        <v>238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214</v>
      </c>
      <c r="AW4" s="369" t="s">
        <v>212</v>
      </c>
      <c r="AX4" s="372" t="s">
        <v>213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211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WITH 2 FIXED</v>
      </c>
      <c r="D8" s="131" t="str">
        <f>Pricing!B4</f>
        <v>W1</v>
      </c>
      <c r="E8" s="132" t="str">
        <f>Pricing!N4</f>
        <v>12MM</v>
      </c>
      <c r="F8" s="68">
        <f>Pricing!G4</f>
        <v>4105</v>
      </c>
      <c r="G8" s="68">
        <f>Pricing!H4</f>
        <v>2383</v>
      </c>
      <c r="H8" s="100">
        <f t="shared" ref="H8:H57" si="0">(F8*G8)/1000000</f>
        <v>9.7822150000000008</v>
      </c>
      <c r="I8" s="70">
        <f>Pricing!I4</f>
        <v>1</v>
      </c>
      <c r="J8" s="69">
        <f t="shared" ref="J8" si="1">H8*I8</f>
        <v>9.7822150000000008</v>
      </c>
      <c r="K8" s="71">
        <f t="shared" ref="K8" si="2">J8*10.764</f>
        <v>105.29576226</v>
      </c>
      <c r="L8" s="69"/>
      <c r="M8" s="72"/>
      <c r="N8" s="72"/>
      <c r="O8" s="72">
        <f t="shared" ref="O8:O35" si="3">N8*M8*L8/1000000</f>
        <v>0</v>
      </c>
      <c r="P8" s="73">
        <f>Pricing!M4</f>
        <v>47204.590000000004</v>
      </c>
      <c r="Q8" s="74">
        <f t="shared" ref="Q8:Q56" si="4">P8*$Q$6</f>
        <v>4720.4590000000007</v>
      </c>
      <c r="R8" s="74">
        <f t="shared" ref="R8:R56" si="5">(P8+Q8)*$R$6</f>
        <v>5711.7553900000012</v>
      </c>
      <c r="S8" s="74">
        <f t="shared" ref="S8:S56" si="6">(P8+Q8+R8)*$S$6</f>
        <v>288.18402195000004</v>
      </c>
      <c r="T8" s="74">
        <f t="shared" ref="T8:T56" si="7">(P8+Q8+R8+S8)*$T$6</f>
        <v>579.24988411950005</v>
      </c>
      <c r="U8" s="72">
        <f t="shared" ref="U8:U56" si="8">SUM(P8:T8)</f>
        <v>58504.238296069503</v>
      </c>
      <c r="V8" s="74">
        <f t="shared" ref="V8:V56" si="9">U8*$V$6</f>
        <v>877.56357444104253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21423.050850000003</v>
      </c>
      <c r="AE8" s="76">
        <f>((((F8+G8)*2)/305)*I8*$AE$7)</f>
        <v>1063.6065573770491</v>
      </c>
      <c r="AF8" s="343">
        <f>(((((F8*4)+(G8*4))/1000)*$AF$6*$AG$6)/300)*I8*$AF$7</f>
        <v>1089.9840000000002</v>
      </c>
      <c r="AG8" s="344"/>
      <c r="AH8" s="76">
        <f>(((F8+G8))*I8/1000)*8*$AH$7</f>
        <v>38.928000000000004</v>
      </c>
      <c r="AI8" s="76">
        <f t="shared" ref="AI8:AI57" si="15">(((F8+G8)*2*I8)/1000)*2*$AI$7</f>
        <v>129.76000000000002</v>
      </c>
      <c r="AJ8" s="76">
        <f>J8*Pricing!Q4</f>
        <v>0</v>
      </c>
      <c r="AK8" s="76">
        <f>J8*Pricing!R4</f>
        <v>0</v>
      </c>
      <c r="AL8" s="76">
        <f t="shared" ref="AL8:AL39" si="16">J8*$AL$6</f>
        <v>10529.576225999999</v>
      </c>
      <c r="AM8" s="77">
        <f t="shared" ref="AM8:AM39" si="17">$AM$6*J8</f>
        <v>0</v>
      </c>
      <c r="AN8" s="76">
        <f t="shared" ref="AN8:AN39" si="18">$AN$6*J8</f>
        <v>8423.6609807999994</v>
      </c>
      <c r="AO8" s="72">
        <f t="shared" ref="AO8:AO39" si="19">SUM(U8:V8)+SUM(AC8:AI8)-AD8</f>
        <v>61704.080427887588</v>
      </c>
      <c r="AP8" s="74">
        <f t="shared" ref="AP8:AP39" si="20">AO8*$AP$6</f>
        <v>77130.100534859492</v>
      </c>
      <c r="AQ8" s="74">
        <f t="shared" ref="AQ8:AQ56" si="21">(AO8+AP8)*$AQ$6</f>
        <v>0</v>
      </c>
      <c r="AR8" s="74">
        <f t="shared" ref="AR8:AR39" si="22">SUM(AO8:AQ8)/J8</f>
        <v>14192.509668081009</v>
      </c>
      <c r="AS8" s="72">
        <f t="shared" ref="AS8:AS39" si="23">SUM(AJ8:AQ8)+AD8+AB8</f>
        <v>179210.46901954708</v>
      </c>
      <c r="AT8" s="72">
        <f t="shared" ref="AT8:AT39" si="24">AS8/J8</f>
        <v>18320.02966808101</v>
      </c>
      <c r="AU8" s="78">
        <f t="shared" ref="AU8:AU56" si="25">AT8/10.764</f>
        <v>1701.9722842884626</v>
      </c>
      <c r="AV8" s="79">
        <f t="shared" ref="AV8:AV39" si="26">K8/$K$109</f>
        <v>7.6303684579638056E-2</v>
      </c>
      <c r="AW8" s="80">
        <f t="shared" ref="AW8:AW39" si="27">(U8+V8)/(J8*10.764)</f>
        <v>563.95243831259711</v>
      </c>
      <c r="AX8" s="81">
        <f t="shared" ref="AX8:AX39" si="28">SUM(W8:AN8,AP8)/(J8*10.764)</f>
        <v>1138.0198459758653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W2</v>
      </c>
      <c r="E9" s="132" t="str">
        <f>Pricing!N5</f>
        <v>12MM</v>
      </c>
      <c r="F9" s="68">
        <f>Pricing!G5</f>
        <v>3707</v>
      </c>
      <c r="G9" s="68">
        <f>Pricing!H5</f>
        <v>2383</v>
      </c>
      <c r="H9" s="100">
        <f t="shared" si="0"/>
        <v>8.8337810000000001</v>
      </c>
      <c r="I9" s="70">
        <f>Pricing!I5</f>
        <v>1</v>
      </c>
      <c r="J9" s="69">
        <f t="shared" ref="J9:J58" si="30">H9*I9</f>
        <v>8.8337810000000001</v>
      </c>
      <c r="K9" s="71">
        <f t="shared" ref="K9:K58" si="31">J9*10.764</f>
        <v>95.086818683999994</v>
      </c>
      <c r="L9" s="69"/>
      <c r="M9" s="72"/>
      <c r="N9" s="72"/>
      <c r="O9" s="72">
        <f t="shared" si="3"/>
        <v>0</v>
      </c>
      <c r="P9" s="73">
        <f>Pricing!M5</f>
        <v>16839.04</v>
      </c>
      <c r="Q9" s="74">
        <f t="shared" ref="Q9:Q14" si="32">P9*$Q$6</f>
        <v>1683.9040000000002</v>
      </c>
      <c r="R9" s="74">
        <f t="shared" ref="R9:R14" si="33">(P9+Q9)*$R$6</f>
        <v>2037.5238400000001</v>
      </c>
      <c r="S9" s="74">
        <f t="shared" ref="S9:S14" si="34">(P9+Q9+R9)*$S$6</f>
        <v>102.80233920000001</v>
      </c>
      <c r="T9" s="74">
        <f t="shared" ref="T9:T14" si="35">(P9+Q9+R9+S9)*$T$6</f>
        <v>206.63270179200001</v>
      </c>
      <c r="U9" s="72">
        <f t="shared" ref="U9:U14" si="36">SUM(P9:T9)</f>
        <v>20869.902880992002</v>
      </c>
      <c r="V9" s="74">
        <f t="shared" ref="V9:V14" si="37">U9*$V$6</f>
        <v>313.04854321488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19345.980390000001</v>
      </c>
      <c r="AE9" s="76">
        <f t="shared" ref="AE9:AE57" si="43">((((F9+G9)*2)/305)*I9*$AE$7)</f>
        <v>998.36065573770497</v>
      </c>
      <c r="AF9" s="343">
        <f t="shared" ref="AF9:AF57" si="44">(((((F9*4)+(G9*4))/1000)*$AF$6*$AG$6)/300)*I9*$AF$7</f>
        <v>1023.12</v>
      </c>
      <c r="AG9" s="344"/>
      <c r="AH9" s="76">
        <f t="shared" ref="AH9:AH72" si="45">(((F9+G9))*I9/1000)*8*$AH$7</f>
        <v>36.54</v>
      </c>
      <c r="AI9" s="76">
        <f t="shared" si="15"/>
        <v>121.8</v>
      </c>
      <c r="AJ9" s="76">
        <f>J9*Pricing!Q5</f>
        <v>0</v>
      </c>
      <c r="AK9" s="76">
        <f>J9*Pricing!R5</f>
        <v>0</v>
      </c>
      <c r="AL9" s="76">
        <f t="shared" si="16"/>
        <v>9508.6818683999991</v>
      </c>
      <c r="AM9" s="77">
        <f t="shared" si="17"/>
        <v>0</v>
      </c>
      <c r="AN9" s="76">
        <f t="shared" si="18"/>
        <v>7606.9454947199993</v>
      </c>
      <c r="AO9" s="72">
        <f t="shared" si="19"/>
        <v>23362.772079944592</v>
      </c>
      <c r="AP9" s="74">
        <f t="shared" si="20"/>
        <v>29203.465099930741</v>
      </c>
      <c r="AQ9" s="74">
        <f t="shared" ref="AQ9:AQ14" si="46">(AO9+AP9)*$AQ$6</f>
        <v>0</v>
      </c>
      <c r="AR9" s="74">
        <f t="shared" si="22"/>
        <v>5950.5932035076858</v>
      </c>
      <c r="AS9" s="72">
        <f t="shared" si="23"/>
        <v>89027.844932995329</v>
      </c>
      <c r="AT9" s="72">
        <f t="shared" si="24"/>
        <v>10078.113203507686</v>
      </c>
      <c r="AU9" s="78">
        <f t="shared" ref="AU9:AU14" si="47">AT9/10.764</f>
        <v>936.27956182717264</v>
      </c>
      <c r="AV9" s="79">
        <f t="shared" si="26"/>
        <v>6.8905665952915529E-2</v>
      </c>
      <c r="AW9" s="80">
        <f t="shared" si="27"/>
        <v>222.77484637070188</v>
      </c>
      <c r="AX9" s="81">
        <f t="shared" si="28"/>
        <v>713.50471545647076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 xml:space="preserve">FIXED GLASS </v>
      </c>
      <c r="D10" s="131" t="str">
        <f>Pricing!B6</f>
        <v>W3</v>
      </c>
      <c r="E10" s="132" t="str">
        <f>Pricing!N6</f>
        <v>12MM</v>
      </c>
      <c r="F10" s="68">
        <f>Pricing!G6</f>
        <v>2439</v>
      </c>
      <c r="G10" s="68">
        <f>Pricing!H6</f>
        <v>2383</v>
      </c>
      <c r="H10" s="100">
        <f t="shared" si="0"/>
        <v>5.8121369999999999</v>
      </c>
      <c r="I10" s="70">
        <f>Pricing!I6</f>
        <v>1</v>
      </c>
      <c r="J10" s="69">
        <f t="shared" si="30"/>
        <v>5.8121369999999999</v>
      </c>
      <c r="K10" s="71">
        <f t="shared" si="31"/>
        <v>62.561842667999997</v>
      </c>
      <c r="L10" s="69"/>
      <c r="M10" s="72"/>
      <c r="N10" s="72"/>
      <c r="O10" s="72">
        <f t="shared" si="3"/>
        <v>0</v>
      </c>
      <c r="P10" s="73">
        <f>Pricing!M6</f>
        <v>8484.26</v>
      </c>
      <c r="Q10" s="74">
        <f t="shared" si="32"/>
        <v>848.42600000000004</v>
      </c>
      <c r="R10" s="74">
        <f t="shared" si="33"/>
        <v>1026.59546</v>
      </c>
      <c r="S10" s="74">
        <f t="shared" si="34"/>
        <v>51.796407299999998</v>
      </c>
      <c r="T10" s="74">
        <f t="shared" si="35"/>
        <v>104.11077867300001</v>
      </c>
      <c r="U10" s="72">
        <f t="shared" si="36"/>
        <v>10515.188645973001</v>
      </c>
      <c r="V10" s="74">
        <f t="shared" si="37"/>
        <v>157.72782968959501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12728.580029999999</v>
      </c>
      <c r="AE10" s="76">
        <f t="shared" si="43"/>
        <v>790.49180327868851</v>
      </c>
      <c r="AF10" s="343">
        <f t="shared" si="44"/>
        <v>810.096</v>
      </c>
      <c r="AG10" s="344"/>
      <c r="AH10" s="76">
        <f t="shared" si="45"/>
        <v>28.932000000000002</v>
      </c>
      <c r="AI10" s="76">
        <f t="shared" si="15"/>
        <v>96.44</v>
      </c>
      <c r="AJ10" s="76">
        <f>J10*Pricing!Q6</f>
        <v>0</v>
      </c>
      <c r="AK10" s="76">
        <f>J10*Pricing!R6</f>
        <v>0</v>
      </c>
      <c r="AL10" s="76">
        <f t="shared" si="16"/>
        <v>6256.184266799999</v>
      </c>
      <c r="AM10" s="77">
        <f t="shared" si="17"/>
        <v>0</v>
      </c>
      <c r="AN10" s="76">
        <f t="shared" si="18"/>
        <v>5004.9474134399989</v>
      </c>
      <c r="AO10" s="72">
        <f t="shared" si="19"/>
        <v>12398.876278941285</v>
      </c>
      <c r="AP10" s="74">
        <f t="shared" si="20"/>
        <v>15498.595348676607</v>
      </c>
      <c r="AQ10" s="74">
        <f t="shared" si="46"/>
        <v>0</v>
      </c>
      <c r="AR10" s="74">
        <f t="shared" si="22"/>
        <v>4799.8647704997129</v>
      </c>
      <c r="AS10" s="72">
        <f t="shared" si="23"/>
        <v>51887.183337857889</v>
      </c>
      <c r="AT10" s="72">
        <f t="shared" si="24"/>
        <v>8927.3847704997133</v>
      </c>
      <c r="AU10" s="78">
        <f t="shared" si="47"/>
        <v>829.37428191190202</v>
      </c>
      <c r="AV10" s="79">
        <f t="shared" si="26"/>
        <v>4.5336099071799564E-2</v>
      </c>
      <c r="AW10" s="80">
        <f t="shared" si="27"/>
        <v>170.59785998153995</v>
      </c>
      <c r="AX10" s="81">
        <f t="shared" si="28"/>
        <v>658.77642193036218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 xml:space="preserve">FIXED GLASS </v>
      </c>
      <c r="D11" s="131" t="str">
        <f>Pricing!B7</f>
        <v>W4</v>
      </c>
      <c r="E11" s="132" t="str">
        <f>Pricing!N7</f>
        <v>12MM</v>
      </c>
      <c r="F11" s="68">
        <f>Pricing!G7</f>
        <v>2106</v>
      </c>
      <c r="G11" s="68">
        <f>Pricing!H7</f>
        <v>2383</v>
      </c>
      <c r="H11" s="100">
        <f t="shared" si="0"/>
        <v>5.0185979999999999</v>
      </c>
      <c r="I11" s="70">
        <f>Pricing!I7</f>
        <v>1</v>
      </c>
      <c r="J11" s="69">
        <f t="shared" si="30"/>
        <v>5.0185979999999999</v>
      </c>
      <c r="K11" s="71">
        <f t="shared" si="31"/>
        <v>54.020188871999999</v>
      </c>
      <c r="L11" s="69"/>
      <c r="M11" s="72"/>
      <c r="N11" s="72"/>
      <c r="O11" s="72">
        <f t="shared" si="3"/>
        <v>0</v>
      </c>
      <c r="P11" s="73">
        <f>Pricing!M7</f>
        <v>7937.29</v>
      </c>
      <c r="Q11" s="74">
        <f t="shared" si="32"/>
        <v>793.72900000000004</v>
      </c>
      <c r="R11" s="74">
        <f t="shared" si="33"/>
        <v>960.41209000000003</v>
      </c>
      <c r="S11" s="74">
        <f t="shared" si="34"/>
        <v>48.457155450000002</v>
      </c>
      <c r="T11" s="74">
        <f t="shared" si="35"/>
        <v>97.398882454499997</v>
      </c>
      <c r="U11" s="72">
        <f t="shared" si="36"/>
        <v>9837.2871279044994</v>
      </c>
      <c r="V11" s="74">
        <f t="shared" si="37"/>
        <v>147.55930691856747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10990.72962</v>
      </c>
      <c r="AE11" s="76">
        <f t="shared" si="43"/>
        <v>735.90163934426232</v>
      </c>
      <c r="AF11" s="343">
        <f t="shared" si="44"/>
        <v>754.15199999999993</v>
      </c>
      <c r="AG11" s="344"/>
      <c r="AH11" s="76">
        <f t="shared" si="45"/>
        <v>26.933999999999997</v>
      </c>
      <c r="AI11" s="76">
        <f t="shared" si="15"/>
        <v>89.78</v>
      </c>
      <c r="AJ11" s="76">
        <f>J11*Pricing!Q7</f>
        <v>0</v>
      </c>
      <c r="AK11" s="76">
        <f>J11*Pricing!R7</f>
        <v>0</v>
      </c>
      <c r="AL11" s="76">
        <f t="shared" si="16"/>
        <v>5402.018887199999</v>
      </c>
      <c r="AM11" s="77">
        <f t="shared" si="17"/>
        <v>0</v>
      </c>
      <c r="AN11" s="76">
        <f t="shared" si="18"/>
        <v>4321.6151097599995</v>
      </c>
      <c r="AO11" s="72">
        <f t="shared" si="19"/>
        <v>11591.614074167328</v>
      </c>
      <c r="AP11" s="74">
        <f t="shared" si="20"/>
        <v>14489.51759270916</v>
      </c>
      <c r="AQ11" s="74">
        <f t="shared" si="46"/>
        <v>0</v>
      </c>
      <c r="AR11" s="74">
        <f t="shared" si="22"/>
        <v>5196.8959591655857</v>
      </c>
      <c r="AS11" s="72">
        <f t="shared" si="23"/>
        <v>46795.495283836484</v>
      </c>
      <c r="AT11" s="72">
        <f t="shared" si="24"/>
        <v>9324.4159591655844</v>
      </c>
      <c r="AU11" s="78">
        <f t="shared" si="47"/>
        <v>866.25937933533862</v>
      </c>
      <c r="AV11" s="79">
        <f t="shared" si="26"/>
        <v>3.9146299567531725E-2</v>
      </c>
      <c r="AW11" s="80">
        <f t="shared" si="27"/>
        <v>184.83545954424568</v>
      </c>
      <c r="AX11" s="81">
        <f t="shared" si="28"/>
        <v>681.423919791093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DOOR WITH 2 FIXED</v>
      </c>
      <c r="D12" s="131" t="str">
        <f>Pricing!B8</f>
        <v>W5</v>
      </c>
      <c r="E12" s="132" t="str">
        <f>Pricing!N8</f>
        <v>12MM</v>
      </c>
      <c r="F12" s="68">
        <f>Pricing!G8</f>
        <v>4105</v>
      </c>
      <c r="G12" s="68">
        <f>Pricing!H8</f>
        <v>2383</v>
      </c>
      <c r="H12" s="100">
        <f t="shared" si="0"/>
        <v>9.7822150000000008</v>
      </c>
      <c r="I12" s="70">
        <f>Pricing!I8</f>
        <v>1</v>
      </c>
      <c r="J12" s="69">
        <f t="shared" si="30"/>
        <v>9.7822150000000008</v>
      </c>
      <c r="K12" s="71">
        <f t="shared" si="31"/>
        <v>105.29576226</v>
      </c>
      <c r="L12" s="69"/>
      <c r="M12" s="72"/>
      <c r="N12" s="72"/>
      <c r="O12" s="72">
        <f t="shared" si="3"/>
        <v>0</v>
      </c>
      <c r="P12" s="73">
        <f>Pricing!M8</f>
        <v>47204.590000000004</v>
      </c>
      <c r="Q12" s="74">
        <f t="shared" si="32"/>
        <v>4720.4590000000007</v>
      </c>
      <c r="R12" s="74">
        <f t="shared" si="33"/>
        <v>5711.7553900000012</v>
      </c>
      <c r="S12" s="74">
        <f t="shared" si="34"/>
        <v>288.18402195000004</v>
      </c>
      <c r="T12" s="74">
        <f t="shared" si="35"/>
        <v>579.24988411950005</v>
      </c>
      <c r="U12" s="72">
        <f t="shared" si="36"/>
        <v>58504.238296069503</v>
      </c>
      <c r="V12" s="74">
        <f t="shared" si="37"/>
        <v>877.56357444104253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21423.050850000003</v>
      </c>
      <c r="AE12" s="76">
        <f t="shared" si="43"/>
        <v>1063.6065573770491</v>
      </c>
      <c r="AF12" s="343">
        <f t="shared" si="44"/>
        <v>1089.9840000000002</v>
      </c>
      <c r="AG12" s="344"/>
      <c r="AH12" s="76">
        <f t="shared" si="45"/>
        <v>38.928000000000004</v>
      </c>
      <c r="AI12" s="76">
        <f t="shared" si="15"/>
        <v>129.76000000000002</v>
      </c>
      <c r="AJ12" s="76">
        <f>J12*Pricing!Q8</f>
        <v>0</v>
      </c>
      <c r="AK12" s="76">
        <f>J12*Pricing!R8</f>
        <v>0</v>
      </c>
      <c r="AL12" s="76">
        <f t="shared" si="16"/>
        <v>10529.576225999999</v>
      </c>
      <c r="AM12" s="77">
        <f t="shared" si="17"/>
        <v>0</v>
      </c>
      <c r="AN12" s="76">
        <f t="shared" si="18"/>
        <v>8423.6609807999994</v>
      </c>
      <c r="AO12" s="72">
        <f t="shared" si="19"/>
        <v>61704.080427887588</v>
      </c>
      <c r="AP12" s="74">
        <f t="shared" si="20"/>
        <v>77130.100534859492</v>
      </c>
      <c r="AQ12" s="74">
        <f t="shared" si="46"/>
        <v>0</v>
      </c>
      <c r="AR12" s="74">
        <f t="shared" si="22"/>
        <v>14192.509668081009</v>
      </c>
      <c r="AS12" s="72">
        <f t="shared" si="23"/>
        <v>179210.46901954708</v>
      </c>
      <c r="AT12" s="72">
        <f t="shared" si="24"/>
        <v>18320.02966808101</v>
      </c>
      <c r="AU12" s="78">
        <f t="shared" si="47"/>
        <v>1701.9722842884626</v>
      </c>
      <c r="AV12" s="79">
        <f t="shared" si="26"/>
        <v>7.6303684579638056E-2</v>
      </c>
      <c r="AW12" s="80">
        <f t="shared" si="27"/>
        <v>563.95243831259711</v>
      </c>
      <c r="AX12" s="81">
        <f t="shared" si="28"/>
        <v>1138.0198459758653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W6</v>
      </c>
      <c r="E13" s="132" t="str">
        <f>Pricing!N9</f>
        <v>12MM</v>
      </c>
      <c r="F13" s="68">
        <f>Pricing!G9</f>
        <v>2439</v>
      </c>
      <c r="G13" s="68">
        <f>Pricing!H9</f>
        <v>2383</v>
      </c>
      <c r="H13" s="100">
        <f t="shared" si="0"/>
        <v>5.8121369999999999</v>
      </c>
      <c r="I13" s="70">
        <f>Pricing!I9</f>
        <v>1</v>
      </c>
      <c r="J13" s="69">
        <f t="shared" si="30"/>
        <v>5.8121369999999999</v>
      </c>
      <c r="K13" s="71">
        <f t="shared" si="31"/>
        <v>62.561842667999997</v>
      </c>
      <c r="L13" s="69"/>
      <c r="M13" s="72"/>
      <c r="N13" s="72"/>
      <c r="O13" s="72">
        <f t="shared" si="3"/>
        <v>0</v>
      </c>
      <c r="P13" s="73">
        <f>Pricing!M9</f>
        <v>8484.26</v>
      </c>
      <c r="Q13" s="74">
        <f t="shared" si="32"/>
        <v>848.42600000000004</v>
      </c>
      <c r="R13" s="74">
        <f t="shared" si="33"/>
        <v>1026.59546</v>
      </c>
      <c r="S13" s="74">
        <f t="shared" si="34"/>
        <v>51.796407299999998</v>
      </c>
      <c r="T13" s="74">
        <f t="shared" si="35"/>
        <v>104.11077867300001</v>
      </c>
      <c r="U13" s="72">
        <f t="shared" si="36"/>
        <v>10515.188645973001</v>
      </c>
      <c r="V13" s="74">
        <f t="shared" si="37"/>
        <v>157.72782968959501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12728.580029999999</v>
      </c>
      <c r="AE13" s="76">
        <f t="shared" si="43"/>
        <v>790.49180327868851</v>
      </c>
      <c r="AF13" s="343">
        <f t="shared" si="44"/>
        <v>810.096</v>
      </c>
      <c r="AG13" s="344"/>
      <c r="AH13" s="76">
        <f t="shared" si="45"/>
        <v>28.932000000000002</v>
      </c>
      <c r="AI13" s="76">
        <f t="shared" si="15"/>
        <v>96.44</v>
      </c>
      <c r="AJ13" s="76">
        <f>J13*Pricing!Q9</f>
        <v>0</v>
      </c>
      <c r="AK13" s="76">
        <f>J13*Pricing!R9</f>
        <v>0</v>
      </c>
      <c r="AL13" s="76">
        <f t="shared" si="16"/>
        <v>6256.184266799999</v>
      </c>
      <c r="AM13" s="77">
        <f t="shared" si="17"/>
        <v>0</v>
      </c>
      <c r="AN13" s="76">
        <f t="shared" si="18"/>
        <v>5004.9474134399989</v>
      </c>
      <c r="AO13" s="72">
        <f t="shared" si="19"/>
        <v>12398.876278941285</v>
      </c>
      <c r="AP13" s="74">
        <f t="shared" si="20"/>
        <v>15498.595348676607</v>
      </c>
      <c r="AQ13" s="74">
        <f t="shared" si="46"/>
        <v>0</v>
      </c>
      <c r="AR13" s="74">
        <f t="shared" si="22"/>
        <v>4799.8647704997129</v>
      </c>
      <c r="AS13" s="72">
        <f t="shared" si="23"/>
        <v>51887.183337857889</v>
      </c>
      <c r="AT13" s="72">
        <f t="shared" si="24"/>
        <v>8927.3847704997133</v>
      </c>
      <c r="AU13" s="78">
        <f t="shared" si="47"/>
        <v>829.37428191190202</v>
      </c>
      <c r="AV13" s="79">
        <f t="shared" si="26"/>
        <v>4.5336099071799564E-2</v>
      </c>
      <c r="AW13" s="80">
        <f t="shared" si="27"/>
        <v>170.59785998153995</v>
      </c>
      <c r="AX13" s="81">
        <f t="shared" si="28"/>
        <v>658.77642193036218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CURTAIN WALL WITH 5 FIXED</v>
      </c>
      <c r="D14" s="131" t="str">
        <f>Pricing!B10</f>
        <v>W7</v>
      </c>
      <c r="E14" s="132" t="str">
        <f>Pricing!N10</f>
        <v>12MM</v>
      </c>
      <c r="F14" s="68">
        <f>Pricing!G10</f>
        <v>6170</v>
      </c>
      <c r="G14" s="68">
        <f>Pricing!H10</f>
        <v>6300</v>
      </c>
      <c r="H14" s="100">
        <f t="shared" si="0"/>
        <v>38.871000000000002</v>
      </c>
      <c r="I14" s="70">
        <f>Pricing!I10</f>
        <v>1</v>
      </c>
      <c r="J14" s="69">
        <f t="shared" si="30"/>
        <v>38.871000000000002</v>
      </c>
      <c r="K14" s="71">
        <f t="shared" si="31"/>
        <v>418.407444</v>
      </c>
      <c r="L14" s="69"/>
      <c r="M14" s="72"/>
      <c r="N14" s="72"/>
      <c r="O14" s="72">
        <f t="shared" si="3"/>
        <v>0</v>
      </c>
      <c r="P14" s="73">
        <f>Pricing!M10</f>
        <v>65985</v>
      </c>
      <c r="Q14" s="74">
        <f t="shared" si="32"/>
        <v>6598.5</v>
      </c>
      <c r="R14" s="74">
        <f t="shared" si="33"/>
        <v>7984.1850000000004</v>
      </c>
      <c r="S14" s="74">
        <f t="shared" si="34"/>
        <v>402.83842499999997</v>
      </c>
      <c r="T14" s="74">
        <f t="shared" si="35"/>
        <v>809.70523424999999</v>
      </c>
      <c r="U14" s="72">
        <f t="shared" si="36"/>
        <v>81780.228659249988</v>
      </c>
      <c r="V14" s="74">
        <f t="shared" si="37"/>
        <v>1226.7034298887497</v>
      </c>
      <c r="W14" s="73">
        <f>Pricing!S10*I14</f>
        <v>9000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9000</v>
      </c>
      <c r="AC14" s="75">
        <v>0</v>
      </c>
      <c r="AD14" s="101">
        <f>(J14*Pricing!O10)+(O14*Pricing!P10)</f>
        <v>85127.49</v>
      </c>
      <c r="AE14" s="76">
        <f t="shared" si="43"/>
        <v>2044.2622950819673</v>
      </c>
      <c r="AF14" s="343">
        <f t="shared" si="44"/>
        <v>2094.96</v>
      </c>
      <c r="AG14" s="344"/>
      <c r="AH14" s="76">
        <f t="shared" si="45"/>
        <v>74.820000000000007</v>
      </c>
      <c r="AI14" s="76">
        <f t="shared" si="15"/>
        <v>249.4</v>
      </c>
      <c r="AJ14" s="76">
        <f>J14*Pricing!Q10</f>
        <v>0</v>
      </c>
      <c r="AK14" s="76">
        <f>J14*Pricing!R10</f>
        <v>0</v>
      </c>
      <c r="AL14" s="76">
        <f t="shared" si="16"/>
        <v>41840.744399999996</v>
      </c>
      <c r="AM14" s="77">
        <f t="shared" si="17"/>
        <v>0</v>
      </c>
      <c r="AN14" s="76">
        <f t="shared" si="18"/>
        <v>33472.595519999995</v>
      </c>
      <c r="AO14" s="72">
        <f t="shared" si="19"/>
        <v>87470.374384220704</v>
      </c>
      <c r="AP14" s="74">
        <f t="shared" si="20"/>
        <v>109337.96798027588</v>
      </c>
      <c r="AQ14" s="74">
        <f t="shared" si="46"/>
        <v>0</v>
      </c>
      <c r="AR14" s="74">
        <f t="shared" si="22"/>
        <v>5063.114979406153</v>
      </c>
      <c r="AS14" s="72">
        <f t="shared" si="23"/>
        <v>366249.17228449654</v>
      </c>
      <c r="AT14" s="72">
        <f t="shared" si="24"/>
        <v>9422.1700569704026</v>
      </c>
      <c r="AU14" s="78">
        <f t="shared" si="47"/>
        <v>875.34095661189178</v>
      </c>
      <c r="AV14" s="79">
        <f t="shared" si="26"/>
        <v>0.30320336685455296</v>
      </c>
      <c r="AW14" s="80">
        <f t="shared" si="27"/>
        <v>198.38779945114632</v>
      </c>
      <c r="AX14" s="81">
        <f t="shared" si="28"/>
        <v>698.46329071372327</v>
      </c>
      <c r="AY14" s="82"/>
      <c r="AZ14" s="83">
        <f t="shared" si="48"/>
        <v>-21.510133552977777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CURTAIN WALL WITH 4 FIXED</v>
      </c>
      <c r="D15" s="131" t="str">
        <f>Pricing!B11</f>
        <v>W8</v>
      </c>
      <c r="E15" s="132" t="str">
        <f>Pricing!N11</f>
        <v>12MM</v>
      </c>
      <c r="F15" s="68">
        <f>Pricing!G11</f>
        <v>3805</v>
      </c>
      <c r="G15" s="68">
        <f>Pricing!H11</f>
        <v>6300</v>
      </c>
      <c r="H15" s="100">
        <f t="shared" si="0"/>
        <v>23.971499999999999</v>
      </c>
      <c r="I15" s="70">
        <f>Pricing!I11</f>
        <v>1</v>
      </c>
      <c r="J15" s="69">
        <f t="shared" si="30"/>
        <v>23.971499999999999</v>
      </c>
      <c r="K15" s="71">
        <f t="shared" si="31"/>
        <v>258.02922599999999</v>
      </c>
      <c r="L15" s="69"/>
      <c r="M15" s="72"/>
      <c r="N15" s="72"/>
      <c r="O15" s="72">
        <f t="shared" si="3"/>
        <v>0</v>
      </c>
      <c r="P15" s="73">
        <f>Pricing!M11</f>
        <v>33615</v>
      </c>
      <c r="Q15" s="74">
        <f t="shared" si="4"/>
        <v>3361.5</v>
      </c>
      <c r="R15" s="74">
        <f t="shared" si="5"/>
        <v>4067.415</v>
      </c>
      <c r="S15" s="74">
        <f t="shared" si="6"/>
        <v>205.21957500000002</v>
      </c>
      <c r="T15" s="74">
        <f t="shared" si="7"/>
        <v>412.49134575000005</v>
      </c>
      <c r="U15" s="72">
        <f t="shared" si="8"/>
        <v>41661.625920750004</v>
      </c>
      <c r="V15" s="74">
        <f t="shared" si="9"/>
        <v>624.92438881125008</v>
      </c>
      <c r="W15" s="73">
        <f>Pricing!S11*I15</f>
        <v>17160.48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17160.48</v>
      </c>
      <c r="AC15" s="75">
        <v>0</v>
      </c>
      <c r="AD15" s="101">
        <f>(J15*Pricing!O11)+(O15*Pricing!P11)</f>
        <v>52497.584999999999</v>
      </c>
      <c r="AE15" s="76">
        <f t="shared" si="43"/>
        <v>1656.5573770491803</v>
      </c>
      <c r="AF15" s="343">
        <f t="shared" si="44"/>
        <v>1697.64</v>
      </c>
      <c r="AG15" s="344"/>
      <c r="AH15" s="76">
        <f t="shared" si="45"/>
        <v>60.63</v>
      </c>
      <c r="AI15" s="76">
        <f t="shared" ref="AI15:AI20" si="49">(((F15+G15)*2*I15)/1000)*2*$AI$7</f>
        <v>202.10000000000002</v>
      </c>
      <c r="AJ15" s="76">
        <f>J15*Pricing!Q11</f>
        <v>0</v>
      </c>
      <c r="AK15" s="76">
        <f>J15*Pricing!R11</f>
        <v>0</v>
      </c>
      <c r="AL15" s="76">
        <f t="shared" si="16"/>
        <v>25802.922599999994</v>
      </c>
      <c r="AM15" s="77">
        <f t="shared" si="17"/>
        <v>0</v>
      </c>
      <c r="AN15" s="76">
        <f t="shared" si="18"/>
        <v>20642.338079999998</v>
      </c>
      <c r="AO15" s="72">
        <f t="shared" si="19"/>
        <v>45903.477686610429</v>
      </c>
      <c r="AP15" s="74">
        <f t="shared" si="20"/>
        <v>57379.347108263035</v>
      </c>
      <c r="AQ15" s="74">
        <f t="shared" si="21"/>
        <v>0</v>
      </c>
      <c r="AR15" s="74">
        <f t="shared" si="22"/>
        <v>4308.5674569748853</v>
      </c>
      <c r="AS15" s="72">
        <f t="shared" si="23"/>
        <v>219386.15047487346</v>
      </c>
      <c r="AT15" s="72">
        <f t="shared" si="24"/>
        <v>9151.9575527135748</v>
      </c>
      <c r="AU15" s="78">
        <f t="shared" si="25"/>
        <v>850.23760244459083</v>
      </c>
      <c r="AV15" s="79">
        <f t="shared" si="26"/>
        <v>0.18698359981873161</v>
      </c>
      <c r="AW15" s="80">
        <f t="shared" si="27"/>
        <v>163.88279329862135</v>
      </c>
      <c r="AX15" s="81">
        <f t="shared" si="28"/>
        <v>752.86076378538678</v>
      </c>
      <c r="AY15" s="82"/>
      <c r="AZ15" s="83">
        <f t="shared" si="29"/>
        <v>-66.505954639417268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CURTAIN WALL WITH 4 FIXED</v>
      </c>
      <c r="D16" s="131" t="str">
        <f>Pricing!B12</f>
        <v>W9</v>
      </c>
      <c r="E16" s="132" t="str">
        <f>Pricing!N12</f>
        <v>12MM</v>
      </c>
      <c r="F16" s="68">
        <f>Pricing!G12</f>
        <v>3225</v>
      </c>
      <c r="G16" s="68">
        <f>Pricing!H12</f>
        <v>6300</v>
      </c>
      <c r="H16" s="100">
        <f t="shared" si="0"/>
        <v>20.317499999999999</v>
      </c>
      <c r="I16" s="70">
        <f>Pricing!I12</f>
        <v>1</v>
      </c>
      <c r="J16" s="69">
        <f t="shared" si="30"/>
        <v>20.317499999999999</v>
      </c>
      <c r="K16" s="71">
        <f t="shared" si="31"/>
        <v>218.69756999999998</v>
      </c>
      <c r="L16" s="69"/>
      <c r="M16" s="72"/>
      <c r="N16" s="72"/>
      <c r="O16" s="72">
        <f t="shared" si="3"/>
        <v>0</v>
      </c>
      <c r="P16" s="73">
        <f>Pricing!M12</f>
        <v>30295</v>
      </c>
      <c r="Q16" s="74">
        <f t="shared" si="4"/>
        <v>3029.5</v>
      </c>
      <c r="R16" s="74">
        <f t="shared" si="5"/>
        <v>3665.6950000000002</v>
      </c>
      <c r="S16" s="74">
        <f t="shared" si="6"/>
        <v>184.950975</v>
      </c>
      <c r="T16" s="74">
        <f t="shared" si="7"/>
        <v>371.75145974999998</v>
      </c>
      <c r="U16" s="72">
        <f t="shared" si="8"/>
        <v>37546.897434749997</v>
      </c>
      <c r="V16" s="74">
        <f t="shared" si="9"/>
        <v>563.20346152124989</v>
      </c>
      <c r="W16" s="73">
        <f>Pricing!S12*I16</f>
        <v>15577.92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15577.92</v>
      </c>
      <c r="AC16" s="75">
        <v>0</v>
      </c>
      <c r="AD16" s="101">
        <f>(J16*Pricing!O12)+(O16*Pricing!P12)</f>
        <v>44495.324999999997</v>
      </c>
      <c r="AE16" s="76">
        <f t="shared" si="43"/>
        <v>1561.4754098360656</v>
      </c>
      <c r="AF16" s="343">
        <f t="shared" si="44"/>
        <v>1600.2</v>
      </c>
      <c r="AG16" s="344"/>
      <c r="AH16" s="76">
        <f t="shared" si="45"/>
        <v>57.150000000000006</v>
      </c>
      <c r="AI16" s="76">
        <f t="shared" si="49"/>
        <v>190.5</v>
      </c>
      <c r="AJ16" s="76">
        <f>J16*Pricing!Q12</f>
        <v>0</v>
      </c>
      <c r="AK16" s="76">
        <f>J16*Pricing!R12</f>
        <v>0</v>
      </c>
      <c r="AL16" s="76">
        <f t="shared" si="16"/>
        <v>21869.756999999998</v>
      </c>
      <c r="AM16" s="77">
        <f t="shared" si="17"/>
        <v>0</v>
      </c>
      <c r="AN16" s="76">
        <f t="shared" si="18"/>
        <v>17495.805599999996</v>
      </c>
      <c r="AO16" s="72">
        <f t="shared" si="19"/>
        <v>41519.4263061073</v>
      </c>
      <c r="AP16" s="74">
        <f t="shared" si="20"/>
        <v>51899.282882634128</v>
      </c>
      <c r="AQ16" s="74">
        <f t="shared" si="21"/>
        <v>0</v>
      </c>
      <c r="AR16" s="74">
        <f t="shared" si="22"/>
        <v>4597.9431125257261</v>
      </c>
      <c r="AS16" s="72">
        <f t="shared" si="23"/>
        <v>192857.51678874143</v>
      </c>
      <c r="AT16" s="72">
        <f t="shared" si="24"/>
        <v>9492.1873650174202</v>
      </c>
      <c r="AU16" s="78">
        <f t="shared" si="25"/>
        <v>881.84572324576561</v>
      </c>
      <c r="AV16" s="79">
        <f t="shared" si="26"/>
        <v>0.15848150050339274</v>
      </c>
      <c r="AW16" s="80">
        <f t="shared" si="27"/>
        <v>174.25937058318135</v>
      </c>
      <c r="AX16" s="81">
        <f t="shared" si="28"/>
        <v>778.81677374133687</v>
      </c>
      <c r="AY16" s="82"/>
      <c r="AZ16" s="83">
        <f t="shared" si="29"/>
        <v>-71.23042107875267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128.20108300000001</v>
      </c>
      <c r="I109" s="87">
        <f>SUM(I8:I108)</f>
        <v>9</v>
      </c>
      <c r="J109" s="88">
        <f>SUM(J8:J108)</f>
        <v>128.20108300000001</v>
      </c>
      <c r="K109" s="89">
        <f>SUM(K8:K108)</f>
        <v>1379.9564574120002</v>
      </c>
      <c r="L109" s="88">
        <f>SUM(L8:L8)</f>
        <v>0</v>
      </c>
      <c r="M109" s="88"/>
      <c r="N109" s="88"/>
      <c r="O109" s="88"/>
      <c r="P109" s="87">
        <f>SUM(P8:P108)</f>
        <v>266049.03000000003</v>
      </c>
      <c r="Q109" s="88">
        <f t="shared" ref="Q109:AE109" si="156">SUM(Q8:Q108)</f>
        <v>26604.903000000002</v>
      </c>
      <c r="R109" s="88">
        <f t="shared" si="156"/>
        <v>32191.932630000003</v>
      </c>
      <c r="S109" s="88">
        <f t="shared" si="156"/>
        <v>1624.2293281500001</v>
      </c>
      <c r="T109" s="88">
        <f t="shared" si="156"/>
        <v>3264.7009495815</v>
      </c>
      <c r="U109" s="88">
        <f t="shared" si="156"/>
        <v>329734.79590773146</v>
      </c>
      <c r="V109" s="88">
        <f t="shared" si="156"/>
        <v>4946.0219386159724</v>
      </c>
      <c r="W109" s="87">
        <f t="shared" si="156"/>
        <v>41738.400000000001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41738.400000000001</v>
      </c>
      <c r="AC109" s="88">
        <f t="shared" si="156"/>
        <v>0</v>
      </c>
      <c r="AD109" s="88">
        <f t="shared" si="156"/>
        <v>280760.37176999997</v>
      </c>
      <c r="AE109" s="88">
        <f t="shared" si="156"/>
        <v>10704.754098360658</v>
      </c>
      <c r="AF109" s="354">
        <f>SUM(AF8:AG108)</f>
        <v>10970.232000000002</v>
      </c>
      <c r="AG109" s="355"/>
      <c r="AH109" s="88">
        <f t="shared" ref="AH109:AQ109" si="157">SUM(AH8:AH108)</f>
        <v>391.79399999999998</v>
      </c>
      <c r="AI109" s="88">
        <f t="shared" si="157"/>
        <v>1305.98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137995.64574119999</v>
      </c>
      <c r="AM109" s="88">
        <f t="shared" si="157"/>
        <v>0</v>
      </c>
      <c r="AN109" s="88">
        <f t="shared" si="157"/>
        <v>110396.51659295999</v>
      </c>
      <c r="AO109" s="88">
        <f t="shared" si="157"/>
        <v>358053.57794470811</v>
      </c>
      <c r="AP109" s="88">
        <f t="shared" si="157"/>
        <v>447566.97243088519</v>
      </c>
      <c r="AQ109" s="88">
        <f t="shared" si="157"/>
        <v>0</v>
      </c>
      <c r="AR109" s="88"/>
      <c r="AS109" s="87">
        <f>SUM(AS8:AS108)</f>
        <v>1376511.4844797528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10970.232000000002</v>
      </c>
      <c r="AW110" s="84"/>
    </row>
    <row r="111" spans="2:54">
      <c r="AF111" s="174"/>
      <c r="AG111" s="174"/>
      <c r="AH111" s="174">
        <f>SUM(AE109:AI109,AC109)</f>
        <v>23372.760098360661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P20" sqref="P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1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0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2"/>
    </row>
    <row r="2" spans="2:15" ht="23.25" customHeight="1">
      <c r="B2" s="423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5" ht="23.25" customHeight="1">
      <c r="B3" s="423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5"/>
    </row>
    <row r="4" spans="2:15" ht="30" customHeight="1">
      <c r="B4" s="423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5"/>
    </row>
    <row r="5" spans="2:15" ht="30" customHeight="1" thickBot="1">
      <c r="B5" s="423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5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ABPL-DE-19.20-2171-OP-2</v>
      </c>
      <c r="N6" s="473"/>
    </row>
    <row r="7" spans="2:15" ht="24.95" customHeight="1">
      <c r="B7" s="492" t="s">
        <v>126</v>
      </c>
      <c r="C7" s="493"/>
      <c r="D7" s="493"/>
      <c r="E7" s="493"/>
      <c r="F7" s="429" t="str">
        <f>'BD Team'!E2</f>
        <v>Mr. Tarun Gupta</v>
      </c>
      <c r="G7" s="429"/>
      <c r="H7" s="429"/>
      <c r="I7" s="429"/>
      <c r="J7" s="430"/>
      <c r="K7" s="500" t="s">
        <v>104</v>
      </c>
      <c r="L7" s="493"/>
      <c r="M7" s="498">
        <f>'BD Team'!J3</f>
        <v>43701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179</v>
      </c>
      <c r="H8" s="485"/>
      <c r="I8" s="429" t="str">
        <f>'BD Team'!G3</f>
        <v>1.2Kpa</v>
      </c>
      <c r="J8" s="430"/>
      <c r="K8" s="500" t="s">
        <v>105</v>
      </c>
      <c r="L8" s="493"/>
      <c r="M8" s="178" t="s">
        <v>364</v>
      </c>
      <c r="N8" s="179">
        <v>43705</v>
      </c>
    </row>
    <row r="9" spans="2:15" ht="24.95" customHeight="1">
      <c r="B9" s="492" t="s">
        <v>168</v>
      </c>
      <c r="C9" s="493"/>
      <c r="D9" s="493"/>
      <c r="E9" s="493"/>
      <c r="F9" s="429" t="str">
        <f>'BD Team'!E4</f>
        <v>Mr. Anamol Anand : 7702300826</v>
      </c>
      <c r="G9" s="429"/>
      <c r="H9" s="429"/>
      <c r="I9" s="429"/>
      <c r="J9" s="430"/>
      <c r="K9" s="500" t="s">
        <v>178</v>
      </c>
      <c r="L9" s="493"/>
      <c r="M9" s="474" t="str">
        <f>'BD Team'!J4</f>
        <v>Bal Kumari</v>
      </c>
      <c r="N9" s="475"/>
    </row>
    <row r="10" spans="2:15" ht="27.75" customHeight="1" thickBot="1">
      <c r="B10" s="494" t="s">
        <v>176</v>
      </c>
      <c r="C10" s="495"/>
      <c r="D10" s="495"/>
      <c r="E10" s="495"/>
      <c r="F10" s="217" t="str">
        <f>'BD Team'!E5</f>
        <v>Anodized</v>
      </c>
      <c r="G10" s="505" t="s">
        <v>177</v>
      </c>
      <c r="H10" s="506"/>
      <c r="I10" s="503" t="str">
        <f>'BD Team'!G5</f>
        <v>Silver</v>
      </c>
      <c r="J10" s="504"/>
      <c r="K10" s="501" t="s">
        <v>373</v>
      </c>
      <c r="L10" s="502"/>
      <c r="M10" s="496">
        <f>'BD Team'!J5</f>
        <v>0</v>
      </c>
      <c r="N10" s="497"/>
    </row>
    <row r="11" spans="2:15" ht="19.5" thickTop="1">
      <c r="B11" s="426"/>
      <c r="C11" s="427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428"/>
    </row>
    <row r="12" spans="2:15" s="93" customFormat="1" ht="19.5" thickBot="1">
      <c r="B12" s="426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428"/>
    </row>
    <row r="13" spans="2:15" s="93" customFormat="1" ht="18" customHeight="1" thickTop="1" thickBot="1">
      <c r="B13" s="486" t="s">
        <v>169</v>
      </c>
      <c r="C13" s="487"/>
      <c r="D13" s="490" t="s">
        <v>170</v>
      </c>
      <c r="E13" s="490" t="s">
        <v>171</v>
      </c>
      <c r="F13" s="490" t="s">
        <v>37</v>
      </c>
      <c r="G13" s="488" t="s">
        <v>63</v>
      </c>
      <c r="H13" s="488" t="s">
        <v>209</v>
      </c>
      <c r="I13" s="488" t="s">
        <v>208</v>
      </c>
      <c r="J13" s="489" t="s">
        <v>172</v>
      </c>
      <c r="K13" s="489" t="s">
        <v>173</v>
      </c>
      <c r="L13" s="487" t="s">
        <v>210</v>
      </c>
      <c r="M13" s="489" t="s">
        <v>174</v>
      </c>
      <c r="N13" s="491" t="s">
        <v>175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W1</v>
      </c>
      <c r="E16" s="187" t="str">
        <f>Pricing!C4</f>
        <v>M15000</v>
      </c>
      <c r="F16" s="187" t="str">
        <f>Pricing!D4</f>
        <v>SIDE HUNG DOOR WITH 2 FIXED</v>
      </c>
      <c r="G16" s="187" t="str">
        <f>Pricing!N4</f>
        <v>12MM</v>
      </c>
      <c r="H16" s="187" t="str">
        <f>Pricing!F4</f>
        <v>ELEV B-3rd FL-MD CABIN</v>
      </c>
      <c r="I16" s="216" t="str">
        <f>Pricing!E4</f>
        <v>NO</v>
      </c>
      <c r="J16" s="216">
        <f>Pricing!G4</f>
        <v>4105</v>
      </c>
      <c r="K16" s="216">
        <f>Pricing!H4</f>
        <v>2383</v>
      </c>
      <c r="L16" s="216">
        <f>Pricing!I4</f>
        <v>1</v>
      </c>
      <c r="M16" s="188">
        <f t="shared" ref="M16:M24" si="0">J16*K16*L16/1000000</f>
        <v>9.7822150000000008</v>
      </c>
      <c r="N16" s="189">
        <f>'Cost Calculation'!AS8</f>
        <v>179210.46901954708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W2</v>
      </c>
      <c r="E17" s="187" t="str">
        <f>Pricing!C5</f>
        <v>M15000</v>
      </c>
      <c r="F17" s="187" t="str">
        <f>Pricing!D5</f>
        <v>FIXED GLASS 2 NO'S</v>
      </c>
      <c r="G17" s="187" t="str">
        <f>Pricing!N5</f>
        <v>12MM</v>
      </c>
      <c r="H17" s="187" t="str">
        <f>Pricing!F5</f>
        <v>ELEV A-3rd FL-MD CABIN</v>
      </c>
      <c r="I17" s="216" t="str">
        <f>Pricing!E5</f>
        <v>NO</v>
      </c>
      <c r="J17" s="216">
        <f>Pricing!G5</f>
        <v>3707</v>
      </c>
      <c r="K17" s="216">
        <f>Pricing!H5</f>
        <v>2383</v>
      </c>
      <c r="L17" s="216">
        <f>Pricing!I5</f>
        <v>1</v>
      </c>
      <c r="M17" s="188">
        <f t="shared" si="0"/>
        <v>8.8337810000000001</v>
      </c>
      <c r="N17" s="189">
        <f>'Cost Calculation'!AS9</f>
        <v>89027.844932995329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W3</v>
      </c>
      <c r="E18" s="187" t="str">
        <f>Pricing!C6</f>
        <v>M15000</v>
      </c>
      <c r="F18" s="187" t="str">
        <f>Pricing!D6</f>
        <v xml:space="preserve">FIXED GLASS </v>
      </c>
      <c r="G18" s="187" t="str">
        <f>Pricing!N6</f>
        <v>12MM</v>
      </c>
      <c r="H18" s="187" t="str">
        <f>Pricing!F6</f>
        <v>ELEV C-3rd FL-MD CABIN</v>
      </c>
      <c r="I18" s="216" t="str">
        <f>Pricing!E6</f>
        <v>NO</v>
      </c>
      <c r="J18" s="216">
        <f>Pricing!G6</f>
        <v>2439</v>
      </c>
      <c r="K18" s="216">
        <f>Pricing!H6</f>
        <v>2383</v>
      </c>
      <c r="L18" s="216">
        <f>Pricing!I6</f>
        <v>1</v>
      </c>
      <c r="M18" s="188">
        <f t="shared" si="0"/>
        <v>5.8121369999999999</v>
      </c>
      <c r="N18" s="189">
        <f>'Cost Calculation'!AS10</f>
        <v>51887.183337857889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W4</v>
      </c>
      <c r="E19" s="187" t="str">
        <f>Pricing!C7</f>
        <v>M15000</v>
      </c>
      <c r="F19" s="187" t="str">
        <f>Pricing!D7</f>
        <v xml:space="preserve">FIXED GLASS </v>
      </c>
      <c r="G19" s="187" t="str">
        <f>Pricing!N7</f>
        <v>12MM</v>
      </c>
      <c r="H19" s="187" t="str">
        <f>Pricing!F7</f>
        <v>ELEV A-3rd FL-PREMIUM LOUNGE</v>
      </c>
      <c r="I19" s="216" t="str">
        <f>Pricing!E7</f>
        <v>NO</v>
      </c>
      <c r="J19" s="216">
        <f>Pricing!G7</f>
        <v>2106</v>
      </c>
      <c r="K19" s="216">
        <f>Pricing!H7</f>
        <v>2383</v>
      </c>
      <c r="L19" s="216">
        <f>Pricing!I7</f>
        <v>1</v>
      </c>
      <c r="M19" s="188">
        <f t="shared" si="0"/>
        <v>5.0185979999999999</v>
      </c>
      <c r="N19" s="189">
        <f>'Cost Calculation'!AS11</f>
        <v>46795.495283836484</v>
      </c>
      <c r="O19" s="95"/>
    </row>
    <row r="20" spans="2:15" s="94" customFormat="1" ht="49.9" customHeight="1" thickTop="1" thickBot="1">
      <c r="B20" s="411">
        <f>Pricing!A8</f>
        <v>5</v>
      </c>
      <c r="C20" s="412"/>
      <c r="D20" s="187" t="str">
        <f>Pricing!B8</f>
        <v>W5</v>
      </c>
      <c r="E20" s="187" t="str">
        <f>Pricing!C8</f>
        <v>M15000</v>
      </c>
      <c r="F20" s="187" t="str">
        <f>Pricing!D8</f>
        <v>SIDE HUNG DOOR WITH 2 FIXED</v>
      </c>
      <c r="G20" s="187" t="str">
        <f>Pricing!N8</f>
        <v>12MM</v>
      </c>
      <c r="H20" s="187" t="str">
        <f>Pricing!F8</f>
        <v>ELEV D-3rd FL-PREMIUM LOUNGE</v>
      </c>
      <c r="I20" s="216" t="str">
        <f>Pricing!E8</f>
        <v>NO</v>
      </c>
      <c r="J20" s="216">
        <f>Pricing!G8</f>
        <v>4105</v>
      </c>
      <c r="K20" s="216">
        <f>Pricing!H8</f>
        <v>2383</v>
      </c>
      <c r="L20" s="216">
        <f>Pricing!I8</f>
        <v>1</v>
      </c>
      <c r="M20" s="188">
        <f t="shared" si="0"/>
        <v>9.7822150000000008</v>
      </c>
      <c r="N20" s="189">
        <f>'Cost Calculation'!AS12</f>
        <v>179210.46901954708</v>
      </c>
      <c r="O20" s="95"/>
    </row>
    <row r="21" spans="2:15" s="94" customFormat="1" ht="49.9" customHeight="1" thickTop="1" thickBot="1">
      <c r="B21" s="411">
        <f>Pricing!A9</f>
        <v>6</v>
      </c>
      <c r="C21" s="412"/>
      <c r="D21" s="187" t="str">
        <f>Pricing!B9</f>
        <v>W6</v>
      </c>
      <c r="E21" s="187" t="str">
        <f>Pricing!C9</f>
        <v>M15000</v>
      </c>
      <c r="F21" s="187" t="str">
        <f>Pricing!D9</f>
        <v>FIXED GLASS</v>
      </c>
      <c r="G21" s="187" t="str">
        <f>Pricing!N9</f>
        <v>12MM</v>
      </c>
      <c r="H21" s="187" t="str">
        <f>Pricing!F9</f>
        <v>ELEV C-3rd FL-PREMIUM LOUNGE</v>
      </c>
      <c r="I21" s="216" t="str">
        <f>Pricing!E9</f>
        <v>NO</v>
      </c>
      <c r="J21" s="216">
        <f>Pricing!G9</f>
        <v>2439</v>
      </c>
      <c r="K21" s="216">
        <f>Pricing!H9</f>
        <v>2383</v>
      </c>
      <c r="L21" s="216">
        <f>Pricing!I9</f>
        <v>1</v>
      </c>
      <c r="M21" s="188">
        <f t="shared" si="0"/>
        <v>5.8121369999999999</v>
      </c>
      <c r="N21" s="189">
        <f>'Cost Calculation'!AS13</f>
        <v>51887.183337857889</v>
      </c>
      <c r="O21" s="95"/>
    </row>
    <row r="22" spans="2:15" s="94" customFormat="1" ht="49.9" customHeight="1" thickTop="1" thickBot="1">
      <c r="B22" s="411">
        <f>Pricing!A10</f>
        <v>7</v>
      </c>
      <c r="C22" s="412"/>
      <c r="D22" s="187" t="str">
        <f>Pricing!B10</f>
        <v>W7</v>
      </c>
      <c r="E22" s="187" t="str">
        <f>Pricing!C10</f>
        <v>FAÇADE</v>
      </c>
      <c r="F22" s="187" t="str">
        <f>Pricing!D10</f>
        <v>CURTAIN WALL WITH 5 FIXED</v>
      </c>
      <c r="G22" s="187" t="str">
        <f>Pricing!N10</f>
        <v>12MM</v>
      </c>
      <c r="H22" s="187" t="str">
        <f>Pricing!F10</f>
        <v>W1-GROND FL-FRONT ENTRANCE</v>
      </c>
      <c r="I22" s="216" t="str">
        <f>Pricing!E10</f>
        <v>NO</v>
      </c>
      <c r="J22" s="216">
        <f>Pricing!G10</f>
        <v>6170</v>
      </c>
      <c r="K22" s="216">
        <f>Pricing!H10</f>
        <v>6300</v>
      </c>
      <c r="L22" s="216">
        <f>Pricing!I10</f>
        <v>1</v>
      </c>
      <c r="M22" s="188">
        <f t="shared" si="0"/>
        <v>38.871000000000002</v>
      </c>
      <c r="N22" s="189">
        <f>'Cost Calculation'!AS14</f>
        <v>366249.17228449654</v>
      </c>
      <c r="O22" s="95"/>
    </row>
    <row r="23" spans="2:15" s="94" customFormat="1" ht="49.9" customHeight="1" thickTop="1" thickBot="1">
      <c r="B23" s="411">
        <f>Pricing!A11</f>
        <v>8</v>
      </c>
      <c r="C23" s="412"/>
      <c r="D23" s="187" t="str">
        <f>Pricing!B11</f>
        <v>W8</v>
      </c>
      <c r="E23" s="187" t="str">
        <f>Pricing!C11</f>
        <v>FAÇADE</v>
      </c>
      <c r="F23" s="187" t="str">
        <f>Pricing!D11</f>
        <v>CURTAIN WALL WITH 4 FIXED</v>
      </c>
      <c r="G23" s="187" t="str">
        <f>Pricing!N11</f>
        <v>12MM</v>
      </c>
      <c r="H23" s="187" t="str">
        <f>Pricing!F11</f>
        <v>W2-GROND FL-FRONT ENTRANCE</v>
      </c>
      <c r="I23" s="216" t="str">
        <f>Pricing!E11</f>
        <v>NO</v>
      </c>
      <c r="J23" s="216">
        <f>Pricing!G11</f>
        <v>3805</v>
      </c>
      <c r="K23" s="216">
        <f>Pricing!H11</f>
        <v>6300</v>
      </c>
      <c r="L23" s="216">
        <f>Pricing!I11</f>
        <v>1</v>
      </c>
      <c r="M23" s="188">
        <f t="shared" si="0"/>
        <v>23.971499999999999</v>
      </c>
      <c r="N23" s="189">
        <f>'Cost Calculation'!AS15</f>
        <v>219386.15047487346</v>
      </c>
      <c r="O23" s="95"/>
    </row>
    <row r="24" spans="2:15" s="94" customFormat="1" ht="49.9" customHeight="1" thickTop="1" thickBot="1">
      <c r="B24" s="411">
        <f>Pricing!A12</f>
        <v>9</v>
      </c>
      <c r="C24" s="412"/>
      <c r="D24" s="187" t="str">
        <f>Pricing!B12</f>
        <v>W9</v>
      </c>
      <c r="E24" s="187" t="str">
        <f>Pricing!C12</f>
        <v>FAÇADE</v>
      </c>
      <c r="F24" s="187" t="str">
        <f>Pricing!D12</f>
        <v>CURTAIN WALL WITH 4 FIXED</v>
      </c>
      <c r="G24" s="187" t="str">
        <f>Pricing!N12</f>
        <v>12MM</v>
      </c>
      <c r="H24" s="187" t="str">
        <f>Pricing!F12</f>
        <v>W3-GROND FL-FRONT ENTRANCE</v>
      </c>
      <c r="I24" s="216" t="str">
        <f>Pricing!E12</f>
        <v>NO</v>
      </c>
      <c r="J24" s="216">
        <f>Pricing!G12</f>
        <v>3225</v>
      </c>
      <c r="K24" s="216">
        <f>Pricing!H12</f>
        <v>6300</v>
      </c>
      <c r="L24" s="216">
        <f>Pricing!I12</f>
        <v>1</v>
      </c>
      <c r="M24" s="188">
        <f t="shared" si="0"/>
        <v>20.317499999999999</v>
      </c>
      <c r="N24" s="189">
        <f>'Cost Calculation'!AS16</f>
        <v>192857.51678874143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9</v>
      </c>
      <c r="M116" s="191">
        <f>SUM(M16:M115)</f>
        <v>128.20108300000001</v>
      </c>
      <c r="N116" s="186"/>
      <c r="O116" s="95"/>
    </row>
    <row r="117" spans="2:15" s="94" customFormat="1" ht="30" customHeight="1" thickTop="1" thickBot="1">
      <c r="B117" s="510" t="s">
        <v>180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1376511</v>
      </c>
      <c r="O117" s="95">
        <f>N117/SUM(M116)</f>
        <v>10737.124584197154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247772</v>
      </c>
      <c r="O118" s="95">
        <f>N118/SUM(M116)</f>
        <v>1932.6825811604101</v>
      </c>
    </row>
    <row r="119" spans="2:15" s="94" customFormat="1" ht="30" customHeight="1" thickTop="1" thickBot="1">
      <c r="B119" s="510" t="s">
        <v>181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1624283</v>
      </c>
      <c r="O119" s="95">
        <f>N119/SUM(M116)</f>
        <v>12669.807165357564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997.50321295031165</v>
      </c>
    </row>
    <row r="121" spans="2:15" s="139" customFormat="1" ht="30" customHeight="1" thickTop="1">
      <c r="B121" s="478" t="s">
        <v>236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3">
        <v>1</v>
      </c>
      <c r="C122" s="414"/>
      <c r="D122" s="415" t="s">
        <v>455</v>
      </c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39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45" t="s">
        <v>206</v>
      </c>
      <c r="C124" s="446"/>
      <c r="D124" s="446"/>
      <c r="E124" s="446"/>
      <c r="F124" s="446"/>
      <c r="G124" s="446"/>
      <c r="H124" s="446"/>
      <c r="I124" s="446"/>
      <c r="J124" s="446"/>
      <c r="K124" s="446"/>
      <c r="L124" s="446"/>
      <c r="M124" s="446"/>
      <c r="N124" s="447"/>
      <c r="O124" s="138"/>
    </row>
    <row r="125" spans="2:15" s="93" customFormat="1" ht="24.95" customHeight="1">
      <c r="B125" s="413">
        <v>1</v>
      </c>
      <c r="C125" s="414"/>
      <c r="D125" s="415" t="s">
        <v>448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</row>
    <row r="126" spans="2:15" s="139" customFormat="1" ht="30" customHeight="1">
      <c r="B126" s="445" t="s">
        <v>140</v>
      </c>
      <c r="C126" s="446"/>
      <c r="D126" s="446"/>
      <c r="E126" s="446"/>
      <c r="F126" s="446"/>
      <c r="G126" s="446"/>
      <c r="H126" s="446"/>
      <c r="I126" s="446"/>
      <c r="J126" s="446"/>
      <c r="K126" s="446"/>
      <c r="L126" s="446"/>
      <c r="M126" s="446"/>
      <c r="N126" s="447"/>
      <c r="O126" s="138"/>
    </row>
    <row r="127" spans="2:15" s="93" customFormat="1" ht="24.95" customHeight="1">
      <c r="B127" s="413">
        <v>1</v>
      </c>
      <c r="C127" s="414"/>
      <c r="D127" s="415" t="s">
        <v>363</v>
      </c>
      <c r="E127" s="415"/>
      <c r="F127" s="415"/>
      <c r="G127" s="415"/>
      <c r="H127" s="415"/>
      <c r="I127" s="415"/>
      <c r="J127" s="415"/>
      <c r="K127" s="415"/>
      <c r="L127" s="415"/>
      <c r="M127" s="415"/>
      <c r="N127" s="416"/>
    </row>
    <row r="128" spans="2:15" s="93" customFormat="1" ht="24.95" customHeight="1">
      <c r="B128" s="413">
        <v>2</v>
      </c>
      <c r="C128" s="414"/>
      <c r="D128" s="415" t="s">
        <v>388</v>
      </c>
      <c r="E128" s="415"/>
      <c r="F128" s="415"/>
      <c r="G128" s="415"/>
      <c r="H128" s="415"/>
      <c r="I128" s="415"/>
      <c r="J128" s="415"/>
      <c r="K128" s="415"/>
      <c r="L128" s="415"/>
      <c r="M128" s="415"/>
      <c r="N128" s="416"/>
    </row>
    <row r="129" spans="2:14" s="139" customFormat="1" ht="30" customHeight="1">
      <c r="B129" s="431" t="s">
        <v>141</v>
      </c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93" customFormat="1" ht="24.95" customHeight="1">
      <c r="B130" s="413">
        <v>1</v>
      </c>
      <c r="C130" s="414"/>
      <c r="D130" s="415" t="s">
        <v>142</v>
      </c>
      <c r="E130" s="415"/>
      <c r="F130" s="415"/>
      <c r="G130" s="415"/>
      <c r="H130" s="415"/>
      <c r="I130" s="415"/>
      <c r="J130" s="415"/>
      <c r="K130" s="415"/>
      <c r="L130" s="415"/>
      <c r="M130" s="415"/>
      <c r="N130" s="416"/>
    </row>
    <row r="131" spans="2:14" s="93" customFormat="1" ht="24.95" customHeight="1">
      <c r="B131" s="413">
        <v>2</v>
      </c>
      <c r="C131" s="414"/>
      <c r="D131" s="415" t="s">
        <v>143</v>
      </c>
      <c r="E131" s="415"/>
      <c r="F131" s="415"/>
      <c r="G131" s="415"/>
      <c r="H131" s="415"/>
      <c r="I131" s="415"/>
      <c r="J131" s="415"/>
      <c r="K131" s="415"/>
      <c r="L131" s="415"/>
      <c r="M131" s="415"/>
      <c r="N131" s="416"/>
    </row>
    <row r="132" spans="2:14" s="93" customFormat="1" ht="24.95" customHeight="1">
      <c r="B132" s="413">
        <v>3</v>
      </c>
      <c r="C132" s="414"/>
      <c r="D132" s="415" t="s">
        <v>144</v>
      </c>
      <c r="E132" s="415"/>
      <c r="F132" s="415"/>
      <c r="G132" s="415"/>
      <c r="H132" s="415"/>
      <c r="I132" s="415"/>
      <c r="J132" s="415"/>
      <c r="K132" s="415"/>
      <c r="L132" s="415"/>
      <c r="M132" s="415"/>
      <c r="N132" s="416"/>
    </row>
    <row r="133" spans="2:14" s="139" customFormat="1" ht="30" customHeight="1">
      <c r="B133" s="431" t="s">
        <v>145</v>
      </c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139" customFormat="1" ht="30" customHeight="1">
      <c r="B134" s="434" t="s">
        <v>146</v>
      </c>
      <c r="C134" s="435"/>
      <c r="D134" s="435"/>
      <c r="E134" s="435"/>
      <c r="F134" s="435"/>
      <c r="G134" s="435"/>
      <c r="H134" s="435"/>
      <c r="I134" s="435"/>
      <c r="J134" s="435"/>
      <c r="K134" s="435"/>
      <c r="L134" s="435"/>
      <c r="M134" s="435"/>
      <c r="N134" s="436"/>
    </row>
    <row r="135" spans="2:14" s="93" customFormat="1" ht="24.95" customHeight="1">
      <c r="B135" s="413">
        <v>1</v>
      </c>
      <c r="C135" s="414"/>
      <c r="D135" s="415" t="s">
        <v>147</v>
      </c>
      <c r="E135" s="415"/>
      <c r="F135" s="415"/>
      <c r="G135" s="415"/>
      <c r="H135" s="415"/>
      <c r="I135" s="415"/>
      <c r="J135" s="415"/>
      <c r="K135" s="415"/>
      <c r="L135" s="415"/>
      <c r="M135" s="415"/>
      <c r="N135" s="416"/>
    </row>
    <row r="136" spans="2:14" s="93" customFormat="1" ht="24.95" customHeight="1">
      <c r="B136" s="413">
        <v>2</v>
      </c>
      <c r="C136" s="414"/>
      <c r="D136" s="415" t="s">
        <v>401</v>
      </c>
      <c r="E136" s="415"/>
      <c r="F136" s="415"/>
      <c r="G136" s="415"/>
      <c r="H136" s="415"/>
      <c r="I136" s="415"/>
      <c r="J136" s="415"/>
      <c r="K136" s="415"/>
      <c r="L136" s="415"/>
      <c r="M136" s="415"/>
      <c r="N136" s="416"/>
    </row>
    <row r="137" spans="2:14" s="93" customFormat="1" ht="24.95" customHeight="1">
      <c r="B137" s="413">
        <v>3</v>
      </c>
      <c r="C137" s="414"/>
      <c r="D137" s="415" t="s">
        <v>148</v>
      </c>
      <c r="E137" s="415"/>
      <c r="F137" s="415"/>
      <c r="G137" s="415"/>
      <c r="H137" s="415"/>
      <c r="I137" s="415"/>
      <c r="J137" s="415"/>
      <c r="K137" s="415"/>
      <c r="L137" s="415"/>
      <c r="M137" s="415"/>
      <c r="N137" s="416"/>
    </row>
    <row r="138" spans="2:14" s="93" customFormat="1" ht="24.95" customHeight="1">
      <c r="B138" s="413">
        <v>4</v>
      </c>
      <c r="C138" s="414"/>
      <c r="D138" s="415" t="s">
        <v>149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4" s="93" customFormat="1" ht="24.95" customHeight="1">
      <c r="B139" s="413">
        <v>5</v>
      </c>
      <c r="C139" s="414"/>
      <c r="D139" s="415" t="s">
        <v>150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93" customFormat="1" ht="24.95" customHeight="1">
      <c r="B140" s="413">
        <v>6</v>
      </c>
      <c r="C140" s="414"/>
      <c r="D140" s="415" t="s">
        <v>151</v>
      </c>
      <c r="E140" s="415"/>
      <c r="F140" s="415"/>
      <c r="G140" s="415"/>
      <c r="H140" s="415"/>
      <c r="I140" s="415"/>
      <c r="J140" s="415"/>
      <c r="K140" s="415"/>
      <c r="L140" s="415"/>
      <c r="M140" s="415"/>
      <c r="N140" s="416"/>
    </row>
    <row r="141" spans="2:14" s="140" customFormat="1" ht="30" customHeight="1">
      <c r="B141" s="431" t="s">
        <v>152</v>
      </c>
      <c r="C141" s="432"/>
      <c r="D141" s="432"/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93" customFormat="1" ht="24.95" customHeight="1">
      <c r="B142" s="413">
        <v>1</v>
      </c>
      <c r="C142" s="414"/>
      <c r="D142" s="415" t="s">
        <v>153</v>
      </c>
      <c r="E142" s="415"/>
      <c r="F142" s="415"/>
      <c r="G142" s="415"/>
      <c r="H142" s="415"/>
      <c r="I142" s="415"/>
      <c r="J142" s="415"/>
      <c r="K142" s="415"/>
      <c r="L142" s="415"/>
      <c r="M142" s="415"/>
      <c r="N142" s="416"/>
    </row>
    <row r="143" spans="2:14" s="93" customFormat="1" ht="135" customHeight="1">
      <c r="B143" s="413">
        <v>2</v>
      </c>
      <c r="C143" s="414"/>
      <c r="D143" s="417" t="s">
        <v>419</v>
      </c>
      <c r="E143" s="418"/>
      <c r="F143" s="418"/>
      <c r="G143" s="418"/>
      <c r="H143" s="418"/>
      <c r="I143" s="418"/>
      <c r="J143" s="418"/>
      <c r="K143" s="418"/>
      <c r="L143" s="418"/>
      <c r="M143" s="418"/>
      <c r="N143" s="419"/>
    </row>
    <row r="144" spans="2:14" s="93" customFormat="1" ht="24.95" customHeight="1">
      <c r="B144" s="413">
        <v>3</v>
      </c>
      <c r="C144" s="414"/>
      <c r="D144" s="415" t="s">
        <v>154</v>
      </c>
      <c r="E144" s="415"/>
      <c r="F144" s="415"/>
      <c r="G144" s="415"/>
      <c r="H144" s="415"/>
      <c r="I144" s="415"/>
      <c r="J144" s="415"/>
      <c r="K144" s="415"/>
      <c r="L144" s="415"/>
      <c r="M144" s="415"/>
      <c r="N144" s="416"/>
    </row>
    <row r="145" spans="2:14" s="93" customFormat="1" ht="24.95" customHeight="1">
      <c r="B145" s="413">
        <v>4</v>
      </c>
      <c r="C145" s="414"/>
      <c r="D145" s="415" t="s">
        <v>155</v>
      </c>
      <c r="E145" s="415"/>
      <c r="F145" s="415"/>
      <c r="G145" s="415"/>
      <c r="H145" s="415"/>
      <c r="I145" s="415"/>
      <c r="J145" s="415"/>
      <c r="K145" s="415"/>
      <c r="L145" s="415"/>
      <c r="M145" s="415"/>
      <c r="N145" s="416"/>
    </row>
    <row r="146" spans="2:14" s="140" customFormat="1" ht="30" customHeight="1">
      <c r="B146" s="431" t="s">
        <v>156</v>
      </c>
      <c r="C146" s="432"/>
      <c r="D146" s="432"/>
      <c r="E146" s="432"/>
      <c r="F146" s="432"/>
      <c r="G146" s="432"/>
      <c r="H146" s="432"/>
      <c r="I146" s="432"/>
      <c r="J146" s="432"/>
      <c r="K146" s="432"/>
      <c r="L146" s="432"/>
      <c r="M146" s="432"/>
      <c r="N146" s="433"/>
    </row>
    <row r="147" spans="2:14" s="93" customFormat="1" ht="24.95" customHeight="1">
      <c r="B147" s="413">
        <v>1</v>
      </c>
      <c r="C147" s="414"/>
      <c r="D147" s="415" t="s">
        <v>157</v>
      </c>
      <c r="E147" s="415"/>
      <c r="F147" s="415"/>
      <c r="G147" s="415"/>
      <c r="H147" s="415"/>
      <c r="I147" s="415"/>
      <c r="J147" s="415"/>
      <c r="K147" s="415"/>
      <c r="L147" s="415"/>
      <c r="M147" s="415"/>
      <c r="N147" s="416"/>
    </row>
    <row r="148" spans="2:14" s="93" customFormat="1" ht="55.9" customHeight="1">
      <c r="B148" s="413">
        <v>2</v>
      </c>
      <c r="C148" s="414"/>
      <c r="D148" s="417" t="s">
        <v>158</v>
      </c>
      <c r="E148" s="418"/>
      <c r="F148" s="418"/>
      <c r="G148" s="418"/>
      <c r="H148" s="418"/>
      <c r="I148" s="418"/>
      <c r="J148" s="418"/>
      <c r="K148" s="418"/>
      <c r="L148" s="418"/>
      <c r="M148" s="418"/>
      <c r="N148" s="419"/>
    </row>
    <row r="149" spans="2:14" s="140" customFormat="1" ht="30" customHeight="1">
      <c r="B149" s="431" t="s">
        <v>159</v>
      </c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3"/>
    </row>
    <row r="150" spans="2:14" s="93" customFormat="1" ht="24.95" customHeight="1">
      <c r="B150" s="413">
        <v>1</v>
      </c>
      <c r="C150" s="414"/>
      <c r="D150" s="437" t="s">
        <v>160</v>
      </c>
      <c r="E150" s="437"/>
      <c r="F150" s="437"/>
      <c r="G150" s="437"/>
      <c r="H150" s="437"/>
      <c r="I150" s="437"/>
      <c r="J150" s="437"/>
      <c r="K150" s="437"/>
      <c r="L150" s="437"/>
      <c r="M150" s="437"/>
      <c r="N150" s="438"/>
    </row>
    <row r="151" spans="2:14" s="93" customFormat="1" ht="24.95" customHeight="1">
      <c r="B151" s="413">
        <v>2</v>
      </c>
      <c r="C151" s="414"/>
      <c r="D151" s="437" t="s">
        <v>161</v>
      </c>
      <c r="E151" s="437"/>
      <c r="F151" s="437"/>
      <c r="G151" s="437"/>
      <c r="H151" s="437"/>
      <c r="I151" s="437"/>
      <c r="J151" s="437"/>
      <c r="K151" s="437"/>
      <c r="L151" s="437"/>
      <c r="M151" s="437"/>
      <c r="N151" s="438"/>
    </row>
    <row r="152" spans="2:14" s="93" customFormat="1" ht="49.9" customHeight="1">
      <c r="B152" s="413">
        <v>3</v>
      </c>
      <c r="C152" s="414"/>
      <c r="D152" s="442" t="s">
        <v>162</v>
      </c>
      <c r="E152" s="443"/>
      <c r="F152" s="443"/>
      <c r="G152" s="443"/>
      <c r="H152" s="443"/>
      <c r="I152" s="443"/>
      <c r="J152" s="443"/>
      <c r="K152" s="443"/>
      <c r="L152" s="443"/>
      <c r="M152" s="443"/>
      <c r="N152" s="444"/>
    </row>
    <row r="153" spans="2:14" s="93" customFormat="1" ht="24.95" customHeight="1">
      <c r="B153" s="413">
        <v>4</v>
      </c>
      <c r="C153" s="414"/>
      <c r="D153" s="437" t="s">
        <v>163</v>
      </c>
      <c r="E153" s="437"/>
      <c r="F153" s="437"/>
      <c r="G153" s="437"/>
      <c r="H153" s="437"/>
      <c r="I153" s="437"/>
      <c r="J153" s="437"/>
      <c r="K153" s="437"/>
      <c r="L153" s="437"/>
      <c r="M153" s="437"/>
      <c r="N153" s="438"/>
    </row>
    <row r="154" spans="2:14" s="140" customFormat="1" ht="30" customHeight="1">
      <c r="B154" s="431" t="s">
        <v>164</v>
      </c>
      <c r="C154" s="432"/>
      <c r="D154" s="432"/>
      <c r="E154" s="432"/>
      <c r="F154" s="432"/>
      <c r="G154" s="432"/>
      <c r="H154" s="432"/>
      <c r="I154" s="432"/>
      <c r="J154" s="432"/>
      <c r="K154" s="432"/>
      <c r="L154" s="432"/>
      <c r="M154" s="432"/>
      <c r="N154" s="433"/>
    </row>
    <row r="155" spans="2:14" s="93" customFormat="1" ht="24.95" customHeight="1">
      <c r="B155" s="413">
        <v>1</v>
      </c>
      <c r="C155" s="414"/>
      <c r="D155" s="437" t="s">
        <v>165</v>
      </c>
      <c r="E155" s="437"/>
      <c r="F155" s="437"/>
      <c r="G155" s="437"/>
      <c r="H155" s="437"/>
      <c r="I155" s="437"/>
      <c r="J155" s="437"/>
      <c r="K155" s="437"/>
      <c r="L155" s="437"/>
      <c r="M155" s="437"/>
      <c r="N155" s="438"/>
    </row>
    <row r="156" spans="2:14" s="93" customFormat="1" ht="24.95" customHeight="1">
      <c r="B156" s="413">
        <v>2</v>
      </c>
      <c r="C156" s="414"/>
      <c r="D156" s="437" t="s">
        <v>166</v>
      </c>
      <c r="E156" s="437"/>
      <c r="F156" s="437"/>
      <c r="G156" s="437"/>
      <c r="H156" s="437"/>
      <c r="I156" s="437"/>
      <c r="J156" s="437"/>
      <c r="K156" s="437"/>
      <c r="L156" s="437"/>
      <c r="M156" s="437"/>
      <c r="N156" s="438"/>
    </row>
    <row r="157" spans="2:14" s="93" customFormat="1" ht="24.95" customHeight="1">
      <c r="B157" s="413">
        <v>3</v>
      </c>
      <c r="C157" s="414"/>
      <c r="D157" s="437" t="s">
        <v>167</v>
      </c>
      <c r="E157" s="437"/>
      <c r="F157" s="437"/>
      <c r="G157" s="437"/>
      <c r="H157" s="437"/>
      <c r="I157" s="437"/>
      <c r="J157" s="437"/>
      <c r="K157" s="437"/>
      <c r="L157" s="437"/>
      <c r="M157" s="437"/>
      <c r="N157" s="438"/>
    </row>
    <row r="158" spans="2:14" s="93" customFormat="1" ht="24.95" customHeight="1">
      <c r="B158" s="413">
        <v>4</v>
      </c>
      <c r="C158" s="414"/>
      <c r="D158" s="437" t="s">
        <v>400</v>
      </c>
      <c r="E158" s="437"/>
      <c r="F158" s="437"/>
      <c r="G158" s="437"/>
      <c r="H158" s="437"/>
      <c r="I158" s="437"/>
      <c r="J158" s="437"/>
      <c r="K158" s="437"/>
      <c r="L158" s="437"/>
      <c r="M158" s="437"/>
      <c r="N158" s="438"/>
    </row>
    <row r="159" spans="2:14" s="93" customFormat="1" ht="24.95" customHeight="1">
      <c r="B159" s="439" t="s">
        <v>239</v>
      </c>
      <c r="C159" s="440"/>
      <c r="D159" s="440"/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39" t="s">
        <v>240</v>
      </c>
      <c r="C160" s="440"/>
      <c r="D160" s="440"/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41.25" customHeight="1">
      <c r="B161" s="460"/>
      <c r="C161" s="461"/>
      <c r="D161" s="461"/>
      <c r="E161" s="461"/>
      <c r="F161" s="461"/>
      <c r="G161" s="461"/>
      <c r="H161" s="461"/>
      <c r="I161" s="461"/>
      <c r="J161" s="461"/>
      <c r="K161" s="461"/>
      <c r="L161" s="461"/>
      <c r="M161" s="461"/>
      <c r="N161" s="462"/>
    </row>
    <row r="162" spans="2:14" s="93" customFormat="1" ht="39.950000000000003" customHeight="1">
      <c r="B162" s="463"/>
      <c r="C162" s="464"/>
      <c r="D162" s="464"/>
      <c r="E162" s="464"/>
      <c r="F162" s="464"/>
      <c r="G162" s="464"/>
      <c r="H162" s="464"/>
      <c r="I162" s="464"/>
      <c r="J162" s="464"/>
      <c r="K162" s="464"/>
      <c r="L162" s="464"/>
      <c r="M162" s="464"/>
      <c r="N162" s="465"/>
    </row>
    <row r="163" spans="2:14" s="93" customFormat="1" ht="41.25" customHeight="1">
      <c r="B163" s="463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  <c r="M163" s="464"/>
      <c r="N163" s="465"/>
    </row>
    <row r="164" spans="2:14" s="93" customFormat="1" ht="39.950000000000003" customHeight="1" thickBot="1">
      <c r="B164" s="466"/>
      <c r="C164" s="467"/>
      <c r="D164" s="467"/>
      <c r="E164" s="467"/>
      <c r="F164" s="467"/>
      <c r="G164" s="467"/>
      <c r="H164" s="467"/>
      <c r="I164" s="467"/>
      <c r="J164" s="467"/>
      <c r="K164" s="467"/>
      <c r="L164" s="467"/>
      <c r="M164" s="467"/>
      <c r="N164" s="468"/>
    </row>
    <row r="165" spans="2:14" s="93" customFormat="1" ht="30" customHeight="1" thickTop="1">
      <c r="B165" s="450" t="s">
        <v>110</v>
      </c>
      <c r="C165" s="451"/>
      <c r="D165" s="451"/>
      <c r="E165" s="454"/>
      <c r="F165" s="455"/>
      <c r="G165" s="455"/>
      <c r="H165" s="455"/>
      <c r="I165" s="455"/>
      <c r="J165" s="455"/>
      <c r="K165" s="455"/>
      <c r="L165" s="456"/>
      <c r="M165" s="451" t="s">
        <v>204</v>
      </c>
      <c r="N165" s="452"/>
    </row>
    <row r="166" spans="2:14" s="93" customFormat="1" ht="33" customHeight="1" thickBot="1">
      <c r="B166" s="453" t="s">
        <v>107</v>
      </c>
      <c r="C166" s="448"/>
      <c r="D166" s="448"/>
      <c r="E166" s="457"/>
      <c r="F166" s="458"/>
      <c r="G166" s="458"/>
      <c r="H166" s="458"/>
      <c r="I166" s="458"/>
      <c r="J166" s="458"/>
      <c r="K166" s="458"/>
      <c r="L166" s="459"/>
      <c r="M166" s="448" t="s">
        <v>108</v>
      </c>
      <c r="N166" s="449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B129:N129"/>
    <mergeCell ref="B126:N126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43705</v>
      </c>
      <c r="F2" s="517" t="s">
        <v>244</v>
      </c>
      <c r="G2" s="517"/>
    </row>
    <row r="3" spans="3:13">
      <c r="C3" s="297" t="s">
        <v>126</v>
      </c>
      <c r="D3" s="518" t="str">
        <f>QUOTATION!F7</f>
        <v>Mr. Tarun Gupta</v>
      </c>
      <c r="E3" s="518"/>
      <c r="F3" s="521" t="s">
        <v>245</v>
      </c>
      <c r="G3" s="522">
        <f>QUOTATION!N8</f>
        <v>43705</v>
      </c>
    </row>
    <row r="4" spans="3:13">
      <c r="C4" s="297" t="s">
        <v>242</v>
      </c>
      <c r="D4" s="519" t="str">
        <f>QUOTATION!M6</f>
        <v>ABPL-DE-19.20-2171-OP-2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168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375</v>
      </c>
      <c r="D7" s="518">
        <f>QUOTATION!M10</f>
        <v>0</v>
      </c>
      <c r="E7" s="518"/>
      <c r="F7" s="521"/>
      <c r="G7" s="523"/>
    </row>
    <row r="8" spans="3:13">
      <c r="C8" s="297" t="s">
        <v>176</v>
      </c>
      <c r="D8" s="518" t="str">
        <f>QUOTATION!F10</f>
        <v>Anodized</v>
      </c>
      <c r="E8" s="518"/>
      <c r="F8" s="521"/>
      <c r="G8" s="523"/>
    </row>
    <row r="9" spans="3:13">
      <c r="C9" s="297" t="s">
        <v>177</v>
      </c>
      <c r="D9" s="518" t="str">
        <f>QUOTATION!I10</f>
        <v>Silver</v>
      </c>
      <c r="E9" s="518"/>
      <c r="F9" s="521"/>
      <c r="G9" s="523"/>
    </row>
    <row r="10" spans="3:13">
      <c r="C10" s="297" t="s">
        <v>179</v>
      </c>
      <c r="D10" s="518" t="str">
        <f>QUOTATION!I8</f>
        <v>1.2Kpa</v>
      </c>
      <c r="E10" s="518"/>
      <c r="F10" s="521"/>
      <c r="G10" s="523"/>
    </row>
    <row r="11" spans="3:13">
      <c r="C11" s="297" t="s">
        <v>241</v>
      </c>
      <c r="D11" s="518" t="str">
        <f>QUOTATION!M9</f>
        <v>Bal Kumari</v>
      </c>
      <c r="E11" s="518"/>
      <c r="F11" s="521"/>
      <c r="G11" s="523"/>
    </row>
    <row r="12" spans="3:13">
      <c r="C12" s="297" t="s">
        <v>243</v>
      </c>
      <c r="D12" s="520">
        <f>QUOTATION!M7</f>
        <v>43701</v>
      </c>
      <c r="E12" s="520"/>
      <c r="F12" s="521"/>
      <c r="G12" s="524"/>
    </row>
    <row r="13" spans="3:13">
      <c r="C13" s="193" t="s">
        <v>235</v>
      </c>
      <c r="D13" s="513" t="s">
        <v>231</v>
      </c>
      <c r="E13" s="514"/>
      <c r="F13" s="515" t="s">
        <v>232</v>
      </c>
      <c r="G13" s="516"/>
    </row>
    <row r="14" spans="3:13">
      <c r="C14" s="194" t="s">
        <v>233</v>
      </c>
      <c r="D14" s="296"/>
      <c r="E14" s="244">
        <f>Pricing!L104</f>
        <v>3205.41</v>
      </c>
      <c r="F14" s="205"/>
      <c r="G14" s="206">
        <f>E14</f>
        <v>3205.41</v>
      </c>
    </row>
    <row r="15" spans="3:13">
      <c r="C15" s="194" t="s">
        <v>234</v>
      </c>
      <c r="D15" s="296">
        <f>'Changable Values'!D4</f>
        <v>83</v>
      </c>
      <c r="E15" s="199">
        <f>E14*D15</f>
        <v>266049.02999999997</v>
      </c>
      <c r="F15" s="205"/>
      <c r="G15" s="207">
        <f>E15</f>
        <v>266049.02999999997</v>
      </c>
    </row>
    <row r="16" spans="3:13">
      <c r="C16" s="195" t="s">
        <v>97</v>
      </c>
      <c r="D16" s="200">
        <f>'Changable Values'!D5</f>
        <v>0.1</v>
      </c>
      <c r="E16" s="199">
        <f>E15*D16</f>
        <v>26604.902999999998</v>
      </c>
      <c r="F16" s="208">
        <f>'Changable Values'!D5</f>
        <v>0.1</v>
      </c>
      <c r="G16" s="207">
        <f>G15*F16</f>
        <v>26604.902999999998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32191.932629999996</v>
      </c>
      <c r="F17" s="208">
        <f>'Changable Values'!D6</f>
        <v>0.11</v>
      </c>
      <c r="G17" s="207">
        <f>SUM(G15:G16)*F17</f>
        <v>32191.932629999996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1624.2293281499999</v>
      </c>
      <c r="F18" s="208">
        <f>'Changable Values'!D7</f>
        <v>5.0000000000000001E-3</v>
      </c>
      <c r="G18" s="207">
        <f>SUM(G15:G17)*F18</f>
        <v>1624.2293281499999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3264.7009495814996</v>
      </c>
      <c r="F19" s="208">
        <f>'Changable Values'!D8</f>
        <v>0.01</v>
      </c>
      <c r="G19" s="207">
        <f>SUM(G15:G18)*F19</f>
        <v>3264.7009495814996</v>
      </c>
    </row>
    <row r="20" spans="3:7">
      <c r="C20" s="195" t="s">
        <v>99</v>
      </c>
      <c r="D20" s="201"/>
      <c r="E20" s="199">
        <f>SUM(E15:E19)</f>
        <v>329734.79590773146</v>
      </c>
      <c r="F20" s="208"/>
      <c r="G20" s="207">
        <f>SUM(G15:G19)</f>
        <v>329734.79590773146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4946.0219386159715</v>
      </c>
      <c r="F21" s="208">
        <f>'Changable Values'!D9</f>
        <v>1.4999999999999999E-2</v>
      </c>
      <c r="G21" s="207">
        <f>G20*F21</f>
        <v>4946.0219386159715</v>
      </c>
    </row>
    <row r="22" spans="3:7">
      <c r="C22" s="195" t="s">
        <v>189</v>
      </c>
      <c r="D22" s="198"/>
      <c r="E22" s="199">
        <f>'Cost Calculation'!AB109</f>
        <v>41738.400000000001</v>
      </c>
      <c r="F22" s="209"/>
      <c r="G22" s="207">
        <f t="shared" ref="G22:G28" si="0">E22</f>
        <v>41738.400000000001</v>
      </c>
    </row>
    <row r="23" spans="3:7">
      <c r="C23" s="195" t="s">
        <v>228</v>
      </c>
      <c r="D23" s="198"/>
      <c r="E23" s="199">
        <f>'Cost Calculation'!AD109</f>
        <v>280760.37176999997</v>
      </c>
      <c r="F23" s="209"/>
      <c r="G23" s="207">
        <f t="shared" si="0"/>
        <v>280760.37176999997</v>
      </c>
    </row>
    <row r="24" spans="3:7">
      <c r="C24" s="195" t="s">
        <v>229</v>
      </c>
      <c r="D24" s="198"/>
      <c r="E24" s="199">
        <f>'Cost Calculation'!AH111</f>
        <v>23372.760098360661</v>
      </c>
      <c r="F24" s="209"/>
      <c r="G24" s="207">
        <f t="shared" si="0"/>
        <v>23372.760098360661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137995.64574119999</v>
      </c>
      <c r="F27" s="209"/>
      <c r="G27" s="207">
        <f t="shared" si="0"/>
        <v>137995.64574119999</v>
      </c>
    </row>
    <row r="28" spans="3:7">
      <c r="C28" s="195" t="s">
        <v>88</v>
      </c>
      <c r="D28" s="198"/>
      <c r="E28" s="199">
        <f>'Cost Calculation'!AN109</f>
        <v>110396.51659295999</v>
      </c>
      <c r="F28" s="209"/>
      <c r="G28" s="207">
        <f t="shared" si="0"/>
        <v>110396.51659295999</v>
      </c>
    </row>
    <row r="29" spans="3:7">
      <c r="C29" s="293" t="s">
        <v>378</v>
      </c>
      <c r="D29" s="294"/>
      <c r="E29" s="295">
        <f>SUM(E20:E28)</f>
        <v>928944.512048868</v>
      </c>
      <c r="F29" s="209"/>
      <c r="G29" s="207">
        <f>SUM(G20:G21,G24)</f>
        <v>358053.57794470806</v>
      </c>
    </row>
    <row r="30" spans="3:7">
      <c r="C30" s="293" t="s">
        <v>379</v>
      </c>
      <c r="D30" s="294"/>
      <c r="E30" s="295">
        <f>E29/E33</f>
        <v>673.16943738285079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447566.97243088507</v>
      </c>
      <c r="F31" s="214">
        <f>'Changable Values'!D23</f>
        <v>1.25</v>
      </c>
      <c r="G31" s="207">
        <f>G29*F31</f>
        <v>447566.97243088507</v>
      </c>
    </row>
    <row r="32" spans="3:7">
      <c r="C32" s="290" t="s">
        <v>5</v>
      </c>
      <c r="D32" s="291"/>
      <c r="E32" s="292">
        <f>E31+E29</f>
        <v>1376511.4844797531</v>
      </c>
      <c r="F32" s="205"/>
      <c r="G32" s="207">
        <f>SUM(G25:G31,G22:G23)</f>
        <v>1376511.4844797528</v>
      </c>
    </row>
    <row r="33" spans="3:7">
      <c r="C33" s="300" t="s">
        <v>230</v>
      </c>
      <c r="D33" s="301"/>
      <c r="E33" s="308">
        <f>'Cost Calculation'!K109</f>
        <v>1379.9564574120002</v>
      </c>
      <c r="F33" s="210"/>
      <c r="G33" s="211">
        <f>E33</f>
        <v>1379.9564574120002</v>
      </c>
    </row>
    <row r="34" spans="3:7">
      <c r="C34" s="302" t="s">
        <v>9</v>
      </c>
      <c r="D34" s="303"/>
      <c r="E34" s="304">
        <f>QUOTATION!L116</f>
        <v>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997.50356403367402</v>
      </c>
      <c r="F35" s="212"/>
      <c r="G35" s="213">
        <f>G32/(G33)</f>
        <v>997.5035640336738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2019-08-28T04:23:19Z</cp:lastPrinted>
  <dcterms:created xsi:type="dcterms:W3CDTF">2010-12-18T06:34:46Z</dcterms:created>
  <dcterms:modified xsi:type="dcterms:W3CDTF">2019-08-28T10:30:17Z</dcterms:modified>
</cp:coreProperties>
</file>