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4240" windowHeight="1243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Drawings!$C$2:$O$293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29" i="158" l="1"/>
  <c r="Q25" i="158"/>
  <c r="Q22" i="158"/>
  <c r="Q21" i="158"/>
  <c r="Q20" i="158"/>
  <c r="Q18" i="158"/>
  <c r="Q17" i="158"/>
  <c r="Q16" i="158"/>
  <c r="Q15" i="158"/>
  <c r="Q10" i="158"/>
  <c r="Q7" i="158"/>
  <c r="Q6" i="158"/>
  <c r="Q5" i="158"/>
  <c r="Q4" i="158"/>
  <c r="R8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" i="169"/>
  <c r="I4" i="158" l="1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6" i="162"/>
  <c r="M19" i="162" s="1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H103" i="158"/>
  <c r="G103" i="158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H102" i="158"/>
  <c r="G102" i="158"/>
  <c r="T102" i="158" s="1"/>
  <c r="W102" i="158" s="1"/>
  <c r="X102" i="158" s="1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T100" i="158" s="1"/>
  <c r="W100" i="158" s="1"/>
  <c r="X100" i="158" s="1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H98" i="158"/>
  <c r="G98" i="158"/>
  <c r="T98" i="158" s="1"/>
  <c r="W98" i="158" s="1"/>
  <c r="X98" i="158" s="1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T96" i="158" s="1"/>
  <c r="W96" i="158" s="1"/>
  <c r="X96" i="158" s="1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H95" i="158"/>
  <c r="G95" i="158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H94" i="158"/>
  <c r="G94" i="158"/>
  <c r="T94" i="158" s="1"/>
  <c r="W94" i="158" s="1"/>
  <c r="X94" i="158" s="1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T92" i="158" s="1"/>
  <c r="W92" i="158" s="1"/>
  <c r="X92" i="158" s="1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H90" i="158"/>
  <c r="G90" i="158"/>
  <c r="T90" i="158" s="1"/>
  <c r="W90" i="158" s="1"/>
  <c r="X90" i="158" s="1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T88" i="158" s="1"/>
  <c r="W88" i="158" s="1"/>
  <c r="X88" i="158" s="1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H87" i="158"/>
  <c r="G87" i="158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T86" i="158" s="1"/>
  <c r="W86" i="158" s="1"/>
  <c r="X86" i="158" s="1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T84" i="158" s="1"/>
  <c r="W84" i="158" s="1"/>
  <c r="X84" i="158" s="1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H82" i="158"/>
  <c r="G82" i="158"/>
  <c r="T82" i="158" s="1"/>
  <c r="W82" i="158" s="1"/>
  <c r="X82" i="158" s="1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T80" i="158" s="1"/>
  <c r="W80" i="158" s="1"/>
  <c r="X80" i="158" s="1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H79" i="158"/>
  <c r="G79" i="158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H78" i="158"/>
  <c r="G78" i="158"/>
  <c r="T78" i="158" s="1"/>
  <c r="W78" i="158" s="1"/>
  <c r="X78" i="158" s="1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H77" i="158"/>
  <c r="K89" i="160" s="1"/>
  <c r="G77" i="158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H76" i="158"/>
  <c r="K88" i="160" s="1"/>
  <c r="G76" i="158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H74" i="158"/>
  <c r="K86" i="160" s="1"/>
  <c r="G74" i="158"/>
  <c r="T74" i="158" s="1"/>
  <c r="W74" i="158" s="1"/>
  <c r="X74" i="158" s="1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H72" i="158"/>
  <c r="K84" i="160" s="1"/>
  <c r="G72" i="158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H71" i="158"/>
  <c r="K83" i="160" s="1"/>
  <c r="G71" i="158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H70" i="158"/>
  <c r="K82" i="160" s="1"/>
  <c r="G70" i="158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H69" i="158"/>
  <c r="K81" i="160" s="1"/>
  <c r="G69" i="158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H68" i="158"/>
  <c r="K80" i="160" s="1"/>
  <c r="G68" i="158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H66" i="158"/>
  <c r="K78" i="160" s="1"/>
  <c r="G66" i="158"/>
  <c r="T66" i="158" s="1"/>
  <c r="W66" i="158" s="1"/>
  <c r="X66" i="158" s="1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H65" i="158"/>
  <c r="G65" i="158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H64" i="158"/>
  <c r="K76" i="160" s="1"/>
  <c r="G64" i="158"/>
  <c r="T64" i="158" s="1"/>
  <c r="W64" i="158" s="1"/>
  <c r="X64" i="158" s="1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H62" i="158"/>
  <c r="K74" i="160" s="1"/>
  <c r="G62" i="158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H61" i="158"/>
  <c r="K73" i="160" s="1"/>
  <c r="G61" i="158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H58" i="158"/>
  <c r="K70" i="160" s="1"/>
  <c r="G58" i="158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H56" i="158"/>
  <c r="K68" i="160" s="1"/>
  <c r="G56" i="158"/>
  <c r="T56" i="158" s="1"/>
  <c r="W56" i="158" s="1"/>
  <c r="X56" i="158" s="1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H54" i="158"/>
  <c r="K66" i="160" s="1"/>
  <c r="G54" i="158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61" i="159"/>
  <c r="W61" i="159" s="1"/>
  <c r="U57" i="158"/>
  <c r="Y57" i="158"/>
  <c r="V57" i="158"/>
  <c r="U59" i="158"/>
  <c r="V59" i="158"/>
  <c r="Y59" i="158"/>
  <c r="L73" i="160"/>
  <c r="U61" i="158"/>
  <c r="Y61" i="158"/>
  <c r="V61" i="158"/>
  <c r="I71" i="159"/>
  <c r="W71" i="159" s="1"/>
  <c r="X71" i="159" s="1"/>
  <c r="U67" i="158"/>
  <c r="V67" i="158"/>
  <c r="Y67" i="158"/>
  <c r="J80" i="160"/>
  <c r="T68" i="158"/>
  <c r="W68" i="158" s="1"/>
  <c r="X68" i="158" s="1"/>
  <c r="F76" i="159"/>
  <c r="T72" i="158"/>
  <c r="W72" i="158" s="1"/>
  <c r="X72" i="158" s="1"/>
  <c r="U97" i="158"/>
  <c r="Y97" i="158"/>
  <c r="V97" i="158"/>
  <c r="L103" i="158"/>
  <c r="M103" i="158" s="1"/>
  <c r="P107" i="159" s="1"/>
  <c r="U103" i="158"/>
  <c r="V103" i="158"/>
  <c r="Y103" i="158"/>
  <c r="U55" i="158"/>
  <c r="V55" i="158"/>
  <c r="Y55" i="158"/>
  <c r="J72" i="160"/>
  <c r="T60" i="158"/>
  <c r="W60" i="158" s="1"/>
  <c r="X60" i="158" s="1"/>
  <c r="L75" i="160"/>
  <c r="U63" i="158"/>
  <c r="V63" i="158"/>
  <c r="Y63" i="158"/>
  <c r="F74" i="159"/>
  <c r="T70" i="158"/>
  <c r="W70" i="158" s="1"/>
  <c r="X70" i="158" s="1"/>
  <c r="U75" i="158"/>
  <c r="V75" i="158"/>
  <c r="Y75" i="158"/>
  <c r="L89" i="160"/>
  <c r="U77" i="158"/>
  <c r="Y77" i="158"/>
  <c r="V77" i="158"/>
  <c r="L79" i="158"/>
  <c r="M79" i="158" s="1"/>
  <c r="P83" i="159" s="1"/>
  <c r="U79" i="158"/>
  <c r="V79" i="158"/>
  <c r="Y79" i="158"/>
  <c r="L97" i="160"/>
  <c r="U85" i="158"/>
  <c r="Y85" i="158"/>
  <c r="V85" i="158"/>
  <c r="U91" i="158"/>
  <c r="V91" i="158"/>
  <c r="Y91" i="158"/>
  <c r="L99" i="158"/>
  <c r="M99" i="158" s="1"/>
  <c r="P103" i="159" s="1"/>
  <c r="U99" i="158"/>
  <c r="V99" i="158"/>
  <c r="Y99" i="158"/>
  <c r="L54" i="158"/>
  <c r="M54" i="158" s="1"/>
  <c r="P58" i="159" s="1"/>
  <c r="U54" i="158"/>
  <c r="V54" i="158"/>
  <c r="Y54" i="158"/>
  <c r="L76" i="160"/>
  <c r="U64" i="158"/>
  <c r="Y64" i="158"/>
  <c r="V64" i="158"/>
  <c r="J77" i="160"/>
  <c r="T65" i="158"/>
  <c r="W65" i="158" s="1"/>
  <c r="X65" i="158" s="1"/>
  <c r="T67" i="158"/>
  <c r="W67" i="158" s="1"/>
  <c r="X67" i="158" s="1"/>
  <c r="I72" i="159"/>
  <c r="W72" i="159" s="1"/>
  <c r="X72" i="159" s="1"/>
  <c r="Y72" i="159" s="1"/>
  <c r="U68" i="158"/>
  <c r="V68" i="158"/>
  <c r="Y68" i="158"/>
  <c r="J81" i="160"/>
  <c r="M81" i="160" s="1"/>
  <c r="T69" i="158"/>
  <c r="W69" i="158" s="1"/>
  <c r="X69" i="158" s="1"/>
  <c r="I74" i="159"/>
  <c r="W74" i="159" s="1"/>
  <c r="U70" i="158"/>
  <c r="V70" i="158"/>
  <c r="Y70" i="158"/>
  <c r="J83" i="160"/>
  <c r="T71" i="158"/>
  <c r="W71" i="158" s="1"/>
  <c r="X71" i="158" s="1"/>
  <c r="L86" i="160"/>
  <c r="U74" i="158"/>
  <c r="V74" i="158"/>
  <c r="Y74" i="158"/>
  <c r="J87" i="160"/>
  <c r="T75" i="158"/>
  <c r="W75" i="158" s="1"/>
  <c r="X75" i="158" s="1"/>
  <c r="J89" i="160"/>
  <c r="T77" i="158"/>
  <c r="W77" i="158" s="1"/>
  <c r="X77" i="158" s="1"/>
  <c r="I82" i="159"/>
  <c r="W82" i="159" s="1"/>
  <c r="X82" i="159" s="1"/>
  <c r="Y82" i="159" s="1"/>
  <c r="U78" i="158"/>
  <c r="V78" i="158"/>
  <c r="Y78" i="158"/>
  <c r="F83" i="159"/>
  <c r="T79" i="158"/>
  <c r="W79" i="158" s="1"/>
  <c r="X79" i="158" s="1"/>
  <c r="U80" i="158"/>
  <c r="Y80" i="158"/>
  <c r="V80" i="158"/>
  <c r="U84" i="158"/>
  <c r="V84" i="158"/>
  <c r="Y84" i="158"/>
  <c r="T85" i="158"/>
  <c r="W85" i="158" s="1"/>
  <c r="X85" i="158" s="1"/>
  <c r="U86" i="158"/>
  <c r="V86" i="158"/>
  <c r="Y86" i="158"/>
  <c r="F91" i="159"/>
  <c r="T87" i="158"/>
  <c r="W87" i="158" s="1"/>
  <c r="X87" i="158" s="1"/>
  <c r="U88" i="158"/>
  <c r="Y88" i="158"/>
  <c r="V88" i="158"/>
  <c r="T89" i="158"/>
  <c r="W89" i="158" s="1"/>
  <c r="X89" i="158" s="1"/>
  <c r="I94" i="159"/>
  <c r="W94" i="159" s="1"/>
  <c r="U90" i="158"/>
  <c r="V90" i="158"/>
  <c r="Y90" i="158"/>
  <c r="T91" i="158"/>
  <c r="W91" i="158" s="1"/>
  <c r="X91" i="158" s="1"/>
  <c r="U92" i="158"/>
  <c r="V92" i="158"/>
  <c r="Y92" i="158"/>
  <c r="T93" i="158"/>
  <c r="W93" i="158" s="1"/>
  <c r="X93" i="158" s="1"/>
  <c r="L106" i="160"/>
  <c r="U94" i="158"/>
  <c r="V94" i="158"/>
  <c r="Y94" i="158"/>
  <c r="F99" i="159"/>
  <c r="T95" i="158"/>
  <c r="W95" i="158" s="1"/>
  <c r="X95" i="158" s="1"/>
  <c r="U96" i="158"/>
  <c r="Y96" i="158"/>
  <c r="V96" i="158"/>
  <c r="T97" i="158"/>
  <c r="W97" i="158" s="1"/>
  <c r="X97" i="158" s="1"/>
  <c r="I102" i="159"/>
  <c r="W102" i="159" s="1"/>
  <c r="U98" i="158"/>
  <c r="V98" i="158"/>
  <c r="Y98" i="158"/>
  <c r="T99" i="158"/>
  <c r="W99" i="158" s="1"/>
  <c r="X99" i="158" s="1"/>
  <c r="U100" i="158"/>
  <c r="V100" i="158"/>
  <c r="Y100" i="158"/>
  <c r="T101" i="158"/>
  <c r="W101" i="158" s="1"/>
  <c r="X101" i="158" s="1"/>
  <c r="L114" i="160"/>
  <c r="U102" i="158"/>
  <c r="V102" i="158"/>
  <c r="Y102" i="158"/>
  <c r="F107" i="159"/>
  <c r="T103" i="158"/>
  <c r="W103" i="158" s="1"/>
  <c r="X103" i="158" s="1"/>
  <c r="F58" i="159"/>
  <c r="T54" i="158"/>
  <c r="W54" i="158" s="1"/>
  <c r="X54" i="158" s="1"/>
  <c r="J70" i="160"/>
  <c r="T58" i="158"/>
  <c r="W58" i="158" s="1"/>
  <c r="X58" i="158" s="1"/>
  <c r="F66" i="159"/>
  <c r="T62" i="158"/>
  <c r="W62" i="158" s="1"/>
  <c r="X62" i="158" s="1"/>
  <c r="I69" i="159"/>
  <c r="W69" i="159" s="1"/>
  <c r="U65" i="158"/>
  <c r="Y65" i="158"/>
  <c r="V65" i="158"/>
  <c r="L81" i="160"/>
  <c r="U69" i="158"/>
  <c r="Y69" i="158"/>
  <c r="V69" i="158"/>
  <c r="L83" i="160"/>
  <c r="U71" i="158"/>
  <c r="V71" i="158"/>
  <c r="Y71" i="158"/>
  <c r="U73" i="158"/>
  <c r="Y73" i="158"/>
  <c r="V73" i="158"/>
  <c r="J88" i="160"/>
  <c r="T76" i="158"/>
  <c r="W76" i="158" s="1"/>
  <c r="X76" i="158" s="1"/>
  <c r="U81" i="158"/>
  <c r="Y81" i="158"/>
  <c r="V81" i="158"/>
  <c r="U83" i="158"/>
  <c r="V83" i="158"/>
  <c r="Y83" i="158"/>
  <c r="L87" i="158"/>
  <c r="M87" i="158" s="1"/>
  <c r="P91" i="159" s="1"/>
  <c r="U87" i="158"/>
  <c r="V87" i="158"/>
  <c r="Y87" i="158"/>
  <c r="U89" i="158"/>
  <c r="Y89" i="158"/>
  <c r="V89" i="158"/>
  <c r="U93" i="158"/>
  <c r="Y93" i="158"/>
  <c r="V93" i="158"/>
  <c r="L95" i="158"/>
  <c r="M95" i="158" s="1"/>
  <c r="P99" i="159" s="1"/>
  <c r="U95" i="158"/>
  <c r="V95" i="158"/>
  <c r="Y95" i="158"/>
  <c r="I105" i="159"/>
  <c r="W105" i="159" s="1"/>
  <c r="X105" i="159" s="1"/>
  <c r="U101" i="158"/>
  <c r="Y101" i="158"/>
  <c r="V101" i="158"/>
  <c r="J67" i="160"/>
  <c r="T55" i="158"/>
  <c r="W55" i="158" s="1"/>
  <c r="X55" i="158" s="1"/>
  <c r="I60" i="159"/>
  <c r="W60" i="159" s="1"/>
  <c r="X60" i="159" s="1"/>
  <c r="Y60" i="159" s="1"/>
  <c r="U56" i="158"/>
  <c r="Y56" i="158"/>
  <c r="V56" i="158"/>
  <c r="T57" i="158"/>
  <c r="W57" i="158" s="1"/>
  <c r="X57" i="158" s="1"/>
  <c r="I62" i="159"/>
  <c r="W62" i="159" s="1"/>
  <c r="U58" i="158"/>
  <c r="V58" i="158"/>
  <c r="Y58" i="158"/>
  <c r="T59" i="158"/>
  <c r="W59" i="158" s="1"/>
  <c r="X59" i="158" s="1"/>
  <c r="U60" i="158"/>
  <c r="V60" i="158"/>
  <c r="Y60" i="158"/>
  <c r="J73" i="160"/>
  <c r="T61" i="158"/>
  <c r="W61" i="158" s="1"/>
  <c r="X61" i="158" s="1"/>
  <c r="L62" i="158"/>
  <c r="M62" i="158" s="1"/>
  <c r="P66" i="159" s="1"/>
  <c r="U62" i="158"/>
  <c r="V62" i="158"/>
  <c r="Y62" i="158"/>
  <c r="T63" i="158"/>
  <c r="W63" i="158" s="1"/>
  <c r="X63" i="158" s="1"/>
  <c r="I70" i="159"/>
  <c r="W70" i="159" s="1"/>
  <c r="X70" i="159" s="1"/>
  <c r="Y70" i="159" s="1"/>
  <c r="U66" i="158"/>
  <c r="V66" i="158"/>
  <c r="Y66" i="158"/>
  <c r="L84" i="160"/>
  <c r="U72" i="158"/>
  <c r="Y72" i="158"/>
  <c r="V72" i="158"/>
  <c r="F77" i="159"/>
  <c r="T73" i="158"/>
  <c r="W73" i="158" s="1"/>
  <c r="X73" i="158" s="1"/>
  <c r="I80" i="159"/>
  <c r="W80" i="159" s="1"/>
  <c r="X80" i="159" s="1"/>
  <c r="U76" i="158"/>
  <c r="V76" i="158"/>
  <c r="Y76" i="158"/>
  <c r="T81" i="158"/>
  <c r="W81" i="158" s="1"/>
  <c r="X81" i="158" s="1"/>
  <c r="I86" i="159"/>
  <c r="W86" i="159" s="1"/>
  <c r="X86" i="159" s="1"/>
  <c r="U82" i="158"/>
  <c r="V82" i="158"/>
  <c r="Y82" i="158"/>
  <c r="F87" i="159"/>
  <c r="T83" i="158"/>
  <c r="W83" i="158" s="1"/>
  <c r="X83" i="158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D88" i="159"/>
  <c r="D96" i="160"/>
  <c r="G98" i="159"/>
  <c r="K106" i="160"/>
  <c r="G111" i="160"/>
  <c r="E103" i="159"/>
  <c r="J64" i="158"/>
  <c r="J76" i="160"/>
  <c r="L55" i="158"/>
  <c r="M55" i="158" s="1"/>
  <c r="P59" i="159" s="1"/>
  <c r="L67" i="160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E82" i="159"/>
  <c r="G90" i="160"/>
  <c r="G83" i="159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I59" i="159"/>
  <c r="W59" i="159" s="1"/>
  <c r="X59" i="159" s="1"/>
  <c r="Y59" i="159" s="1"/>
  <c r="B61" i="159"/>
  <c r="C62" i="159"/>
  <c r="D63" i="159"/>
  <c r="E64" i="159"/>
  <c r="F65" i="159"/>
  <c r="G66" i="159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J54" i="158"/>
  <c r="J66" i="160"/>
  <c r="L60" i="158"/>
  <c r="M60" i="158" s="1"/>
  <c r="P64" i="159" s="1"/>
  <c r="L72" i="160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S20" i="162"/>
  <c r="S21" i="162" s="1"/>
  <c r="M57" i="162"/>
  <c r="M58" i="162"/>
  <c r="M39" i="162"/>
  <c r="M40" i="162" s="1"/>
  <c r="M20" i="162"/>
  <c r="M21" i="162" s="1"/>
  <c r="X61" i="159"/>
  <c r="Y61" i="159" s="1"/>
  <c r="X62" i="159"/>
  <c r="X74" i="159"/>
  <c r="Y74" i="159" s="1"/>
  <c r="X69" i="159"/>
  <c r="X94" i="159"/>
  <c r="Y94" i="159" s="1"/>
  <c r="X102" i="159"/>
  <c r="Y102" i="159" s="1"/>
  <c r="J55" i="158"/>
  <c r="J68" i="158"/>
  <c r="J76" i="158"/>
  <c r="J84" i="158"/>
  <c r="J92" i="158"/>
  <c r="E53" i="162"/>
  <c r="E56" i="162" s="1"/>
  <c r="B46" i="162"/>
  <c r="E35" i="162"/>
  <c r="E16" i="162"/>
  <c r="M72" i="160" l="1"/>
  <c r="H58" i="159"/>
  <c r="H83" i="159"/>
  <c r="J83" i="159" s="1"/>
  <c r="M86" i="160"/>
  <c r="H66" i="159"/>
  <c r="M67" i="160"/>
  <c r="M73" i="160"/>
  <c r="M88" i="160"/>
  <c r="M76" i="160"/>
  <c r="M80" i="160"/>
  <c r="M75" i="160"/>
  <c r="H77" i="159"/>
  <c r="J77" i="159" s="1"/>
  <c r="AM77" i="159" s="1"/>
  <c r="M84" i="160"/>
  <c r="S22" i="162"/>
  <c r="M74" i="160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A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H50" i="158"/>
  <c r="K62" i="160" s="1"/>
  <c r="I50" i="158"/>
  <c r="E51" i="158"/>
  <c r="I63" i="160" s="1"/>
  <c r="F51" i="158"/>
  <c r="H63" i="160" s="1"/>
  <c r="G51" i="158"/>
  <c r="H51" i="158"/>
  <c r="K63" i="160" s="1"/>
  <c r="I51" i="158"/>
  <c r="E52" i="158"/>
  <c r="I64" i="160" s="1"/>
  <c r="F52" i="158"/>
  <c r="H64" i="160" s="1"/>
  <c r="G52" i="158"/>
  <c r="H52" i="158"/>
  <c r="K64" i="160" s="1"/>
  <c r="I52" i="158"/>
  <c r="E53" i="158"/>
  <c r="I65" i="160" s="1"/>
  <c r="F53" i="158"/>
  <c r="H65" i="160" s="1"/>
  <c r="G53" i="158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53" i="158"/>
  <c r="Y53" i="158"/>
  <c r="V53" i="158"/>
  <c r="U45" i="158"/>
  <c r="Y45" i="158"/>
  <c r="V45" i="158"/>
  <c r="U52" i="158"/>
  <c r="V52" i="158"/>
  <c r="Y52" i="158"/>
  <c r="J62" i="160"/>
  <c r="T50" i="158"/>
  <c r="W50" i="158" s="1"/>
  <c r="X50" i="158" s="1"/>
  <c r="U48" i="158"/>
  <c r="V48" i="158"/>
  <c r="Y48" i="158"/>
  <c r="J58" i="160"/>
  <c r="T46" i="158"/>
  <c r="W46" i="158" s="1"/>
  <c r="X46" i="158" s="1"/>
  <c r="U44" i="158"/>
  <c r="Y44" i="158"/>
  <c r="V44" i="158"/>
  <c r="J54" i="160"/>
  <c r="T42" i="158"/>
  <c r="W42" i="158" s="1"/>
  <c r="X42" i="158" s="1"/>
  <c r="J59" i="160"/>
  <c r="T47" i="158"/>
  <c r="W47" i="158" s="1"/>
  <c r="X47" i="158" s="1"/>
  <c r="J65" i="160"/>
  <c r="T53" i="158"/>
  <c r="W53" i="158" s="1"/>
  <c r="X53" i="158" s="1"/>
  <c r="U51" i="158"/>
  <c r="V51" i="158"/>
  <c r="Y51" i="158"/>
  <c r="J61" i="160"/>
  <c r="T49" i="158"/>
  <c r="W49" i="158" s="1"/>
  <c r="X49" i="158" s="1"/>
  <c r="U47" i="158"/>
  <c r="V47" i="158"/>
  <c r="Y47" i="158"/>
  <c r="J57" i="160"/>
  <c r="T45" i="158"/>
  <c r="W45" i="158" s="1"/>
  <c r="X45" i="158" s="1"/>
  <c r="U43" i="158"/>
  <c r="V43" i="158"/>
  <c r="Y43" i="158"/>
  <c r="J53" i="160"/>
  <c r="T41" i="158"/>
  <c r="W41" i="158" s="1"/>
  <c r="X41" i="158" s="1"/>
  <c r="J63" i="160"/>
  <c r="T51" i="158"/>
  <c r="W51" i="158" s="1"/>
  <c r="X51" i="158" s="1"/>
  <c r="U49" i="158"/>
  <c r="Y49" i="158"/>
  <c r="V49" i="158"/>
  <c r="J55" i="160"/>
  <c r="T43" i="158"/>
  <c r="W43" i="158" s="1"/>
  <c r="X43" i="158" s="1"/>
  <c r="U41" i="158"/>
  <c r="Y41" i="158"/>
  <c r="V41" i="158"/>
  <c r="J64" i="160"/>
  <c r="T52" i="158"/>
  <c r="W52" i="158" s="1"/>
  <c r="X52" i="158" s="1"/>
  <c r="U50" i="158"/>
  <c r="V50" i="158"/>
  <c r="Y50" i="158"/>
  <c r="J60" i="160"/>
  <c r="T48" i="158"/>
  <c r="W48" i="158" s="1"/>
  <c r="X48" i="158" s="1"/>
  <c r="U46" i="158"/>
  <c r="V46" i="158"/>
  <c r="Y46" i="158"/>
  <c r="J56" i="160"/>
  <c r="T44" i="158"/>
  <c r="W44" i="158" s="1"/>
  <c r="X44" i="158" s="1"/>
  <c r="U42" i="158"/>
  <c r="V42" i="158"/>
  <c r="Y42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L43" i="158"/>
  <c r="M43" i="158" s="1"/>
  <c r="P47" i="159" s="1"/>
  <c r="Q47" i="159" s="1"/>
  <c r="L55" i="160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J4" i="158"/>
  <c r="AH49" i="159" l="1"/>
  <c r="AH34" i="159"/>
  <c r="AH38" i="159"/>
  <c r="AH42" i="159"/>
  <c r="AH46" i="159"/>
  <c r="AH54" i="159"/>
  <c r="AH57" i="159"/>
  <c r="M37" i="160"/>
  <c r="M55" i="160"/>
  <c r="M49" i="160"/>
  <c r="M43" i="160"/>
  <c r="M59" i="160"/>
  <c r="AH47" i="159"/>
  <c r="AH11" i="159"/>
  <c r="AH35" i="159"/>
  <c r="AH39" i="159"/>
  <c r="AH43" i="159"/>
  <c r="M38" i="160"/>
  <c r="M40" i="160"/>
  <c r="M61" i="160"/>
  <c r="M45" i="160"/>
  <c r="M34" i="160"/>
  <c r="M50" i="160"/>
  <c r="M31" i="160"/>
  <c r="M47" i="160"/>
  <c r="M63" i="160"/>
  <c r="M36" i="160"/>
  <c r="M41" i="160"/>
  <c r="M30" i="160"/>
  <c r="M35" i="160"/>
  <c r="M51" i="160"/>
  <c r="M56" i="160"/>
  <c r="M53" i="160"/>
  <c r="AH30" i="159"/>
  <c r="AH27" i="159"/>
  <c r="AH26" i="159"/>
  <c r="AH23" i="159"/>
  <c r="AH22" i="159"/>
  <c r="AH19" i="159"/>
  <c r="AH18" i="159"/>
  <c r="M26" i="160"/>
  <c r="M25" i="160"/>
  <c r="AH15" i="159"/>
  <c r="AH37" i="159"/>
  <c r="AH51" i="159"/>
  <c r="AH56" i="159"/>
  <c r="AH12" i="159"/>
  <c r="AH16" i="159"/>
  <c r="AH8" i="159"/>
  <c r="AH13" i="159"/>
  <c r="AH14" i="159"/>
  <c r="AH17" i="159"/>
  <c r="AH20" i="159"/>
  <c r="AH21" i="159"/>
  <c r="AH24" i="159"/>
  <c r="AH25" i="159"/>
  <c r="AH28" i="159"/>
  <c r="AH29" i="159"/>
  <c r="AH32" i="159"/>
  <c r="AH33" i="159"/>
  <c r="AH36" i="159"/>
  <c r="AH40" i="159"/>
  <c r="AH41" i="159"/>
  <c r="AH44" i="159"/>
  <c r="AH45" i="159"/>
  <c r="AH50" i="159"/>
  <c r="AH53" i="159"/>
  <c r="M60" i="160"/>
  <c r="AH48" i="159"/>
  <c r="AH9" i="159"/>
  <c r="AH10" i="159"/>
  <c r="AH31" i="159"/>
  <c r="AH52" i="159"/>
  <c r="AH55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<sst xmlns="http://schemas.openxmlformats.org/spreadsheetml/2006/main" count="2076" uniqueCount="482">
  <si>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</si>
  <si>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</si>
  <si>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</si>
  <si>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</si>
  <si>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</si>
  <si>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</si>
  <si>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</si>
  <si>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</si>
  <si>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</si>
  <si>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</si>
  <si>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</si>
  <si>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</si>
  <si>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</si>
  <si>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</si>
  <si>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</si>
  <si>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</si>
  <si>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</si>
  <si>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</si>
  <si>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</si>
  <si>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</si>
  <si>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</si>
  <si>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</si>
  <si>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</si>
  <si>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</si>
  <si>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</si>
  <si>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</si>
  <si>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</si>
  <si>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</si>
  <si>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</si>
  <si>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</si>
  <si>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</si>
  <si>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</si>
  <si>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</si>
  <si>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</si>
  <si>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</si>
  <si>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</si>
  <si>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</si>
  <si>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</si>
  <si>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</si>
  <si>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</si>
  <si>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</si>
  <si>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</si>
  <si>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</si>
  <si>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</si>
  <si>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</si>
  <si>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</si>
  <si>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</si>
  <si>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</si>
  <si>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</si>
  <si>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</si>
  <si>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</si>
  <si>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</si>
  <si>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</si>
  <si>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</si>
  <si>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</si>
  <si>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</si>
  <si>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</si>
  <si>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</si>
  <si>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</si>
  <si>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</si>
  <si>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</si>
  <si>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</si>
  <si>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</si>
  <si>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</si>
  <si>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</si>
  <si>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</si>
  <si>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</si>
  <si>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</si>
  <si>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</si>
  <si>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</si>
  <si>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</si>
  <si>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</si>
  <si>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</si>
  <si>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</si>
  <si>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</si>
  <si>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</si>
  <si>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</si>
  <si>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</si>
  <si>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</si>
  <si>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</si>
  <si>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</si>
  <si>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</si>
  <si>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</si>
  <si>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</si>
  <si>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</si>
  <si>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</si>
  <si>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</si>
  <si>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</si>
  <si>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</si>
  <si>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</si>
  <si>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</si>
  <si>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</si>
  <si>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</si>
  <si>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</si>
  <si>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</si>
  <si>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</si>
  <si>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</si>
  <si>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</si>
  <si>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</si>
  <si>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</si>
  <si>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</si>
  <si>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</si>
  <si>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</si>
  <si>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</si>
  <si>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</si>
  <si>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</si>
  <si>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</si>
  <si>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</si>
  <si>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</si>
  <si>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</si>
  <si>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</si>
  <si>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</si>
  <si>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</si>
  <si>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</si>
  <si>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</si>
  <si>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</si>
  <si>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</si>
  <si>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</si>
  <si>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</si>
  <si>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</si>
  <si>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</si>
  <si>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</si>
  <si>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</si>
  <si>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</si>
  <si>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</si>
  <si>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</si>
  <si>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</si>
  <si>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</si>
  <si>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</si>
  <si>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</si>
  <si>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</si>
  <si>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</si>
  <si>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</si>
  <si>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</si>
  <si>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</si>
  <si>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</si>
  <si>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</si>
  <si>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</si>
  <si>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</si>
  <si>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</si>
  <si>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</si>
  <si>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</si>
  <si>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</si>
  <si>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</si>
  <si>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</si>
  <si>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</si>
  <si>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</si>
  <si>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</si>
  <si>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</si>
  <si>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</si>
  <si>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</si>
  <si>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</si>
  <si>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</si>
  <si>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</si>
  <si>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</si>
  <si>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</si>
  <si>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</si>
  <si>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</si>
  <si>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</si>
  <si>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</si>
  <si>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</si>
  <si>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</si>
  <si>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</si>
  <si>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</si>
  <si>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</si>
  <si>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</si>
  <si>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</si>
  <si>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</si>
  <si>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</si>
  <si>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</si>
  <si>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</si>
  <si>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</si>
  <si>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</si>
  <si>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</si>
  <si>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</si>
  <si>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</si>
  <si>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</si>
  <si>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</si>
  <si>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</si>
  <si>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</si>
  <si>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</si>
  <si>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</si>
  <si>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</si>
  <si>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</si>
  <si>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</si>
  <si>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</si>
  <si>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</si>
  <si>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</si>
  <si>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</si>
  <si>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</si>
  <si>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</si>
  <si>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</si>
  <si>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</si>
  <si>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</si>
  <si>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</si>
  <si>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</si>
  <si>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</si>
  <si>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</si>
  <si>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</si>
  <si>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</si>
  <si>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</si>
  <si>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</si>
  <si>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</si>
  <si>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</si>
  <si>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</si>
  <si>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</si>
  <si>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</si>
  <si>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</si>
  <si>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</si>
  <si>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</si>
  <si>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</si>
  <si>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</si>
  <si>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</si>
  <si>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</si>
  <si>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</si>
  <si>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</si>
  <si>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</si>
  <si>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</si>
  <si>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</si>
  <si>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</si>
  <si>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</si>
  <si>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</si>
  <si>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</si>
  <si>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</si>
  <si>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</si>
  <si>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</si>
  <si>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</si>
  <si>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</si>
  <si>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</si>
  <si>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</si>
  <si>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</si>
  <si>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</si>
  <si>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</si>
  <si>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</si>
  <si>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</si>
  <si>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</si>
  <si>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</si>
  <si>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</si>
  <si>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</si>
  <si>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</si>
  <si>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</si>
  <si>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</si>
  <si>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</si>
  <si>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</si>
  <si>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</si>
  <si>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</si>
  <si>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</si>
  <si>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</si>
  <si>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</si>
  <si>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</si>
  <si>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</si>
  <si>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</si>
  <si>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</si>
  <si>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</si>
  <si>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</si>
  <si>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</si>
  <si>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</si>
  <si>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</si>
  <si>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</si>
  <si>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</si>
  <si>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</si>
  <si>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</si>
  <si>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</si>
  <si>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</si>
  <si>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</si>
  <si>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</si>
  <si>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</si>
  <si>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</si>
  <si>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</si>
  <si>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</si>
  <si>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</si>
  <si>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</si>
  <si>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</si>
  <si>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</si>
  <si>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</si>
  <si>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</si>
  <si>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</si>
  <si>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</si>
  <si>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</si>
  <si>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</si>
  <si>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</si>
  <si>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</si>
  <si>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</si>
  <si>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</si>
  <si>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</si>
  <si>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</si>
  <si>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</si>
  <si>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</si>
  <si>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</si>
  <si>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</si>
  <si>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</si>
  <si>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</si>
  <si>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</si>
  <si>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</si>
  <si>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</si>
  <si>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</si>
  <si>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</si>
  <si>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</si>
  <si>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</si>
  <si>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</si>
  <si>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</si>
  <si>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</si>
  <si>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</si>
  <si>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</si>
  <si>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</si>
  <si>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</si>
  <si>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</si>
  <si>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</si>
  <si>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</si>
  <si>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</si>
  <si>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</si>
  <si>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</si>
  <si>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</si>
  <si>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</si>
  <si>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</si>
  <si>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</si>
  <si>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</si>
  <si>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</si>
  <si>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</si>
  <si>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</si>
  <si>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</si>
  <si>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</si>
  <si>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</si>
  <si>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</si>
  <si>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</si>
  <si>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</si>
  <si>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</si>
  <si>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</si>
  <si>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</si>
  <si>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</si>
  <si>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</si>
  <si>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</si>
  <si>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</si>
  <si>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</si>
  <si>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</si>
  <si>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</si>
  <si>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</si>
  <si>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</si>
  <si>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</si>
  <si>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</si>
  <si>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</si>
  <si>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</si>
  <si>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</si>
  <si>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</si>
  <si>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</si>
  <si>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</si>
  <si>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</si>
  <si>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</si>
  <si>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</si>
  <si>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</si>
  <si>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</si>
  <si>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</si>
  <si>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</si>
  <si>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</si>
  <si>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</si>
  <si>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</si>
  <si>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</si>
  <si>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</si>
  <si>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</si>
  <si>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</si>
  <si>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</si>
  <si>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</si>
  <si>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</si>
  <si>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</si>
  <si>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</si>
  <si>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</si>
  <si>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</si>
  <si>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</si>
  <si>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</si>
  <si>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</si>
  <si>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</si>
  <si>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</si>
  <si>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</si>
  <si>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</si>
  <si>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</si>
  <si>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</si>
  <si>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</si>
  <si>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</si>
  <si>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</si>
  <si>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</si>
  <si>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</si>
  <si>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</si>
  <si>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</si>
  <si>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</si>
  <si>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</si>
  <si>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</si>
  <si>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</si>
  <si>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</si>
  <si>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</si>
  <si>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</si>
  <si>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</si>
  <si>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</si>
  <si>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</si>
  <si>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</si>
  <si>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</si>
  <si>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</si>
  <si>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</si>
  <si>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</si>
  <si>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</si>
  <si>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</si>
  <si>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</si>
  <si>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</si>
  <si>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</si>
  <si>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</si>
  <si>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</si>
  <si>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</si>
  <si>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</si>
  <si>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</si>
  <si>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</si>
  <si>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</si>
  <si>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</si>
  <si>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</si>
  <si>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</si>
  <si>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</si>
  <si>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</si>
  <si>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</si>
  <si>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</si>
  <si>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</si>
  <si>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</si>
  <si>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</si>
  <si>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</si>
  <si>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</si>
  <si>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</si>
  <si>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Hyderabad</t>
  </si>
  <si>
    <t>Anodized</t>
  </si>
  <si>
    <t>M14600</t>
  </si>
  <si>
    <t>3 TRACK 2 SHUTTER SLIDING WINDOW</t>
  </si>
  <si>
    <t>8MM</t>
  </si>
  <si>
    <t>SS</t>
  </si>
  <si>
    <t>GF - LIVING</t>
  </si>
  <si>
    <t>W1</t>
  </si>
  <si>
    <t>M900</t>
  </si>
  <si>
    <t>GF - LIVING, DINING</t>
  </si>
  <si>
    <t>W3</t>
  </si>
  <si>
    <t>W4</t>
  </si>
  <si>
    <t>W5</t>
  </si>
  <si>
    <t>W6</t>
  </si>
  <si>
    <t>GF - DINING</t>
  </si>
  <si>
    <t>GF - BR, SERVANT ROOM</t>
  </si>
  <si>
    <t>FD</t>
  </si>
  <si>
    <t>M9800</t>
  </si>
  <si>
    <t>4 LEAF SLIDE &amp; FOLD DOOR</t>
  </si>
  <si>
    <t>RETRACTABLE</t>
  </si>
  <si>
    <t>FG</t>
  </si>
  <si>
    <t>M15000</t>
  </si>
  <si>
    <t>FIXED GLASS 2 NO'S</t>
  </si>
  <si>
    <t>NO</t>
  </si>
  <si>
    <t>GF - DRAWING</t>
  </si>
  <si>
    <t>KW</t>
  </si>
  <si>
    <t>GF - KITCHEN</t>
  </si>
  <si>
    <t>KW1</t>
  </si>
  <si>
    <t>TOP HUNG WINDOW</t>
  </si>
  <si>
    <t>GF - KITCHEN &amp; ANTI KITCHEN</t>
  </si>
  <si>
    <t>V</t>
  </si>
  <si>
    <t>8MM (F)</t>
  </si>
  <si>
    <t>GF - TOILET</t>
  </si>
  <si>
    <t>V1</t>
  </si>
  <si>
    <t>GF - BEDROOM</t>
  </si>
  <si>
    <t>W2</t>
  </si>
  <si>
    <t>FF - LIVING</t>
  </si>
  <si>
    <t>FF - LOUNGE</t>
  </si>
  <si>
    <t>FF - BEDROOM</t>
  </si>
  <si>
    <t>FF - BEDROOM &amp; LIVING</t>
  </si>
  <si>
    <t>SD</t>
  </si>
  <si>
    <t>3 TRACK 2 SHUTTER SLIDING DOOR</t>
  </si>
  <si>
    <t>D/W</t>
  </si>
  <si>
    <t>3 TRACK 2 SHUTTER SLIDING DOOR WITH 2 FIXED</t>
  </si>
  <si>
    <t>D/W 1</t>
  </si>
  <si>
    <t>FF - TOILET</t>
  </si>
  <si>
    <t>V2</t>
  </si>
  <si>
    <t>FIXED GLASS WITH GLASS LOUVERS</t>
  </si>
  <si>
    <t>AW4</t>
  </si>
  <si>
    <t>FF - BEDROOM BALCONY</t>
  </si>
  <si>
    <t>SF - TOILET</t>
  </si>
  <si>
    <t>SW</t>
  </si>
  <si>
    <t>SF - PARTY ROOM</t>
  </si>
  <si>
    <t>8MM (F) &amp; 6MM (A&amp;F)</t>
  </si>
  <si>
    <t>8mm :- 8mm Clear Toughened Glass</t>
  </si>
  <si>
    <t>8mm (F) :- 8mm Frosted Toughened Glass</t>
  </si>
  <si>
    <t>6mm(A&amp;F) :- 6mm Anealed &amp; Frosted Glass</t>
  </si>
  <si>
    <t>ABPL-DE-19.20-2172-OP-1</t>
  </si>
  <si>
    <t>Mr. Shilpi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</si>
</sst>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tmp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240196</xdr:colOff>
      <xdr:row>8</xdr:row>
      <xdr:rowOff>74544</xdr:rowOff>
    </xdr:from>
    <xdr:to>
      <xdr:col>8</xdr:col>
      <xdr:colOff>331305</xdr:colOff>
      <xdr:row>16</xdr:row>
      <xdr:rowOff>218529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7" y="1548848"/>
          <a:ext cx="3420718" cy="2661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19</xdr:row>
      <xdr:rowOff>157370</xdr:rowOff>
    </xdr:from>
    <xdr:to>
      <xdr:col>6</xdr:col>
      <xdr:colOff>231914</xdr:colOff>
      <xdr:row>27</xdr:row>
      <xdr:rowOff>176555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4944718"/>
          <a:ext cx="1838740" cy="2537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513521</xdr:colOff>
      <xdr:row>30</xdr:row>
      <xdr:rowOff>66261</xdr:rowOff>
    </xdr:from>
    <xdr:to>
      <xdr:col>6</xdr:col>
      <xdr:colOff>149087</xdr:colOff>
      <xdr:row>38</xdr:row>
      <xdr:rowOff>252541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1" y="8166652"/>
          <a:ext cx="1615109" cy="2704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356152</xdr:colOff>
      <xdr:row>41</xdr:row>
      <xdr:rowOff>124240</xdr:rowOff>
    </xdr:from>
    <xdr:to>
      <xdr:col>6</xdr:col>
      <xdr:colOff>165653</xdr:colOff>
      <xdr:row>49</xdr:row>
      <xdr:rowOff>243929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11537675"/>
          <a:ext cx="1789044" cy="26376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52</xdr:row>
      <xdr:rowOff>74543</xdr:rowOff>
    </xdr:from>
    <xdr:to>
      <xdr:col>9</xdr:col>
      <xdr:colOff>57978</xdr:colOff>
      <xdr:row>60</xdr:row>
      <xdr:rowOff>202346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1" y="14801021"/>
          <a:ext cx="3909392" cy="2645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173933</xdr:colOff>
      <xdr:row>63</xdr:row>
      <xdr:rowOff>207065</xdr:rowOff>
    </xdr:from>
    <xdr:to>
      <xdr:col>10</xdr:col>
      <xdr:colOff>8283</xdr:colOff>
      <xdr:row>71</xdr:row>
      <xdr:rowOff>51348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129" y="18246587"/>
          <a:ext cx="4928154" cy="236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74</xdr:row>
      <xdr:rowOff>207065</xdr:rowOff>
    </xdr:from>
    <xdr:to>
      <xdr:col>6</xdr:col>
      <xdr:colOff>115957</xdr:colOff>
      <xdr:row>81</xdr:row>
      <xdr:rowOff>219943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21559630"/>
          <a:ext cx="1764196" cy="2216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579781</xdr:colOff>
      <xdr:row>85</xdr:row>
      <xdr:rowOff>240196</xdr:rowOff>
    </xdr:from>
    <xdr:to>
      <xdr:col>5</xdr:col>
      <xdr:colOff>1946412</xdr:colOff>
      <xdr:row>92</xdr:row>
      <xdr:rowOff>259654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1" y="24905805"/>
          <a:ext cx="1366631" cy="2222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124239</xdr:colOff>
      <xdr:row>98</xdr:row>
      <xdr:rowOff>24849</xdr:rowOff>
    </xdr:from>
    <xdr:to>
      <xdr:col>6</xdr:col>
      <xdr:colOff>165653</xdr:colOff>
      <xdr:row>102</xdr:row>
      <xdr:rowOff>269860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9" y="28632979"/>
          <a:ext cx="2020957" cy="1503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108</xdr:row>
      <xdr:rowOff>306456</xdr:rowOff>
    </xdr:from>
    <xdr:to>
      <xdr:col>5</xdr:col>
      <xdr:colOff>1855303</xdr:colOff>
      <xdr:row>113</xdr:row>
      <xdr:rowOff>190500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64" y="31912891"/>
          <a:ext cx="1457739" cy="1457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118</xdr:row>
      <xdr:rowOff>240196</xdr:rowOff>
    </xdr:from>
    <xdr:to>
      <xdr:col>5</xdr:col>
      <xdr:colOff>1648239</xdr:colOff>
      <xdr:row>126</xdr:row>
      <xdr:rowOff>120977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5" y="34844935"/>
          <a:ext cx="1217544" cy="2398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679173</xdr:colOff>
      <xdr:row>129</xdr:row>
      <xdr:rowOff>124239</xdr:rowOff>
    </xdr:from>
    <xdr:to>
      <xdr:col>6</xdr:col>
      <xdr:colOff>16565</xdr:colOff>
      <xdr:row>137</xdr:row>
      <xdr:rowOff>51688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4" y="38042022"/>
          <a:ext cx="2012674" cy="2445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140</xdr:row>
      <xdr:rowOff>140803</xdr:rowOff>
    </xdr:from>
    <xdr:to>
      <xdr:col>5</xdr:col>
      <xdr:colOff>1631674</xdr:colOff>
      <xdr:row>148</xdr:row>
      <xdr:rowOff>35859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1371629"/>
          <a:ext cx="1441174" cy="2412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151</xdr:row>
      <xdr:rowOff>132522</xdr:rowOff>
    </xdr:from>
    <xdr:to>
      <xdr:col>5</xdr:col>
      <xdr:colOff>1789043</xdr:colOff>
      <xdr:row>159</xdr:row>
      <xdr:rowOff>203365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44676392"/>
          <a:ext cx="1755913" cy="2588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162</xdr:row>
      <xdr:rowOff>223630</xdr:rowOff>
    </xdr:from>
    <xdr:to>
      <xdr:col>5</xdr:col>
      <xdr:colOff>1590261</xdr:colOff>
      <xdr:row>170</xdr:row>
      <xdr:rowOff>200274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48080543"/>
          <a:ext cx="1507435" cy="2494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173</xdr:row>
      <xdr:rowOff>165652</xdr:rowOff>
    </xdr:from>
    <xdr:to>
      <xdr:col>5</xdr:col>
      <xdr:colOff>1573695</xdr:colOff>
      <xdr:row>181</xdr:row>
      <xdr:rowOff>176974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51335609"/>
          <a:ext cx="1283805" cy="2529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546652</xdr:colOff>
      <xdr:row>184</xdr:row>
      <xdr:rowOff>107673</xdr:rowOff>
    </xdr:from>
    <xdr:to>
      <xdr:col>9</xdr:col>
      <xdr:colOff>132522</xdr:colOff>
      <xdr:row>192</xdr:row>
      <xdr:rowOff>162943</xdr:rowOff>
    </xdr:to>
    <xdr:grpSp>
      <xdr:nvGrpSpPr>
        <xdr:cNvPr id="21" name="Group 20"/>
        <xdr:cNvGrpSpPr/>
      </xdr:nvGrpSpPr>
      <xdr:grpSpPr>
        <a:xfrm>
          <a:off x="2310848" y="54590673"/>
          <a:ext cx="4091609" cy="2573183"/>
          <a:chOff x="2310848" y="54590673"/>
          <a:chExt cx="4091609" cy="2573183"/>
        </a:xfrm>
      </xdr:grpSpPr>
      <xdr:pic>
        <xdr:nvPicPr>
          <xdr:cNvPr id="18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10848" y="54590673"/>
            <a:ext cx="4091609" cy="25731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Picture 18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4782" y="55236717"/>
            <a:ext cx="638264" cy="419158"/>
          </a:xfrm>
          <a:prstGeom prst="rect">
            <a:avLst/>
          </a:prstGeom>
        </xdr:spPr>
      </xdr:pic>
      <xdr:pic>
        <xdr:nvPicPr>
          <xdr:cNvPr id="20" name="Picture 19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91978" y="55302978"/>
            <a:ext cx="638264" cy="41915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546652</xdr:colOff>
      <xdr:row>195</xdr:row>
      <xdr:rowOff>132518</xdr:rowOff>
    </xdr:from>
    <xdr:to>
      <xdr:col>9</xdr:col>
      <xdr:colOff>132522</xdr:colOff>
      <xdr:row>203</xdr:row>
      <xdr:rowOff>187787</xdr:rowOff>
    </xdr:to>
    <xdr:grpSp>
      <xdr:nvGrpSpPr>
        <xdr:cNvPr id="22" name="Group 21"/>
        <xdr:cNvGrpSpPr/>
      </xdr:nvGrpSpPr>
      <xdr:grpSpPr>
        <a:xfrm>
          <a:off x="2310848" y="57928561"/>
          <a:ext cx="4091609" cy="2573183"/>
          <a:chOff x="2310848" y="54590673"/>
          <a:chExt cx="4091609" cy="2573183"/>
        </a:xfrm>
      </xdr:grpSpPr>
      <xdr:pic>
        <xdr:nvPicPr>
          <xdr:cNvPr id="23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10848" y="54590673"/>
            <a:ext cx="4091609" cy="25731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4" name="Picture 23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4782" y="55236717"/>
            <a:ext cx="638264" cy="419158"/>
          </a:xfrm>
          <a:prstGeom prst="rect">
            <a:avLst/>
          </a:prstGeom>
        </xdr:spPr>
      </xdr:pic>
      <xdr:pic>
        <xdr:nvPicPr>
          <xdr:cNvPr id="25" name="Picture 24" descr="Screen Clipping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91978" y="55302978"/>
            <a:ext cx="638264" cy="41915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41413</xdr:colOff>
      <xdr:row>206</xdr:row>
      <xdr:rowOff>149086</xdr:rowOff>
    </xdr:from>
    <xdr:to>
      <xdr:col>7</xdr:col>
      <xdr:colOff>240196</xdr:colOff>
      <xdr:row>214</xdr:row>
      <xdr:rowOff>230466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61258173"/>
          <a:ext cx="2567609" cy="2599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218</xdr:row>
      <xdr:rowOff>240194</xdr:rowOff>
    </xdr:from>
    <xdr:to>
      <xdr:col>6</xdr:col>
      <xdr:colOff>24849</xdr:colOff>
      <xdr:row>223</xdr:row>
      <xdr:rowOff>207065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64977064"/>
          <a:ext cx="1540566" cy="1540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215347</xdr:colOff>
      <xdr:row>228</xdr:row>
      <xdr:rowOff>248478</xdr:rowOff>
    </xdr:from>
    <xdr:to>
      <xdr:col>7</xdr:col>
      <xdr:colOff>41413</xdr:colOff>
      <xdr:row>235</xdr:row>
      <xdr:rowOff>247832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608" y="67983652"/>
          <a:ext cx="2890631" cy="2202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239</xdr:row>
      <xdr:rowOff>182216</xdr:rowOff>
    </xdr:from>
    <xdr:to>
      <xdr:col>5</xdr:col>
      <xdr:colOff>1615109</xdr:colOff>
      <xdr:row>247</xdr:row>
      <xdr:rowOff>216430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71230433"/>
          <a:ext cx="1731066" cy="2552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654325</xdr:colOff>
      <xdr:row>251</xdr:row>
      <xdr:rowOff>57979</xdr:rowOff>
    </xdr:from>
    <xdr:to>
      <xdr:col>5</xdr:col>
      <xdr:colOff>1673086</xdr:colOff>
      <xdr:row>256</xdr:row>
      <xdr:rowOff>198783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586" y="74733979"/>
          <a:ext cx="17145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298173</xdr:colOff>
      <xdr:row>261</xdr:row>
      <xdr:rowOff>140805</xdr:rowOff>
    </xdr:from>
    <xdr:to>
      <xdr:col>8</xdr:col>
      <xdr:colOff>364434</xdr:colOff>
      <xdr:row>269</xdr:row>
      <xdr:rowOff>210388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434" y="77815109"/>
          <a:ext cx="3395870" cy="2587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223630</xdr:colOff>
      <xdr:row>272</xdr:row>
      <xdr:rowOff>223631</xdr:rowOff>
    </xdr:from>
    <xdr:to>
      <xdr:col>9</xdr:col>
      <xdr:colOff>435241</xdr:colOff>
      <xdr:row>279</xdr:row>
      <xdr:rowOff>281609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6" y="81210979"/>
          <a:ext cx="4717350" cy="2261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</xdr:colOff>
      <xdr:row>283</xdr:row>
      <xdr:rowOff>140804</xdr:rowOff>
    </xdr:from>
    <xdr:to>
      <xdr:col>5</xdr:col>
      <xdr:colOff>1789044</xdr:colOff>
      <xdr:row>291</xdr:row>
      <xdr:rowOff>162807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84441195"/>
          <a:ext cx="1722783" cy="2539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5" sqref="Q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ABPL-DE-19.20-2172-OP-1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Shilpi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43704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43704</v>
      </c>
    </row>
    <row r="5" spans="2:16">
      <c r="B5" s="218"/>
      <c r="C5" s="539" t="s">
        <v>168</v>
      </c>
      <c r="D5" s="539"/>
      <c r="E5" s="539"/>
      <c r="F5" s="540" t="str">
        <f>QUOTATION!F9</f>
        <v>Mr. Anamol Anand : 7702300826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Bal Kumari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1" t="s">
        <v>177</v>
      </c>
      <c r="J6" s="541"/>
      <c r="K6" s="540" t="str">
        <f>QUOTATION!I10</f>
        <v>Silver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</v>
      </c>
      <c r="F8" s="288" t="s">
        <v>254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GF - LIVING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3048 X 1754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8MM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W1</v>
      </c>
      <c r="F19" s="288" t="s">
        <v>254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 - LIVING, DINING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1524 X 1754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4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8MM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GF - DINING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1220 X 1754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6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8MM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W4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GF - BR, SERVANT ROOM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1220 X 1448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2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8MM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FD</v>
      </c>
      <c r="F52" s="288" t="s">
        <v>254</v>
      </c>
      <c r="G52" s="540" t="str">
        <f>'BD Team'!D13</f>
        <v>4 LEAF SLIDE &amp; FOLD DOOR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GF - LIVING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3658 X 2210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M9800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8MM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RETRACTABLE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FG</v>
      </c>
      <c r="F63" s="288" t="s">
        <v>254</v>
      </c>
      <c r="G63" s="540" t="str">
        <f>'BD Team'!D14</f>
        <v>FIXED GLASS 2 NO'S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GF - DRAWING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3658 X 1448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8MM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NO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KW</v>
      </c>
      <c r="F74" s="288" t="s">
        <v>254</v>
      </c>
      <c r="G74" s="540" t="str">
        <f>'BD Team'!D15</f>
        <v>3 TRACK 2 SHUTTER SLIDING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GF - KITCHEN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1220 X 1144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M900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8MM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SS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KW1</v>
      </c>
      <c r="F85" s="288" t="s">
        <v>254</v>
      </c>
      <c r="G85" s="540" t="str">
        <f>'BD Team'!D16</f>
        <v>TOP HUNG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GF - KITCHEN &amp; ANTI KITCHEN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610 X 1144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2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8MM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NO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V</v>
      </c>
      <c r="F96" s="288" t="s">
        <v>254</v>
      </c>
      <c r="G96" s="540" t="str">
        <f>'BD Team'!D17</f>
        <v>TOP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GF - TOILET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916 X 610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2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8MM (F)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NO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V1</v>
      </c>
      <c r="F107" s="288" t="s">
        <v>254</v>
      </c>
      <c r="G107" s="540" t="str">
        <f>'BD Team'!D18</f>
        <v>TOP HUNG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GF - TOILET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610 X 610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3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8MM (F)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NO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W6</v>
      </c>
      <c r="F118" s="288" t="s">
        <v>254</v>
      </c>
      <c r="G118" s="540" t="str">
        <f>'BD Team'!D19</f>
        <v>TOP HUNG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GF - BEDROOM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610 X 1448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8MM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W2</v>
      </c>
      <c r="F129" s="288" t="s">
        <v>254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FF - LIVING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1524 X 1448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3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M900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8MM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W3</v>
      </c>
      <c r="F140" s="288" t="s">
        <v>254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FF - LOUNGE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1220 X 1754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3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8MM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W4</v>
      </c>
      <c r="F151" s="288" t="s">
        <v>254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FF - BEDROOM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1220 X 1448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M900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8MM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SS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W5</v>
      </c>
      <c r="F162" s="288" t="s">
        <v>254</v>
      </c>
      <c r="G162" s="540" t="str">
        <f>'BD Team'!D23</f>
        <v>3 TRACK 2 SHUTTER SLIDING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FF - BEDROOM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1068 X 1448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2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M900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8MM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SS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W6</v>
      </c>
      <c r="F173" s="288" t="s">
        <v>254</v>
      </c>
      <c r="G173" s="540" t="str">
        <f>'BD Team'!D24</f>
        <v>TOP HUNG WINDOW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FF - BEDROOM &amp; LIVING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610 X 1448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2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8MM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NO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SD</v>
      </c>
      <c r="F184" s="288" t="s">
        <v>254</v>
      </c>
      <c r="G184" s="540" t="str">
        <f>'BD Team'!D25</f>
        <v>3 TRACK 2 SHUTTER SLIDING DOOR WITH 2 FIXED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FF - LOUNGE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4572 X 2210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M14600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8MM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SS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D/W</v>
      </c>
      <c r="F195" s="288" t="s">
        <v>254</v>
      </c>
      <c r="G195" s="540" t="str">
        <f>'BD Team'!D26</f>
        <v>3 TRACK 2 SHUTTER SLIDING DOOR WITH 2 FIXED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FF - BEDROOM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4572 X 2210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1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M14600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8MM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SS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D/W 1</v>
      </c>
      <c r="F206" s="288" t="s">
        <v>254</v>
      </c>
      <c r="G206" s="540" t="str">
        <f>'BD Team'!D27</f>
        <v>3 TRACK 2 SHUTTER SLIDING DOOR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FF - LIVING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2744 X 2210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M14600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8MM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SS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V1</v>
      </c>
      <c r="F217" s="288" t="s">
        <v>254</v>
      </c>
      <c r="G217" s="540" t="str">
        <f>'BD Team'!D28</f>
        <v>TOP HUNG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FF - TOILET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610 X 610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M14600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8MM (F)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NO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V2</v>
      </c>
      <c r="F228" s="288" t="s">
        <v>254</v>
      </c>
      <c r="G228" s="540" t="str">
        <f>'BD Team'!D29</f>
        <v>FIXED GLASS WITH GLASS LOUVERS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FF - TOILET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458 X 1220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4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8MM (F) &amp; 6MM (A&amp;F)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NO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AW4</v>
      </c>
      <c r="F239" s="288" t="s">
        <v>254</v>
      </c>
      <c r="G239" s="540" t="str">
        <f>'BD Team'!D30</f>
        <v>3 TRACK 2 SHUTTER SLIDING WINDOW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FF - BEDROOM BALCONY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1220 X 1448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1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M900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8MM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SS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V1</v>
      </c>
      <c r="F250" s="288" t="s">
        <v>254</v>
      </c>
      <c r="G250" s="540" t="str">
        <f>'BD Team'!D31</f>
        <v>TOP HUNG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SF - TOILET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610 X 610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M15000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8MM (F)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NO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V2</v>
      </c>
      <c r="F261" s="288" t="s">
        <v>254</v>
      </c>
      <c r="G261" s="540" t="str">
        <f>'BD Team'!D32</f>
        <v>FIXED GLASS WITH GLASS LOUVERS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SF - TOILET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458 X 1220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2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M15000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8MM (F) &amp; 6MM (A&amp;F)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NO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SW</v>
      </c>
      <c r="F272" s="288" t="s">
        <v>254</v>
      </c>
      <c r="G272" s="540" t="str">
        <f>'BD Team'!D33</f>
        <v>FIXED GLASS 2 NO'S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SF - PARTY ROOM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3658 X 1448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1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M15000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8MM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 t="str">
        <f>'BD Team'!B34</f>
        <v>W4</v>
      </c>
      <c r="F283" s="288" t="s">
        <v>254</v>
      </c>
      <c r="G283" s="540" t="str">
        <f>'BD Team'!D34</f>
        <v>3 TRACK 2 SHUTTER SLIDING WINDOW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SF - PARTY ROOM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>1220 X 1448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 t="str">
        <f>'BD Team'!C34</f>
        <v>M900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 t="str">
        <f>'BD Team'!E34</f>
        <v>8MM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 t="str">
        <f>'BD Team'!F34</f>
        <v>SS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919</v>
      </c>
    </row>
    <row r="5" spans="3:5">
      <c r="C5" s="236" t="s">
        <v>395</v>
      </c>
      <c r="D5" s="236" t="s">
        <v>393</v>
      </c>
      <c r="E5" s="309">
        <f>ROUND(Pricing!U104,0.1)/40</f>
        <v>27.574999999999999</v>
      </c>
    </row>
    <row r="6" spans="3:5">
      <c r="C6" s="236" t="s">
        <v>83</v>
      </c>
      <c r="D6" s="236" t="s">
        <v>392</v>
      </c>
      <c r="E6" s="309">
        <f>ROUND(Pricing!V104,0.1)</f>
        <v>57</v>
      </c>
    </row>
    <row r="7" spans="3:5">
      <c r="C7" s="236" t="s">
        <v>399</v>
      </c>
      <c r="D7" s="236" t="s">
        <v>391</v>
      </c>
      <c r="E7" s="309">
        <f>ROUND(Pricing!W104,0.1)</f>
        <v>919</v>
      </c>
    </row>
    <row r="8" spans="3:5">
      <c r="C8" s="236" t="s">
        <v>396</v>
      </c>
      <c r="D8" s="236" t="s">
        <v>391</v>
      </c>
      <c r="E8" s="309">
        <f>ROUND(Pricing!X104,0.1)</f>
        <v>1838</v>
      </c>
    </row>
    <row r="9" spans="3:5">
      <c r="C9" t="s">
        <v>222</v>
      </c>
      <c r="D9" s="236" t="s">
        <v>394</v>
      </c>
      <c r="E9" s="309">
        <f>ROUND(Pricing!Y104,0.1)</f>
        <v>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7"/>
  <sheetViews>
    <sheetView topLeftCell="A16" workbookViewId="0">
      <selection activeCell="A28" sqref="A2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8MM</v>
      </c>
      <c r="E2" s="318" t="str">
        <f>'BD Team'!G9</f>
        <v>GF - LIVING</v>
      </c>
      <c r="F2" s="318" t="str">
        <f>'BD Team'!F9</f>
        <v>SS</v>
      </c>
      <c r="I2" s="318">
        <f>'BD Team'!H9</f>
        <v>3048</v>
      </c>
      <c r="J2" s="318">
        <f>'BD Team'!I9</f>
        <v>1754</v>
      </c>
      <c r="K2" s="318">
        <f>'BD Team'!J9</f>
        <v>1</v>
      </c>
      <c r="L2" s="319">
        <f>'BD Team'!K9</f>
        <v>509.16</v>
      </c>
      <c r="M2" s="318">
        <f>Pricing!O4</f>
        <v>1322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8MM</v>
      </c>
      <c r="E3" s="318" t="str">
        <f>'BD Team'!G10</f>
        <v>GF - LIVING, DINING</v>
      </c>
      <c r="F3" s="318" t="str">
        <f>'BD Team'!F10</f>
        <v>SS</v>
      </c>
      <c r="I3" s="318">
        <f>'BD Team'!H10</f>
        <v>1524</v>
      </c>
      <c r="J3" s="318">
        <f>'BD Team'!I10</f>
        <v>1754</v>
      </c>
      <c r="K3" s="318">
        <f>'BD Team'!J10</f>
        <v>4</v>
      </c>
      <c r="L3" s="319">
        <f>'BD Team'!K10</f>
        <v>142.09</v>
      </c>
      <c r="M3" s="318">
        <f>Pricing!O5</f>
        <v>1322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8MM</v>
      </c>
      <c r="E4" s="318" t="str">
        <f>'BD Team'!G11</f>
        <v>GF - DINING</v>
      </c>
      <c r="F4" s="318" t="str">
        <f>'BD Team'!F11</f>
        <v>SS</v>
      </c>
      <c r="I4" s="318">
        <f>'BD Team'!H11</f>
        <v>1220</v>
      </c>
      <c r="J4" s="318">
        <f>'BD Team'!I11</f>
        <v>1754</v>
      </c>
      <c r="K4" s="318">
        <f>'BD Team'!J11</f>
        <v>6</v>
      </c>
      <c r="L4" s="319">
        <f>'BD Team'!K11</f>
        <v>134.49</v>
      </c>
      <c r="M4" s="318">
        <f>Pricing!O6</f>
        <v>1322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8MM</v>
      </c>
      <c r="E5" s="318" t="str">
        <f>'BD Team'!G12</f>
        <v>GF - BR, SERVANT ROOM</v>
      </c>
      <c r="F5" s="318" t="str">
        <f>'BD Team'!F12</f>
        <v>SS</v>
      </c>
      <c r="I5" s="318">
        <f>'BD Team'!H12</f>
        <v>1220</v>
      </c>
      <c r="J5" s="318">
        <f>'BD Team'!I12</f>
        <v>1448</v>
      </c>
      <c r="K5" s="318">
        <f>'BD Team'!J12</f>
        <v>2</v>
      </c>
      <c r="L5" s="319">
        <f>'BD Team'!K12</f>
        <v>121.43</v>
      </c>
      <c r="M5" s="318">
        <f>Pricing!O7</f>
        <v>1322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FD</v>
      </c>
      <c r="B6" s="318" t="str">
        <f>'BD Team'!C13</f>
        <v>M9800</v>
      </c>
      <c r="C6" s="318" t="str">
        <f>'BD Team'!D13</f>
        <v>4 LEAF SLIDE &amp; FOLD DOOR</v>
      </c>
      <c r="D6" s="318" t="str">
        <f>'BD Team'!E13</f>
        <v>8MM</v>
      </c>
      <c r="E6" s="318" t="str">
        <f>'BD Team'!G13</f>
        <v>GF - LIVING</v>
      </c>
      <c r="F6" s="318" t="str">
        <f>'BD Team'!F13</f>
        <v>RETRACTABLE</v>
      </c>
      <c r="I6" s="318">
        <f>'BD Team'!H13</f>
        <v>3658</v>
      </c>
      <c r="J6" s="318">
        <f>'BD Team'!I13</f>
        <v>2210</v>
      </c>
      <c r="K6" s="318">
        <f>'BD Team'!J13</f>
        <v>1</v>
      </c>
      <c r="L6" s="319">
        <f>'BD Team'!K13</f>
        <v>1008.56</v>
      </c>
      <c r="M6" s="318">
        <f>Pricing!O8</f>
        <v>1322</v>
      </c>
      <c r="N6" s="318">
        <f>Pricing!Q8</f>
        <v>0</v>
      </c>
      <c r="O6" s="318">
        <f>Pricing!R8</f>
        <v>9687.5999999999985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FG</v>
      </c>
      <c r="B7" s="318" t="str">
        <f>'BD Team'!C14</f>
        <v>M15000</v>
      </c>
      <c r="C7" s="318" t="str">
        <f>'BD Team'!D14</f>
        <v>FIXED GLASS 2 NO'S</v>
      </c>
      <c r="D7" s="318" t="str">
        <f>'BD Team'!E14</f>
        <v>8MM</v>
      </c>
      <c r="E7" s="318" t="str">
        <f>'BD Team'!G14</f>
        <v>GF - DRAWING</v>
      </c>
      <c r="F7" s="318" t="str">
        <f>'BD Team'!F14</f>
        <v>NO</v>
      </c>
      <c r="I7" s="318">
        <f>'BD Team'!H14</f>
        <v>3658</v>
      </c>
      <c r="J7" s="318">
        <f>'BD Team'!I14</f>
        <v>1448</v>
      </c>
      <c r="K7" s="318">
        <f>'BD Team'!J14</f>
        <v>1</v>
      </c>
      <c r="L7" s="319">
        <f>'BD Team'!K14</f>
        <v>180.39</v>
      </c>
      <c r="M7" s="318">
        <f>Pricing!O9</f>
        <v>1322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KW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8MM</v>
      </c>
      <c r="E8" s="318" t="str">
        <f>'BD Team'!G15</f>
        <v>GF - KITCHEN</v>
      </c>
      <c r="F8" s="318" t="str">
        <f>'BD Team'!F15</f>
        <v>SS</v>
      </c>
      <c r="I8" s="318">
        <f>'BD Team'!H15</f>
        <v>1220</v>
      </c>
      <c r="J8" s="318">
        <f>'BD Team'!I15</f>
        <v>1144</v>
      </c>
      <c r="K8" s="318">
        <f>'BD Team'!J15</f>
        <v>1</v>
      </c>
      <c r="L8" s="319">
        <f>'BD Team'!K15</f>
        <v>103.99</v>
      </c>
      <c r="M8" s="318">
        <f>Pricing!O10</f>
        <v>1322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KW1</v>
      </c>
      <c r="B9" s="318" t="str">
        <f>'BD Team'!C16</f>
        <v>M15000</v>
      </c>
      <c r="C9" s="318" t="str">
        <f>'BD Team'!D16</f>
        <v>TOP HUNG WINDOW</v>
      </c>
      <c r="D9" s="318" t="str">
        <f>'BD Team'!E16</f>
        <v>8MM</v>
      </c>
      <c r="E9" s="318" t="str">
        <f>'BD Team'!G16</f>
        <v>GF - KITCHEN &amp; ANTI KITCHEN</v>
      </c>
      <c r="F9" s="318" t="str">
        <f>'BD Team'!F16</f>
        <v>NO</v>
      </c>
      <c r="I9" s="318">
        <f>'BD Team'!H16</f>
        <v>610</v>
      </c>
      <c r="J9" s="318">
        <f>'BD Team'!I16</f>
        <v>1144</v>
      </c>
      <c r="K9" s="318">
        <f>'BD Team'!J16</f>
        <v>2</v>
      </c>
      <c r="L9" s="319">
        <f>'BD Team'!K16</f>
        <v>161.13</v>
      </c>
      <c r="M9" s="318">
        <f>Pricing!O11</f>
        <v>1322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V</v>
      </c>
      <c r="B10" s="318" t="str">
        <f>'BD Team'!C17</f>
        <v>M15000</v>
      </c>
      <c r="C10" s="318" t="str">
        <f>'BD Team'!D17</f>
        <v>TOP HUNG WINDOW</v>
      </c>
      <c r="D10" s="318" t="str">
        <f>'BD Team'!E17</f>
        <v>8MM (F)</v>
      </c>
      <c r="E10" s="318" t="str">
        <f>'BD Team'!G17</f>
        <v>GF - TOILET</v>
      </c>
      <c r="F10" s="318" t="str">
        <f>'BD Team'!F17</f>
        <v>NO</v>
      </c>
      <c r="I10" s="318">
        <f>'BD Team'!H17</f>
        <v>916</v>
      </c>
      <c r="J10" s="318">
        <f>'BD Team'!I17</f>
        <v>610</v>
      </c>
      <c r="K10" s="318">
        <f>'BD Team'!J17</f>
        <v>2</v>
      </c>
      <c r="L10" s="319">
        <f>'BD Team'!K17</f>
        <v>137.16999999999999</v>
      </c>
      <c r="M10" s="318">
        <f>Pricing!O12</f>
        <v>2324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V1</v>
      </c>
      <c r="B11" s="318" t="str">
        <f>'BD Team'!C18</f>
        <v>M15000</v>
      </c>
      <c r="C11" s="318" t="str">
        <f>'BD Team'!D18</f>
        <v>TOP HUNG WINDOW</v>
      </c>
      <c r="D11" s="318" t="str">
        <f>'BD Team'!E18</f>
        <v>8MM (F)</v>
      </c>
      <c r="E11" s="318" t="str">
        <f>'BD Team'!G18</f>
        <v>GF - TOILET</v>
      </c>
      <c r="F11" s="318" t="str">
        <f>'BD Team'!F18</f>
        <v>NO</v>
      </c>
      <c r="I11" s="318">
        <f>'BD Team'!H18</f>
        <v>610</v>
      </c>
      <c r="J11" s="318">
        <f>'BD Team'!I18</f>
        <v>610</v>
      </c>
      <c r="K11" s="318">
        <f>'BD Team'!J18</f>
        <v>3</v>
      </c>
      <c r="L11" s="319">
        <f>'BD Team'!K18</f>
        <v>124.92</v>
      </c>
      <c r="M11" s="318">
        <f>Pricing!O13</f>
        <v>2324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W6</v>
      </c>
      <c r="B12" s="318" t="str">
        <f>'BD Team'!C19</f>
        <v>M15000</v>
      </c>
      <c r="C12" s="318" t="str">
        <f>'BD Team'!D19</f>
        <v>TOP HUNG WINDOW</v>
      </c>
      <c r="D12" s="318" t="str">
        <f>'BD Team'!E19</f>
        <v>8MM</v>
      </c>
      <c r="E12" s="318" t="str">
        <f>'BD Team'!G19</f>
        <v>GF - BEDROOM</v>
      </c>
      <c r="F12" s="318" t="str">
        <f>'BD Team'!F19</f>
        <v>NO</v>
      </c>
      <c r="I12" s="318">
        <f>'BD Team'!H19</f>
        <v>610</v>
      </c>
      <c r="J12" s="318">
        <f>'BD Team'!I19</f>
        <v>1448</v>
      </c>
      <c r="K12" s="318">
        <f>'BD Team'!J19</f>
        <v>1</v>
      </c>
      <c r="L12" s="319">
        <f>'BD Team'!K19</f>
        <v>173.15</v>
      </c>
      <c r="M12" s="318">
        <f>Pricing!O14</f>
        <v>1322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M900</v>
      </c>
      <c r="C13" s="318" t="str">
        <f>'BD Team'!D20</f>
        <v>3 TRACK 2 SHUTTER SLIDING WINDOW</v>
      </c>
      <c r="D13" s="318" t="str">
        <f>'BD Team'!E20</f>
        <v>8MM</v>
      </c>
      <c r="E13" s="318" t="str">
        <f>'BD Team'!G20</f>
        <v>FF - LIVING</v>
      </c>
      <c r="F13" s="318" t="str">
        <f>'BD Team'!F20</f>
        <v>SS</v>
      </c>
      <c r="I13" s="318">
        <f>'BD Team'!H20</f>
        <v>1524</v>
      </c>
      <c r="J13" s="318">
        <f>'BD Team'!I20</f>
        <v>1448</v>
      </c>
      <c r="K13" s="318">
        <f>'BD Team'!J20</f>
        <v>3</v>
      </c>
      <c r="L13" s="319">
        <f>'BD Team'!K20</f>
        <v>129.04</v>
      </c>
      <c r="M13" s="318">
        <f>Pricing!O15</f>
        <v>1322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8MM</v>
      </c>
      <c r="E14" s="318" t="str">
        <f>'BD Team'!G21</f>
        <v>FF - LOUNGE</v>
      </c>
      <c r="F14" s="318" t="str">
        <f>'BD Team'!F21</f>
        <v>SS</v>
      </c>
      <c r="I14" s="318">
        <f>'BD Team'!H21</f>
        <v>1220</v>
      </c>
      <c r="J14" s="318">
        <f>'BD Team'!I21</f>
        <v>1754</v>
      </c>
      <c r="K14" s="318">
        <f>'BD Team'!J21</f>
        <v>3</v>
      </c>
      <c r="L14" s="319">
        <f>'BD Team'!K21</f>
        <v>134.49</v>
      </c>
      <c r="M14" s="318">
        <f>Pricing!O16</f>
        <v>1322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M900</v>
      </c>
      <c r="C15" s="318" t="str">
        <f>'BD Team'!D22</f>
        <v>3 TRACK 2 SHUTTER SLIDING WINDOW</v>
      </c>
      <c r="D15" s="318" t="str">
        <f>'BD Team'!E22</f>
        <v>8MM</v>
      </c>
      <c r="E15" s="318" t="str">
        <f>'BD Team'!G22</f>
        <v>FF - BEDROOM</v>
      </c>
      <c r="F15" s="318" t="str">
        <f>'BD Team'!F22</f>
        <v>SS</v>
      </c>
      <c r="I15" s="318">
        <f>'BD Team'!H22</f>
        <v>1220</v>
      </c>
      <c r="J15" s="318">
        <f>'BD Team'!I22</f>
        <v>1448</v>
      </c>
      <c r="K15" s="318">
        <f>'BD Team'!J22</f>
        <v>1</v>
      </c>
      <c r="L15" s="319">
        <f>'BD Team'!K22</f>
        <v>121.43</v>
      </c>
      <c r="M15" s="318">
        <f>Pricing!O17</f>
        <v>1322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W5</v>
      </c>
      <c r="B16" s="318" t="str">
        <f>'BD Team'!C23</f>
        <v>M900</v>
      </c>
      <c r="C16" s="318" t="str">
        <f>'BD Team'!D23</f>
        <v>3 TRACK 2 SHUTTER SLIDING WINDOW</v>
      </c>
      <c r="D16" s="318" t="str">
        <f>'BD Team'!E23</f>
        <v>8MM</v>
      </c>
      <c r="E16" s="318" t="str">
        <f>'BD Team'!G23</f>
        <v>FF - BEDROOM</v>
      </c>
      <c r="F16" s="318" t="str">
        <f>'BD Team'!F23</f>
        <v>SS</v>
      </c>
      <c r="I16" s="318">
        <f>'BD Team'!H23</f>
        <v>1068</v>
      </c>
      <c r="J16" s="318">
        <f>'BD Team'!I23</f>
        <v>1448</v>
      </c>
      <c r="K16" s="318">
        <f>'BD Team'!J23</f>
        <v>2</v>
      </c>
      <c r="L16" s="319">
        <f>'BD Team'!K23</f>
        <v>117.63</v>
      </c>
      <c r="M16" s="318">
        <f>Pricing!O18</f>
        <v>1322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W6</v>
      </c>
      <c r="B17" s="318" t="str">
        <f>'BD Team'!C24</f>
        <v>M15000</v>
      </c>
      <c r="C17" s="318" t="str">
        <f>'BD Team'!D24</f>
        <v>TOP HUNG WINDOW</v>
      </c>
      <c r="D17" s="318" t="str">
        <f>'BD Team'!E24</f>
        <v>8MM</v>
      </c>
      <c r="E17" s="318" t="str">
        <f>'BD Team'!G24</f>
        <v>FF - BEDROOM &amp; LIVING</v>
      </c>
      <c r="F17" s="318" t="str">
        <f>'BD Team'!F24</f>
        <v>NO</v>
      </c>
      <c r="I17" s="318">
        <f>'BD Team'!H24</f>
        <v>610</v>
      </c>
      <c r="J17" s="318">
        <f>'BD Team'!I24</f>
        <v>1448</v>
      </c>
      <c r="K17" s="318">
        <f>'BD Team'!J24</f>
        <v>2</v>
      </c>
      <c r="L17" s="319">
        <f>'BD Team'!K24</f>
        <v>173.15</v>
      </c>
      <c r="M17" s="318">
        <f>Pricing!O19</f>
        <v>1322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SD</v>
      </c>
      <c r="B18" s="318" t="str">
        <f>'BD Team'!C25</f>
        <v>M14600</v>
      </c>
      <c r="C18" s="318" t="str">
        <f>'BD Team'!D25</f>
        <v>3 TRACK 2 SHUTTER SLIDING DOOR WITH 2 FIXED</v>
      </c>
      <c r="D18" s="318" t="str">
        <f>'BD Team'!E25</f>
        <v>8MM</v>
      </c>
      <c r="E18" s="318" t="str">
        <f>'BD Team'!G25</f>
        <v>FF - LOUNGE</v>
      </c>
      <c r="F18" s="318" t="str">
        <f>'BD Team'!F25</f>
        <v>SS</v>
      </c>
      <c r="I18" s="318">
        <f>'BD Team'!H25</f>
        <v>4572</v>
      </c>
      <c r="J18" s="318">
        <f>'BD Team'!I25</f>
        <v>2210</v>
      </c>
      <c r="K18" s="318">
        <f>'BD Team'!J25</f>
        <v>1</v>
      </c>
      <c r="L18" s="319">
        <f>'BD Team'!K25</f>
        <v>1009.6</v>
      </c>
      <c r="M18" s="318">
        <f>Pricing!O20</f>
        <v>1322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D/W</v>
      </c>
      <c r="B19" s="318" t="str">
        <f>'BD Team'!C26</f>
        <v>M14600</v>
      </c>
      <c r="C19" s="318" t="str">
        <f>'BD Team'!D26</f>
        <v>3 TRACK 2 SHUTTER SLIDING DOOR WITH 2 FIXED</v>
      </c>
      <c r="D19" s="318" t="str">
        <f>'BD Team'!E26</f>
        <v>8MM</v>
      </c>
      <c r="E19" s="318" t="str">
        <f>'BD Team'!G26</f>
        <v>FF - BEDROOM</v>
      </c>
      <c r="F19" s="318" t="str">
        <f>'BD Team'!F26</f>
        <v>SS</v>
      </c>
      <c r="I19" s="318">
        <f>'BD Team'!H26</f>
        <v>4572</v>
      </c>
      <c r="J19" s="318">
        <f>'BD Team'!I26</f>
        <v>2210</v>
      </c>
      <c r="K19" s="318">
        <f>'BD Team'!J26</f>
        <v>1</v>
      </c>
      <c r="L19" s="319">
        <f>'BD Team'!K26</f>
        <v>1009.6</v>
      </c>
      <c r="M19" s="318">
        <f>Pricing!O21</f>
        <v>1322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D/W 1</v>
      </c>
      <c r="B20" s="318" t="str">
        <f>'BD Team'!C27</f>
        <v>M14600</v>
      </c>
      <c r="C20" s="318" t="str">
        <f>'BD Team'!D27</f>
        <v>3 TRACK 2 SHUTTER SLIDING DOOR</v>
      </c>
      <c r="D20" s="318" t="str">
        <f>'BD Team'!E27</f>
        <v>8MM</v>
      </c>
      <c r="E20" s="318" t="str">
        <f>'BD Team'!G27</f>
        <v>FF - LIVING</v>
      </c>
      <c r="F20" s="318" t="str">
        <f>'BD Team'!F27</f>
        <v>SS</v>
      </c>
      <c r="I20" s="318">
        <f>'BD Team'!H27</f>
        <v>2744</v>
      </c>
      <c r="J20" s="318">
        <f>'BD Team'!I27</f>
        <v>2210</v>
      </c>
      <c r="K20" s="318">
        <f>'BD Team'!J27</f>
        <v>1</v>
      </c>
      <c r="L20" s="319">
        <f>'BD Team'!K27</f>
        <v>534.32000000000005</v>
      </c>
      <c r="M20" s="318">
        <f>Pricing!O22</f>
        <v>1322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V1</v>
      </c>
      <c r="B21" s="318" t="str">
        <f>'BD Team'!C28</f>
        <v>M14600</v>
      </c>
      <c r="C21" s="318" t="str">
        <f>'BD Team'!D28</f>
        <v>TOP HUNG WINDOW</v>
      </c>
      <c r="D21" s="318" t="str">
        <f>'BD Team'!E28</f>
        <v>8MM (F)</v>
      </c>
      <c r="E21" s="318" t="str">
        <f>'BD Team'!G28</f>
        <v>FF - TOILET</v>
      </c>
      <c r="F21" s="318" t="str">
        <f>'BD Team'!F28</f>
        <v>NO</v>
      </c>
      <c r="I21" s="318">
        <f>'BD Team'!H28</f>
        <v>610</v>
      </c>
      <c r="J21" s="318">
        <f>'BD Team'!I28</f>
        <v>610</v>
      </c>
      <c r="K21" s="318">
        <f>'BD Team'!J28</f>
        <v>1</v>
      </c>
      <c r="L21" s="319">
        <f>'BD Team'!K28</f>
        <v>124.92</v>
      </c>
      <c r="M21" s="318">
        <f>Pricing!O23</f>
        <v>2324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V2</v>
      </c>
      <c r="B22" s="318" t="str">
        <f>'BD Team'!C29</f>
        <v>M15000</v>
      </c>
      <c r="C22" s="318" t="str">
        <f>'BD Team'!D29</f>
        <v>FIXED GLASS WITH GLASS LOUVERS</v>
      </c>
      <c r="D22" s="318" t="str">
        <f>'BD Team'!E29</f>
        <v>8MM (F) &amp; 6MM (A&amp;F)</v>
      </c>
      <c r="E22" s="318" t="str">
        <f>'BD Team'!G29</f>
        <v>FF - TOILET</v>
      </c>
      <c r="F22" s="318" t="str">
        <f>'BD Team'!F29</f>
        <v>NO</v>
      </c>
      <c r="I22" s="318">
        <f>'BD Team'!H29</f>
        <v>458</v>
      </c>
      <c r="J22" s="318">
        <f>'BD Team'!I29</f>
        <v>1220</v>
      </c>
      <c r="K22" s="318">
        <f>'BD Team'!J29</f>
        <v>4</v>
      </c>
      <c r="L22" s="319">
        <f>'BD Team'!K29</f>
        <v>35.35</v>
      </c>
      <c r="M22" s="318">
        <f>Pricing!O24</f>
        <v>2324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AW4</v>
      </c>
      <c r="B23" s="318" t="str">
        <f>'BD Team'!C30</f>
        <v>M900</v>
      </c>
      <c r="C23" s="318" t="str">
        <f>'BD Team'!D30</f>
        <v>3 TRACK 2 SHUTTER SLIDING WINDOW</v>
      </c>
      <c r="D23" s="318" t="str">
        <f>'BD Team'!E30</f>
        <v>8MM</v>
      </c>
      <c r="E23" s="318" t="str">
        <f>'BD Team'!G30</f>
        <v>FF - BEDROOM BALCONY</v>
      </c>
      <c r="F23" s="318" t="str">
        <f>'BD Team'!F30</f>
        <v>SS</v>
      </c>
      <c r="I23" s="318">
        <f>'BD Team'!H30</f>
        <v>1220</v>
      </c>
      <c r="J23" s="318">
        <f>'BD Team'!I30</f>
        <v>1448</v>
      </c>
      <c r="K23" s="318">
        <f>'BD Team'!J30</f>
        <v>1</v>
      </c>
      <c r="L23" s="319">
        <f>'BD Team'!K30</f>
        <v>121.43</v>
      </c>
      <c r="M23" s="318">
        <f>Pricing!O25</f>
        <v>1322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V1</v>
      </c>
      <c r="B24" s="318" t="str">
        <f>'BD Team'!C31</f>
        <v>M15000</v>
      </c>
      <c r="C24" s="318" t="str">
        <f>'BD Team'!D31</f>
        <v>TOP HUNG WINDOW</v>
      </c>
      <c r="D24" s="318" t="str">
        <f>'BD Team'!E31</f>
        <v>8MM (F)</v>
      </c>
      <c r="E24" s="318" t="str">
        <f>'BD Team'!G31</f>
        <v>SF - TOILET</v>
      </c>
      <c r="F24" s="318" t="str">
        <f>'BD Team'!F31</f>
        <v>NO</v>
      </c>
      <c r="I24" s="318">
        <f>'BD Team'!H31</f>
        <v>610</v>
      </c>
      <c r="J24" s="318">
        <f>'BD Team'!I31</f>
        <v>610</v>
      </c>
      <c r="K24" s="318">
        <f>'BD Team'!J31</f>
        <v>1</v>
      </c>
      <c r="L24" s="319">
        <f>'BD Team'!K31</f>
        <v>124.92</v>
      </c>
      <c r="M24" s="318">
        <f>Pricing!O26</f>
        <v>2324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V2</v>
      </c>
      <c r="B25" s="318" t="str">
        <f>'BD Team'!C32</f>
        <v>M15000</v>
      </c>
      <c r="C25" s="318" t="str">
        <f>'BD Team'!D32</f>
        <v>FIXED GLASS WITH GLASS LOUVERS</v>
      </c>
      <c r="D25" s="318" t="str">
        <f>'BD Team'!E32</f>
        <v>8MM (F) &amp; 6MM (A&amp;F)</v>
      </c>
      <c r="E25" s="318" t="str">
        <f>'BD Team'!G32</f>
        <v>SF - TOILET</v>
      </c>
      <c r="F25" s="318" t="str">
        <f>'BD Team'!F32</f>
        <v>NO</v>
      </c>
      <c r="I25" s="318">
        <f>'BD Team'!H32</f>
        <v>458</v>
      </c>
      <c r="J25" s="318">
        <f>'BD Team'!I32</f>
        <v>1220</v>
      </c>
      <c r="K25" s="318">
        <f>'BD Team'!J32</f>
        <v>2</v>
      </c>
      <c r="L25" s="319">
        <f>'BD Team'!K32</f>
        <v>35.35</v>
      </c>
      <c r="M25" s="318">
        <f>Pricing!O27</f>
        <v>1322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SW</v>
      </c>
      <c r="B26" s="318" t="str">
        <f>'BD Team'!C33</f>
        <v>M15000</v>
      </c>
      <c r="C26" s="318" t="str">
        <f>'BD Team'!D33</f>
        <v>FIXED GLASS 2 NO'S</v>
      </c>
      <c r="D26" s="318" t="str">
        <f>'BD Team'!E33</f>
        <v>8MM</v>
      </c>
      <c r="E26" s="318" t="str">
        <f>'BD Team'!G33</f>
        <v>SF - PARTY ROOM</v>
      </c>
      <c r="F26" s="318" t="str">
        <f>'BD Team'!F33</f>
        <v>NO</v>
      </c>
      <c r="I26" s="318">
        <f>'BD Team'!H33</f>
        <v>3658</v>
      </c>
      <c r="J26" s="318">
        <f>'BD Team'!I33</f>
        <v>1448</v>
      </c>
      <c r="K26" s="318">
        <f>'BD Team'!J33</f>
        <v>1</v>
      </c>
      <c r="L26" s="319">
        <f>'BD Team'!K33</f>
        <v>180.39</v>
      </c>
      <c r="M26" s="318">
        <f>Pricing!O28</f>
        <v>1322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W4</v>
      </c>
      <c r="B27" s="318" t="str">
        <f>'BD Team'!C34</f>
        <v>M900</v>
      </c>
      <c r="C27" s="318" t="str">
        <f>'BD Team'!D34</f>
        <v>3 TRACK 2 SHUTTER SLIDING WINDOW</v>
      </c>
      <c r="D27" s="318" t="str">
        <f>'BD Team'!E34</f>
        <v>8MM</v>
      </c>
      <c r="E27" s="318" t="str">
        <f>'BD Team'!G34</f>
        <v>SF - PARTY ROOM</v>
      </c>
      <c r="F27" s="318" t="str">
        <f>'BD Team'!F34</f>
        <v>SS</v>
      </c>
      <c r="I27" s="318">
        <f>'BD Team'!H34</f>
        <v>1220</v>
      </c>
      <c r="J27" s="318">
        <f>'BD Team'!I34</f>
        <v>1448</v>
      </c>
      <c r="K27" s="318">
        <f>'BD Team'!J34</f>
        <v>1</v>
      </c>
      <c r="L27" s="319">
        <f>'BD Team'!K34</f>
        <v>121.43</v>
      </c>
      <c r="M27" s="318">
        <f>Pricing!O29</f>
        <v>1322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4" sqref="J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481</v>
      </c>
      <c r="F2" s="137"/>
      <c r="G2" s="163"/>
      <c r="H2" s="323" t="s">
        <v>184</v>
      </c>
      <c r="I2" s="324"/>
      <c r="J2" s="165" t="s">
        <v>480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423</v>
      </c>
      <c r="F3" s="136" t="s">
        <v>182</v>
      </c>
      <c r="G3" s="162" t="s">
        <v>417</v>
      </c>
      <c r="H3" s="323" t="s">
        <v>185</v>
      </c>
      <c r="I3" s="324"/>
      <c r="J3" s="166">
        <v>43704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282</v>
      </c>
      <c r="F4" s="135"/>
      <c r="G4" s="164"/>
      <c r="H4" s="323" t="s">
        <v>186</v>
      </c>
      <c r="I4" s="324"/>
      <c r="J4" s="165" t="s">
        <v>402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32</v>
      </c>
      <c r="C9" s="113" t="s">
        <v>425</v>
      </c>
      <c r="D9" s="113" t="s">
        <v>426</v>
      </c>
      <c r="E9" s="113" t="s">
        <v>427</v>
      </c>
      <c r="F9" s="113" t="s">
        <v>428</v>
      </c>
      <c r="G9" s="113" t="s">
        <v>429</v>
      </c>
      <c r="H9" s="113">
        <v>3048</v>
      </c>
      <c r="I9" s="113">
        <v>1754</v>
      </c>
      <c r="J9" s="113">
        <v>1</v>
      </c>
      <c r="K9" s="123">
        <v>509.16</v>
      </c>
    </row>
    <row r="10" spans="1:13" ht="20.100000000000001" customHeight="1">
      <c r="A10" s="113">
        <v>2</v>
      </c>
      <c r="B10" s="113" t="s">
        <v>430</v>
      </c>
      <c r="C10" s="113" t="s">
        <v>431</v>
      </c>
      <c r="D10" s="113" t="s">
        <v>426</v>
      </c>
      <c r="E10" s="113" t="s">
        <v>427</v>
      </c>
      <c r="F10" s="113" t="s">
        <v>428</v>
      </c>
      <c r="G10" s="113" t="s">
        <v>432</v>
      </c>
      <c r="H10" s="113">
        <v>1524</v>
      </c>
      <c r="I10" s="113">
        <v>1754</v>
      </c>
      <c r="J10" s="113">
        <v>4</v>
      </c>
      <c r="K10" s="123">
        <v>142.09</v>
      </c>
      <c r="L10" s="47" t="s">
        <v>282</v>
      </c>
    </row>
    <row r="11" spans="1:13" ht="20.100000000000001" customHeight="1">
      <c r="A11" s="113">
        <v>3</v>
      </c>
      <c r="B11" s="113" t="s">
        <v>433</v>
      </c>
      <c r="C11" s="113" t="s">
        <v>431</v>
      </c>
      <c r="D11" s="113" t="s">
        <v>426</v>
      </c>
      <c r="E11" s="113" t="s">
        <v>427</v>
      </c>
      <c r="F11" s="113" t="s">
        <v>428</v>
      </c>
      <c r="G11" s="113" t="s">
        <v>437</v>
      </c>
      <c r="H11" s="113">
        <v>1220</v>
      </c>
      <c r="I11" s="113">
        <v>1754</v>
      </c>
      <c r="J11" s="113">
        <v>6</v>
      </c>
      <c r="K11" s="123">
        <v>134.49</v>
      </c>
      <c r="L11" s="47" t="s">
        <v>281</v>
      </c>
    </row>
    <row r="12" spans="1:13" ht="20.100000000000001" customHeight="1">
      <c r="A12" s="113">
        <v>4</v>
      </c>
      <c r="B12" s="113" t="s">
        <v>434</v>
      </c>
      <c r="C12" s="113" t="s">
        <v>431</v>
      </c>
      <c r="D12" s="113" t="s">
        <v>426</v>
      </c>
      <c r="E12" s="113" t="s">
        <v>427</v>
      </c>
      <c r="F12" s="113" t="s">
        <v>428</v>
      </c>
      <c r="G12" s="113" t="s">
        <v>438</v>
      </c>
      <c r="H12" s="113">
        <v>1220</v>
      </c>
      <c r="I12" s="113">
        <v>1448</v>
      </c>
      <c r="J12" s="113">
        <v>2</v>
      </c>
      <c r="K12" s="123">
        <v>121.43</v>
      </c>
      <c r="L12" s="47" t="s">
        <v>365</v>
      </c>
    </row>
    <row r="13" spans="1:13" ht="20.100000000000001" customHeight="1">
      <c r="A13" s="113">
        <v>5</v>
      </c>
      <c r="B13" s="113" t="s">
        <v>439</v>
      </c>
      <c r="C13" s="113" t="s">
        <v>440</v>
      </c>
      <c r="D13" s="113" t="s">
        <v>441</v>
      </c>
      <c r="E13" s="113" t="s">
        <v>427</v>
      </c>
      <c r="F13" s="113" t="s">
        <v>442</v>
      </c>
      <c r="G13" s="113" t="s">
        <v>429</v>
      </c>
      <c r="H13" s="113">
        <v>3658</v>
      </c>
      <c r="I13" s="113">
        <v>2210</v>
      </c>
      <c r="J13" s="113">
        <v>1</v>
      </c>
      <c r="K13" s="123">
        <v>1008.56</v>
      </c>
      <c r="L13" s="47" t="s">
        <v>366</v>
      </c>
    </row>
    <row r="14" spans="1:13">
      <c r="A14" s="113">
        <v>6</v>
      </c>
      <c r="B14" s="113" t="s">
        <v>443</v>
      </c>
      <c r="C14" s="113" t="s">
        <v>444</v>
      </c>
      <c r="D14" s="113" t="s">
        <v>445</v>
      </c>
      <c r="E14" s="113" t="s">
        <v>427</v>
      </c>
      <c r="F14" s="113" t="s">
        <v>446</v>
      </c>
      <c r="G14" s="113" t="s">
        <v>447</v>
      </c>
      <c r="H14" s="113">
        <v>3658</v>
      </c>
      <c r="I14" s="113">
        <v>1448</v>
      </c>
      <c r="J14" s="113">
        <v>1</v>
      </c>
      <c r="K14" s="123">
        <v>180.39</v>
      </c>
      <c r="L14" s="47" t="s">
        <v>367</v>
      </c>
    </row>
    <row r="15" spans="1:13" ht="20.100000000000001" customHeight="1">
      <c r="A15" s="113">
        <v>7</v>
      </c>
      <c r="B15" s="113" t="s">
        <v>448</v>
      </c>
      <c r="C15" s="113" t="s">
        <v>431</v>
      </c>
      <c r="D15" s="113" t="s">
        <v>426</v>
      </c>
      <c r="E15" s="113" t="s">
        <v>427</v>
      </c>
      <c r="F15" s="113" t="s">
        <v>428</v>
      </c>
      <c r="G15" s="113" t="s">
        <v>449</v>
      </c>
      <c r="H15" s="113">
        <v>1220</v>
      </c>
      <c r="I15" s="113">
        <v>1144</v>
      </c>
      <c r="J15" s="113">
        <v>1</v>
      </c>
      <c r="K15" s="123">
        <v>103.99</v>
      </c>
      <c r="L15" s="47" t="s">
        <v>368</v>
      </c>
    </row>
    <row r="16" spans="1:13" ht="20.100000000000001" customHeight="1">
      <c r="A16" s="113">
        <v>8</v>
      </c>
      <c r="B16" s="113" t="s">
        <v>450</v>
      </c>
      <c r="C16" s="113" t="s">
        <v>444</v>
      </c>
      <c r="D16" s="113" t="s">
        <v>451</v>
      </c>
      <c r="E16" s="113" t="s">
        <v>427</v>
      </c>
      <c r="F16" s="113" t="s">
        <v>446</v>
      </c>
      <c r="G16" s="113" t="s">
        <v>452</v>
      </c>
      <c r="H16" s="113">
        <v>610</v>
      </c>
      <c r="I16" s="113">
        <v>1144</v>
      </c>
      <c r="J16" s="113">
        <v>2</v>
      </c>
      <c r="K16" s="123">
        <v>161.13</v>
      </c>
      <c r="L16" s="47" t="s">
        <v>369</v>
      </c>
    </row>
    <row r="17" spans="1:13" ht="20.100000000000001" customHeight="1">
      <c r="A17" s="113">
        <v>9</v>
      </c>
      <c r="B17" s="113" t="s">
        <v>453</v>
      </c>
      <c r="C17" s="113" t="s">
        <v>444</v>
      </c>
      <c r="D17" s="113" t="s">
        <v>451</v>
      </c>
      <c r="E17" s="113" t="s">
        <v>454</v>
      </c>
      <c r="F17" s="113" t="s">
        <v>446</v>
      </c>
      <c r="G17" s="113" t="s">
        <v>455</v>
      </c>
      <c r="H17" s="113">
        <v>916</v>
      </c>
      <c r="I17" s="113">
        <v>610</v>
      </c>
      <c r="J17" s="113">
        <v>2</v>
      </c>
      <c r="K17" s="123">
        <v>137.16999999999999</v>
      </c>
      <c r="L17" s="47" t="s">
        <v>370</v>
      </c>
    </row>
    <row r="18" spans="1:13" ht="20.100000000000001" customHeight="1">
      <c r="A18" s="113">
        <v>10</v>
      </c>
      <c r="B18" s="113" t="s">
        <v>456</v>
      </c>
      <c r="C18" s="113" t="s">
        <v>444</v>
      </c>
      <c r="D18" s="113" t="s">
        <v>451</v>
      </c>
      <c r="E18" s="113" t="s">
        <v>454</v>
      </c>
      <c r="F18" s="113" t="s">
        <v>446</v>
      </c>
      <c r="G18" s="113" t="s">
        <v>455</v>
      </c>
      <c r="H18" s="113">
        <v>610</v>
      </c>
      <c r="I18" s="113">
        <v>610</v>
      </c>
      <c r="J18" s="113">
        <v>3</v>
      </c>
      <c r="K18" s="123">
        <v>124.92</v>
      </c>
      <c r="L18" s="47" t="s">
        <v>371</v>
      </c>
    </row>
    <row r="19" spans="1:13" ht="20.100000000000001" customHeight="1">
      <c r="A19" s="113">
        <v>11</v>
      </c>
      <c r="B19" s="113" t="s">
        <v>436</v>
      </c>
      <c r="C19" s="113" t="s">
        <v>444</v>
      </c>
      <c r="D19" s="113" t="s">
        <v>451</v>
      </c>
      <c r="E19" s="113" t="s">
        <v>427</v>
      </c>
      <c r="F19" s="113" t="s">
        <v>446</v>
      </c>
      <c r="G19" s="113" t="s">
        <v>457</v>
      </c>
      <c r="H19" s="113">
        <v>610</v>
      </c>
      <c r="I19" s="113">
        <v>1448</v>
      </c>
      <c r="J19" s="113">
        <v>1</v>
      </c>
      <c r="K19" s="123">
        <v>173.15</v>
      </c>
      <c r="L19" s="47" t="s">
        <v>372</v>
      </c>
    </row>
    <row r="20" spans="1:13">
      <c r="A20" s="113">
        <v>12</v>
      </c>
      <c r="B20" s="113" t="s">
        <v>458</v>
      </c>
      <c r="C20" s="113" t="s">
        <v>431</v>
      </c>
      <c r="D20" s="113" t="s">
        <v>426</v>
      </c>
      <c r="E20" s="113" t="s">
        <v>427</v>
      </c>
      <c r="F20" s="113" t="s">
        <v>428</v>
      </c>
      <c r="G20" s="113" t="s">
        <v>459</v>
      </c>
      <c r="H20" s="113">
        <v>1524</v>
      </c>
      <c r="I20" s="113">
        <v>1448</v>
      </c>
      <c r="J20" s="113">
        <v>3</v>
      </c>
      <c r="K20" s="123">
        <v>129.04</v>
      </c>
      <c r="L20" s="47" t="s">
        <v>385</v>
      </c>
    </row>
    <row r="21" spans="1:13" ht="20.100000000000001" customHeight="1">
      <c r="A21" s="113">
        <v>13</v>
      </c>
      <c r="B21" s="113" t="s">
        <v>433</v>
      </c>
      <c r="C21" s="113" t="s">
        <v>431</v>
      </c>
      <c r="D21" s="113" t="s">
        <v>426</v>
      </c>
      <c r="E21" s="113" t="s">
        <v>427</v>
      </c>
      <c r="F21" s="113" t="s">
        <v>428</v>
      </c>
      <c r="G21" s="113" t="s">
        <v>460</v>
      </c>
      <c r="H21" s="113">
        <v>1220</v>
      </c>
      <c r="I21" s="113">
        <v>1754</v>
      </c>
      <c r="J21" s="113">
        <v>3</v>
      </c>
      <c r="K21" s="123">
        <v>134.49</v>
      </c>
      <c r="L21" s="47" t="s">
        <v>386</v>
      </c>
    </row>
    <row r="22" spans="1:13" ht="20.100000000000001" customHeight="1">
      <c r="A22" s="113">
        <v>14</v>
      </c>
      <c r="B22" s="113" t="s">
        <v>434</v>
      </c>
      <c r="C22" s="113" t="s">
        <v>431</v>
      </c>
      <c r="D22" s="113" t="s">
        <v>426</v>
      </c>
      <c r="E22" s="113" t="s">
        <v>427</v>
      </c>
      <c r="F22" s="113" t="s">
        <v>428</v>
      </c>
      <c r="G22" s="113" t="s">
        <v>461</v>
      </c>
      <c r="H22" s="113">
        <v>1220</v>
      </c>
      <c r="I22" s="113">
        <v>1448</v>
      </c>
      <c r="J22" s="113">
        <v>1</v>
      </c>
      <c r="K22" s="123">
        <v>121.43</v>
      </c>
      <c r="L22" s="47" t="s">
        <v>387</v>
      </c>
    </row>
    <row r="23" spans="1:13" ht="20.100000000000001" customHeight="1">
      <c r="A23" s="113">
        <v>15</v>
      </c>
      <c r="B23" s="113" t="s">
        <v>435</v>
      </c>
      <c r="C23" s="113" t="s">
        <v>431</v>
      </c>
      <c r="D23" s="113" t="s">
        <v>426</v>
      </c>
      <c r="E23" s="113" t="s">
        <v>427</v>
      </c>
      <c r="F23" s="113" t="s">
        <v>428</v>
      </c>
      <c r="G23" s="113" t="s">
        <v>461</v>
      </c>
      <c r="H23" s="113">
        <v>1068</v>
      </c>
      <c r="I23" s="113">
        <v>1448</v>
      </c>
      <c r="J23" s="113">
        <v>2</v>
      </c>
      <c r="K23" s="123">
        <v>117.63</v>
      </c>
      <c r="L23" s="47" t="s">
        <v>403</v>
      </c>
    </row>
    <row r="24" spans="1:13" ht="20.100000000000001" customHeight="1">
      <c r="A24" s="113">
        <v>16</v>
      </c>
      <c r="B24" s="113" t="s">
        <v>436</v>
      </c>
      <c r="C24" s="113" t="s">
        <v>444</v>
      </c>
      <c r="D24" s="113" t="s">
        <v>451</v>
      </c>
      <c r="E24" s="113" t="s">
        <v>427</v>
      </c>
      <c r="F24" s="113" t="s">
        <v>446</v>
      </c>
      <c r="G24" s="113" t="s">
        <v>462</v>
      </c>
      <c r="H24" s="113">
        <v>610</v>
      </c>
      <c r="I24" s="113">
        <v>1448</v>
      </c>
      <c r="J24" s="113">
        <v>2</v>
      </c>
      <c r="K24" s="123">
        <v>173.15</v>
      </c>
      <c r="L24" s="47" t="s">
        <v>418</v>
      </c>
    </row>
    <row r="25" spans="1:13" ht="20.100000000000001" customHeight="1">
      <c r="A25" s="113">
        <v>17</v>
      </c>
      <c r="B25" s="113" t="s">
        <v>463</v>
      </c>
      <c r="C25" s="113" t="s">
        <v>425</v>
      </c>
      <c r="D25" s="113" t="s">
        <v>466</v>
      </c>
      <c r="E25" s="113" t="s">
        <v>427</v>
      </c>
      <c r="F25" s="113" t="s">
        <v>428</v>
      </c>
      <c r="G25" s="113" t="s">
        <v>460</v>
      </c>
      <c r="H25" s="113">
        <v>4572</v>
      </c>
      <c r="I25" s="113">
        <v>2210</v>
      </c>
      <c r="J25" s="113">
        <v>1</v>
      </c>
      <c r="K25" s="123">
        <v>1009.6</v>
      </c>
      <c r="L25" s="47" t="s">
        <v>419</v>
      </c>
    </row>
    <row r="26" spans="1:13">
      <c r="A26" s="113">
        <v>18</v>
      </c>
      <c r="B26" s="113" t="s">
        <v>465</v>
      </c>
      <c r="C26" s="113" t="s">
        <v>425</v>
      </c>
      <c r="D26" s="113" t="s">
        <v>466</v>
      </c>
      <c r="E26" s="113" t="s">
        <v>427</v>
      </c>
      <c r="F26" s="113" t="s">
        <v>428</v>
      </c>
      <c r="G26" s="113" t="s">
        <v>461</v>
      </c>
      <c r="H26" s="113">
        <v>4572</v>
      </c>
      <c r="I26" s="113">
        <v>2210</v>
      </c>
      <c r="J26" s="113">
        <v>1</v>
      </c>
      <c r="K26" s="123">
        <v>1009.6</v>
      </c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 t="s">
        <v>467</v>
      </c>
      <c r="C27" s="113" t="s">
        <v>425</v>
      </c>
      <c r="D27" s="113" t="s">
        <v>464</v>
      </c>
      <c r="E27" s="113" t="s">
        <v>427</v>
      </c>
      <c r="F27" s="113" t="s">
        <v>428</v>
      </c>
      <c r="G27" s="113" t="s">
        <v>459</v>
      </c>
      <c r="H27" s="113">
        <v>2744</v>
      </c>
      <c r="I27" s="113">
        <v>2210</v>
      </c>
      <c r="J27" s="113">
        <v>1</v>
      </c>
      <c r="K27" s="123">
        <v>534.32000000000005</v>
      </c>
    </row>
    <row r="28" spans="1:13" ht="20.100000000000001" customHeight="1">
      <c r="A28" s="113">
        <v>20</v>
      </c>
      <c r="B28" s="113" t="s">
        <v>456</v>
      </c>
      <c r="C28" s="113" t="s">
        <v>425</v>
      </c>
      <c r="D28" s="113" t="s">
        <v>451</v>
      </c>
      <c r="E28" s="113" t="s">
        <v>454</v>
      </c>
      <c r="F28" s="113" t="s">
        <v>446</v>
      </c>
      <c r="G28" s="113" t="s">
        <v>468</v>
      </c>
      <c r="H28" s="113">
        <v>610</v>
      </c>
      <c r="I28" s="113">
        <v>610</v>
      </c>
      <c r="J28" s="113">
        <v>1</v>
      </c>
      <c r="K28" s="123">
        <v>124.92</v>
      </c>
    </row>
    <row r="29" spans="1:13" ht="20.100000000000001" customHeight="1">
      <c r="A29" s="113">
        <v>21</v>
      </c>
      <c r="B29" s="113" t="s">
        <v>469</v>
      </c>
      <c r="C29" s="113" t="s">
        <v>444</v>
      </c>
      <c r="D29" s="113" t="s">
        <v>470</v>
      </c>
      <c r="E29" s="113" t="s">
        <v>476</v>
      </c>
      <c r="F29" s="113" t="s">
        <v>446</v>
      </c>
      <c r="G29" s="113" t="s">
        <v>468</v>
      </c>
      <c r="H29" s="113">
        <v>458</v>
      </c>
      <c r="I29" s="113">
        <v>1220</v>
      </c>
      <c r="J29" s="113">
        <v>4</v>
      </c>
      <c r="K29" s="123">
        <v>35.35</v>
      </c>
    </row>
    <row r="30" spans="1:13" ht="20.100000000000001" customHeight="1">
      <c r="A30" s="113">
        <v>22</v>
      </c>
      <c r="B30" s="113" t="s">
        <v>471</v>
      </c>
      <c r="C30" s="113" t="s">
        <v>431</v>
      </c>
      <c r="D30" s="113" t="s">
        <v>426</v>
      </c>
      <c r="E30" s="113" t="s">
        <v>427</v>
      </c>
      <c r="F30" s="113" t="s">
        <v>428</v>
      </c>
      <c r="G30" s="113" t="s">
        <v>472</v>
      </c>
      <c r="H30" s="113">
        <v>1220</v>
      </c>
      <c r="I30" s="113">
        <v>1448</v>
      </c>
      <c r="J30" s="113">
        <v>1</v>
      </c>
      <c r="K30" s="123">
        <v>121.43</v>
      </c>
    </row>
    <row r="31" spans="1:13" ht="20.100000000000001" customHeight="1">
      <c r="A31" s="113">
        <v>23</v>
      </c>
      <c r="B31" s="113" t="s">
        <v>456</v>
      </c>
      <c r="C31" s="113" t="s">
        <v>444</v>
      </c>
      <c r="D31" s="113" t="s">
        <v>451</v>
      </c>
      <c r="E31" s="113" t="s">
        <v>454</v>
      </c>
      <c r="F31" s="113" t="s">
        <v>446</v>
      </c>
      <c r="G31" s="113" t="s">
        <v>473</v>
      </c>
      <c r="H31" s="113">
        <v>610</v>
      </c>
      <c r="I31" s="113">
        <v>610</v>
      </c>
      <c r="J31" s="113">
        <v>1</v>
      </c>
      <c r="K31" s="123">
        <v>124.92</v>
      </c>
    </row>
    <row r="32" spans="1:13">
      <c r="A32" s="113">
        <v>24</v>
      </c>
      <c r="B32" s="113" t="s">
        <v>469</v>
      </c>
      <c r="C32" s="113" t="s">
        <v>444</v>
      </c>
      <c r="D32" s="113" t="s">
        <v>470</v>
      </c>
      <c r="E32" s="113" t="s">
        <v>476</v>
      </c>
      <c r="F32" s="113" t="s">
        <v>446</v>
      </c>
      <c r="G32" s="113" t="s">
        <v>473</v>
      </c>
      <c r="H32" s="113">
        <v>458</v>
      </c>
      <c r="I32" s="113">
        <v>1220</v>
      </c>
      <c r="J32" s="113">
        <v>2</v>
      </c>
      <c r="K32" s="123">
        <v>35.35</v>
      </c>
    </row>
    <row r="33" spans="1:11" ht="20.100000000000001" customHeight="1">
      <c r="A33" s="113">
        <v>25</v>
      </c>
      <c r="B33" s="113" t="s">
        <v>474</v>
      </c>
      <c r="C33" s="113" t="s">
        <v>444</v>
      </c>
      <c r="D33" s="113" t="s">
        <v>445</v>
      </c>
      <c r="E33" s="113" t="s">
        <v>427</v>
      </c>
      <c r="F33" s="113" t="s">
        <v>446</v>
      </c>
      <c r="G33" s="113" t="s">
        <v>475</v>
      </c>
      <c r="H33" s="113">
        <v>3658</v>
      </c>
      <c r="I33" s="113">
        <v>1448</v>
      </c>
      <c r="J33" s="113">
        <v>1</v>
      </c>
      <c r="K33" s="123">
        <v>180.39</v>
      </c>
    </row>
    <row r="34" spans="1:11" ht="20.100000000000001" customHeight="1">
      <c r="A34" s="113">
        <v>26</v>
      </c>
      <c r="B34" s="113" t="s">
        <v>434</v>
      </c>
      <c r="C34" s="113" t="s">
        <v>431</v>
      </c>
      <c r="D34" s="113" t="s">
        <v>426</v>
      </c>
      <c r="E34" s="113" t="s">
        <v>427</v>
      </c>
      <c r="F34" s="113" t="s">
        <v>428</v>
      </c>
      <c r="G34" s="113" t="s">
        <v>475</v>
      </c>
      <c r="H34" s="113">
        <v>1220</v>
      </c>
      <c r="I34" s="113">
        <v>1448</v>
      </c>
      <c r="J34" s="113">
        <v>1</v>
      </c>
      <c r="K34" s="123">
        <v>121.43</v>
      </c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34" sqref="O3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LIVING</v>
      </c>
      <c r="G4" s="118">
        <f>'BD Team'!H9</f>
        <v>3048</v>
      </c>
      <c r="H4" s="118">
        <f>'BD Team'!I9</f>
        <v>1754</v>
      </c>
      <c r="I4" s="118">
        <f>'BD Team'!J9</f>
        <v>1</v>
      </c>
      <c r="J4" s="103">
        <f t="shared" ref="J4:J53" si="0">G4*H4*I4*10.764/1000000</f>
        <v>57.546410687999995</v>
      </c>
      <c r="K4" s="172">
        <f>'BD Team'!K9</f>
        <v>509.16</v>
      </c>
      <c r="L4" s="171">
        <f>K4*I4</f>
        <v>509.16</v>
      </c>
      <c r="M4" s="170">
        <f>L4*'Changable Values'!$D$4</f>
        <v>42260.28</v>
      </c>
      <c r="N4" s="170" t="str">
        <f>'BD Team'!E9</f>
        <v>8MM</v>
      </c>
      <c r="O4" s="172">
        <v>1322</v>
      </c>
      <c r="P4" s="241"/>
      <c r="Q4" s="173">
        <f>50*10.764</f>
        <v>538.19999999999993</v>
      </c>
      <c r="R4" s="185"/>
      <c r="S4" s="312"/>
      <c r="T4" s="313">
        <f>(G4+H4)*I4*2/300</f>
        <v>32.013333333333335</v>
      </c>
      <c r="U4" s="313">
        <f>SUM(G4:H4)*I4*2*4/1000</f>
        <v>38.415999999999997</v>
      </c>
      <c r="V4" s="313">
        <f>SUM(G4:H4)*I4*5*5*4/(1000*240)</f>
        <v>2.0008333333333335</v>
      </c>
      <c r="W4" s="313">
        <f>T4</f>
        <v>32.013333333333335</v>
      </c>
      <c r="X4" s="313">
        <f>W4*2</f>
        <v>64.026666666666671</v>
      </c>
      <c r="Y4" s="313">
        <f>SUM(G4:H4)*I4*4/1000</f>
        <v>19.207999999999998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LIVING, DINING</v>
      </c>
      <c r="G5" s="118">
        <f>'BD Team'!H10</f>
        <v>1524</v>
      </c>
      <c r="H5" s="118">
        <f>'BD Team'!I10</f>
        <v>1754</v>
      </c>
      <c r="I5" s="118">
        <f>'BD Team'!J10</f>
        <v>4</v>
      </c>
      <c r="J5" s="103">
        <f t="shared" si="0"/>
        <v>115.09282137599999</v>
      </c>
      <c r="K5" s="172">
        <f>'BD Team'!K10</f>
        <v>142.09</v>
      </c>
      <c r="L5" s="171">
        <f t="shared" ref="L5:L53" si="1">K5*I5</f>
        <v>568.36</v>
      </c>
      <c r="M5" s="170">
        <f>L5*'Changable Values'!$D$4</f>
        <v>47173.880000000005</v>
      </c>
      <c r="N5" s="170" t="str">
        <f>'BD Team'!E10</f>
        <v>8MM</v>
      </c>
      <c r="O5" s="172">
        <v>1322</v>
      </c>
      <c r="P5" s="241"/>
      <c r="Q5" s="173">
        <f t="shared" ref="Q5:Q7" si="2">50*10.764</f>
        <v>538.19999999999993</v>
      </c>
      <c r="R5" s="185"/>
      <c r="S5" s="312"/>
      <c r="T5" s="313">
        <f t="shared" ref="T5:T68" si="3">(G5+H5)*I5*2/300</f>
        <v>87.413333333333327</v>
      </c>
      <c r="U5" s="313">
        <f t="shared" ref="U5:U68" si="4">SUM(G5:H5)*I5*2*4/1000</f>
        <v>104.896</v>
      </c>
      <c r="V5" s="313">
        <f t="shared" ref="V5:V68" si="5">SUM(G5:H5)*I5*5*5*4/(1000*240)</f>
        <v>5.4633333333333329</v>
      </c>
      <c r="W5" s="313">
        <f t="shared" ref="W5:W68" si="6">T5</f>
        <v>87.413333333333327</v>
      </c>
      <c r="X5" s="313">
        <f t="shared" ref="X5:X68" si="7">W5*2</f>
        <v>174.82666666666665</v>
      </c>
      <c r="Y5" s="313">
        <f t="shared" ref="Y5:Y68" si="8">SUM(G5:H5)*I5*4/1000</f>
        <v>52.448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DINING</v>
      </c>
      <c r="G6" s="118">
        <f>'BD Team'!H11</f>
        <v>1220</v>
      </c>
      <c r="H6" s="118">
        <f>'BD Team'!I11</f>
        <v>1754</v>
      </c>
      <c r="I6" s="118">
        <f>'BD Team'!J11</f>
        <v>6</v>
      </c>
      <c r="J6" s="103">
        <f t="shared" si="0"/>
        <v>138.20200991999999</v>
      </c>
      <c r="K6" s="172">
        <f>'BD Team'!K11</f>
        <v>134.49</v>
      </c>
      <c r="L6" s="171">
        <f t="shared" si="1"/>
        <v>806.94</v>
      </c>
      <c r="M6" s="170">
        <f>L6*'Changable Values'!$D$4</f>
        <v>66976.02</v>
      </c>
      <c r="N6" s="170" t="str">
        <f>'BD Team'!E11</f>
        <v>8MM</v>
      </c>
      <c r="O6" s="172">
        <v>1322</v>
      </c>
      <c r="P6" s="241"/>
      <c r="Q6" s="173">
        <f t="shared" si="2"/>
        <v>538.19999999999993</v>
      </c>
      <c r="R6" s="185"/>
      <c r="S6" s="312"/>
      <c r="T6" s="313">
        <f t="shared" si="3"/>
        <v>118.96</v>
      </c>
      <c r="U6" s="313">
        <f t="shared" si="4"/>
        <v>142.75200000000001</v>
      </c>
      <c r="V6" s="313">
        <f t="shared" si="5"/>
        <v>7.4349999999999996</v>
      </c>
      <c r="W6" s="313">
        <f t="shared" si="6"/>
        <v>118.96</v>
      </c>
      <c r="X6" s="313">
        <f t="shared" si="7"/>
        <v>237.92</v>
      </c>
      <c r="Y6" s="313">
        <f t="shared" si="8"/>
        <v>71.376000000000005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BR, SERVANT ROOM</v>
      </c>
      <c r="G7" s="118">
        <f>'BD Team'!H12</f>
        <v>1220</v>
      </c>
      <c r="H7" s="118">
        <f>'BD Team'!I12</f>
        <v>1448</v>
      </c>
      <c r="I7" s="118">
        <f>'BD Team'!J12</f>
        <v>2</v>
      </c>
      <c r="J7" s="103">
        <f t="shared" si="0"/>
        <v>38.030503680000002</v>
      </c>
      <c r="K7" s="172">
        <f>'BD Team'!K12</f>
        <v>121.43</v>
      </c>
      <c r="L7" s="171">
        <f t="shared" si="1"/>
        <v>242.86</v>
      </c>
      <c r="M7" s="170">
        <f>L7*'Changable Values'!$D$4</f>
        <v>20157.38</v>
      </c>
      <c r="N7" s="170" t="str">
        <f>'BD Team'!E12</f>
        <v>8MM</v>
      </c>
      <c r="O7" s="172">
        <v>1322</v>
      </c>
      <c r="P7" s="241"/>
      <c r="Q7" s="173">
        <f t="shared" si="2"/>
        <v>538.19999999999993</v>
      </c>
      <c r="R7" s="185"/>
      <c r="S7" s="312"/>
      <c r="T7" s="313">
        <f t="shared" si="3"/>
        <v>35.573333333333331</v>
      </c>
      <c r="U7" s="313">
        <f t="shared" si="4"/>
        <v>42.688000000000002</v>
      </c>
      <c r="V7" s="313">
        <f t="shared" si="5"/>
        <v>2.2233333333333332</v>
      </c>
      <c r="W7" s="313">
        <f t="shared" si="6"/>
        <v>35.573333333333331</v>
      </c>
      <c r="X7" s="313">
        <f t="shared" si="7"/>
        <v>71.146666666666661</v>
      </c>
      <c r="Y7" s="313">
        <f t="shared" si="8"/>
        <v>21.344000000000001</v>
      </c>
    </row>
    <row r="8" spans="1:25">
      <c r="A8" s="118">
        <f>'BD Team'!A13</f>
        <v>5</v>
      </c>
      <c r="B8" s="118" t="str">
        <f>'BD Team'!B13</f>
        <v>FD</v>
      </c>
      <c r="C8" s="118" t="str">
        <f>'BD Team'!C13</f>
        <v>M9800</v>
      </c>
      <c r="D8" s="118" t="str">
        <f>'BD Team'!D13</f>
        <v>4 LEAF SLIDE &amp; FOLD DOOR</v>
      </c>
      <c r="E8" s="118" t="str">
        <f>'BD Team'!F13</f>
        <v>RETRACTABLE</v>
      </c>
      <c r="F8" s="121" t="str">
        <f>'BD Team'!G13</f>
        <v>GF - LIVING</v>
      </c>
      <c r="G8" s="118">
        <f>'BD Team'!H13</f>
        <v>3658</v>
      </c>
      <c r="H8" s="118">
        <f>'BD Team'!I13</f>
        <v>2210</v>
      </c>
      <c r="I8" s="118">
        <f>'BD Team'!J13</f>
        <v>1</v>
      </c>
      <c r="J8" s="103">
        <f t="shared" si="0"/>
        <v>87.01811352</v>
      </c>
      <c r="K8" s="172">
        <f>'BD Team'!K13</f>
        <v>1008.56</v>
      </c>
      <c r="L8" s="171">
        <f t="shared" si="1"/>
        <v>1008.56</v>
      </c>
      <c r="M8" s="170">
        <f>L8*'Changable Values'!$D$4</f>
        <v>83710.48</v>
      </c>
      <c r="N8" s="170" t="str">
        <f>'BD Team'!E13</f>
        <v>8MM</v>
      </c>
      <c r="O8" s="172">
        <v>1322</v>
      </c>
      <c r="P8" s="241"/>
      <c r="Q8" s="173"/>
      <c r="R8" s="185">
        <f>900*10.764</f>
        <v>9687.5999999999985</v>
      </c>
      <c r="S8" s="312"/>
      <c r="T8" s="313">
        <f t="shared" si="3"/>
        <v>39.119999999999997</v>
      </c>
      <c r="U8" s="313">
        <f t="shared" si="4"/>
        <v>46.944000000000003</v>
      </c>
      <c r="V8" s="313">
        <f t="shared" si="5"/>
        <v>2.4449999999999998</v>
      </c>
      <c r="W8" s="313">
        <f t="shared" si="6"/>
        <v>39.119999999999997</v>
      </c>
      <c r="X8" s="313">
        <f t="shared" si="7"/>
        <v>78.239999999999995</v>
      </c>
      <c r="Y8" s="313">
        <f t="shared" si="8"/>
        <v>23.472000000000001</v>
      </c>
    </row>
    <row r="9" spans="1:25">
      <c r="A9" s="118">
        <f>'BD Team'!A14</f>
        <v>6</v>
      </c>
      <c r="B9" s="118" t="str">
        <f>'BD Team'!B14</f>
        <v>FG</v>
      </c>
      <c r="C9" s="118" t="str">
        <f>'BD Team'!C14</f>
        <v>M15000</v>
      </c>
      <c r="D9" s="118" t="str">
        <f>'BD Team'!D14</f>
        <v>FIXED GLASS 2 NO'S</v>
      </c>
      <c r="E9" s="118" t="str">
        <f>'BD Team'!F14</f>
        <v>NO</v>
      </c>
      <c r="F9" s="121" t="str">
        <f>'BD Team'!G14</f>
        <v>GF - DRAWING</v>
      </c>
      <c r="G9" s="118">
        <f>'BD Team'!H14</f>
        <v>3658</v>
      </c>
      <c r="H9" s="118">
        <f>'BD Team'!I14</f>
        <v>1448</v>
      </c>
      <c r="I9" s="118">
        <f>'BD Team'!J14</f>
        <v>1</v>
      </c>
      <c r="J9" s="103">
        <f t="shared" si="0"/>
        <v>57.014582975999993</v>
      </c>
      <c r="K9" s="172">
        <f>'BD Team'!K14</f>
        <v>180.39</v>
      </c>
      <c r="L9" s="171">
        <f t="shared" si="1"/>
        <v>180.39</v>
      </c>
      <c r="M9" s="170">
        <f>L9*'Changable Values'!$D$4</f>
        <v>14972.369999999999</v>
      </c>
      <c r="N9" s="170" t="str">
        <f>'BD Team'!E14</f>
        <v>8MM</v>
      </c>
      <c r="O9" s="172">
        <v>1322</v>
      </c>
      <c r="P9" s="241"/>
      <c r="Q9" s="173"/>
      <c r="R9" s="185"/>
      <c r="S9" s="312"/>
      <c r="T9" s="313">
        <f t="shared" si="3"/>
        <v>34.04</v>
      </c>
      <c r="U9" s="313">
        <f t="shared" si="4"/>
        <v>40.847999999999999</v>
      </c>
      <c r="V9" s="313">
        <f t="shared" si="5"/>
        <v>2.1274999999999999</v>
      </c>
      <c r="W9" s="313">
        <f t="shared" si="6"/>
        <v>34.04</v>
      </c>
      <c r="X9" s="313">
        <f t="shared" si="7"/>
        <v>68.08</v>
      </c>
      <c r="Y9" s="313">
        <f t="shared" si="8"/>
        <v>20.423999999999999</v>
      </c>
    </row>
    <row r="10" spans="1:25">
      <c r="A10" s="118">
        <f>'BD Team'!A15</f>
        <v>7</v>
      </c>
      <c r="B10" s="118" t="str">
        <f>'BD Team'!B15</f>
        <v>KW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KITCHEN</v>
      </c>
      <c r="G10" s="118">
        <f>'BD Team'!H15</f>
        <v>1220</v>
      </c>
      <c r="H10" s="118">
        <f>'BD Team'!I15</f>
        <v>1144</v>
      </c>
      <c r="I10" s="118">
        <f>'BD Team'!J15</f>
        <v>1</v>
      </c>
      <c r="J10" s="103">
        <f t="shared" si="0"/>
        <v>15.023099519999999</v>
      </c>
      <c r="K10" s="172">
        <f>'BD Team'!K15</f>
        <v>103.99</v>
      </c>
      <c r="L10" s="171">
        <f t="shared" si="1"/>
        <v>103.99</v>
      </c>
      <c r="M10" s="170">
        <f>L10*'Changable Values'!$D$4</f>
        <v>8631.17</v>
      </c>
      <c r="N10" s="170" t="str">
        <f>'BD Team'!E15</f>
        <v>8MM</v>
      </c>
      <c r="O10" s="172">
        <v>1322</v>
      </c>
      <c r="P10" s="241"/>
      <c r="Q10" s="173">
        <f>50*10.764</f>
        <v>538.19999999999993</v>
      </c>
      <c r="R10" s="185"/>
      <c r="S10" s="312"/>
      <c r="T10" s="313">
        <f t="shared" si="3"/>
        <v>15.76</v>
      </c>
      <c r="U10" s="313">
        <f t="shared" si="4"/>
        <v>18.911999999999999</v>
      </c>
      <c r="V10" s="313">
        <f t="shared" si="5"/>
        <v>0.98499999999999999</v>
      </c>
      <c r="W10" s="313">
        <f t="shared" si="6"/>
        <v>15.76</v>
      </c>
      <c r="X10" s="313">
        <f t="shared" si="7"/>
        <v>31.52</v>
      </c>
      <c r="Y10" s="313">
        <f t="shared" si="8"/>
        <v>9.4559999999999995</v>
      </c>
    </row>
    <row r="11" spans="1:25" ht="28.5">
      <c r="A11" s="118">
        <f>'BD Team'!A16</f>
        <v>8</v>
      </c>
      <c r="B11" s="118" t="str">
        <f>'BD Team'!B16</f>
        <v>KW1</v>
      </c>
      <c r="C11" s="118" t="str">
        <f>'BD Team'!C16</f>
        <v>M15000</v>
      </c>
      <c r="D11" s="118" t="str">
        <f>'BD Team'!D16</f>
        <v>TOP HUNG WINDOW</v>
      </c>
      <c r="E11" s="118" t="str">
        <f>'BD Team'!F16</f>
        <v>NO</v>
      </c>
      <c r="F11" s="121" t="str">
        <f>'BD Team'!G16</f>
        <v>GF - KITCHEN &amp; ANTI KITCHEN</v>
      </c>
      <c r="G11" s="118">
        <f>'BD Team'!H16</f>
        <v>610</v>
      </c>
      <c r="H11" s="118">
        <f>'BD Team'!I16</f>
        <v>1144</v>
      </c>
      <c r="I11" s="118">
        <f>'BD Team'!J16</f>
        <v>2</v>
      </c>
      <c r="J11" s="103">
        <f t="shared" si="0"/>
        <v>15.023099519999999</v>
      </c>
      <c r="K11" s="172">
        <f>'BD Team'!K16</f>
        <v>161.13</v>
      </c>
      <c r="L11" s="171">
        <f t="shared" si="1"/>
        <v>322.26</v>
      </c>
      <c r="M11" s="170">
        <f>L11*'Changable Values'!$D$4</f>
        <v>26747.579999999998</v>
      </c>
      <c r="N11" s="170" t="str">
        <f>'BD Team'!E16</f>
        <v>8MM</v>
      </c>
      <c r="O11" s="172">
        <v>1322</v>
      </c>
      <c r="P11" s="241"/>
      <c r="Q11" s="173"/>
      <c r="R11" s="185"/>
      <c r="S11" s="312"/>
      <c r="T11" s="313">
        <f t="shared" si="3"/>
        <v>23.386666666666667</v>
      </c>
      <c r="U11" s="313">
        <f t="shared" si="4"/>
        <v>28.064</v>
      </c>
      <c r="V11" s="313">
        <f t="shared" si="5"/>
        <v>1.4616666666666667</v>
      </c>
      <c r="W11" s="313">
        <f t="shared" si="6"/>
        <v>23.386666666666667</v>
      </c>
      <c r="X11" s="313">
        <f t="shared" si="7"/>
        <v>46.773333333333333</v>
      </c>
      <c r="Y11" s="313">
        <f t="shared" si="8"/>
        <v>14.032</v>
      </c>
    </row>
    <row r="12" spans="1:25">
      <c r="A12" s="118">
        <f>'BD Team'!A17</f>
        <v>9</v>
      </c>
      <c r="B12" s="118" t="str">
        <f>'BD Team'!B17</f>
        <v>V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NO</v>
      </c>
      <c r="F12" s="121" t="str">
        <f>'BD Team'!G17</f>
        <v>GF - TOILET</v>
      </c>
      <c r="G12" s="118">
        <f>'BD Team'!H17</f>
        <v>916</v>
      </c>
      <c r="H12" s="118">
        <f>'BD Team'!I17</f>
        <v>610</v>
      </c>
      <c r="I12" s="118">
        <f>'BD Team'!J17</f>
        <v>2</v>
      </c>
      <c r="J12" s="103">
        <f t="shared" si="0"/>
        <v>12.028985279999999</v>
      </c>
      <c r="K12" s="172">
        <f>'BD Team'!K17</f>
        <v>137.16999999999999</v>
      </c>
      <c r="L12" s="171">
        <f t="shared" si="1"/>
        <v>274.33999999999997</v>
      </c>
      <c r="M12" s="170">
        <f>L12*'Changable Values'!$D$4</f>
        <v>22770.219999999998</v>
      </c>
      <c r="N12" s="170" t="str">
        <f>'BD Team'!E17</f>
        <v>8MM (F)</v>
      </c>
      <c r="O12" s="172">
        <v>2324</v>
      </c>
      <c r="P12" s="241"/>
      <c r="Q12" s="173"/>
      <c r="R12" s="185"/>
      <c r="S12" s="312"/>
      <c r="T12" s="313">
        <f t="shared" si="3"/>
        <v>20.346666666666668</v>
      </c>
      <c r="U12" s="313">
        <f t="shared" si="4"/>
        <v>24.416</v>
      </c>
      <c r="V12" s="313">
        <f t="shared" si="5"/>
        <v>1.2716666666666667</v>
      </c>
      <c r="W12" s="313">
        <f t="shared" si="6"/>
        <v>20.346666666666668</v>
      </c>
      <c r="X12" s="313">
        <f t="shared" si="7"/>
        <v>40.693333333333335</v>
      </c>
      <c r="Y12" s="313">
        <f t="shared" si="8"/>
        <v>12.208</v>
      </c>
    </row>
    <row r="13" spans="1:25">
      <c r="A13" s="118">
        <f>'BD Team'!A18</f>
        <v>10</v>
      </c>
      <c r="B13" s="118" t="str">
        <f>'BD Team'!B18</f>
        <v>V1</v>
      </c>
      <c r="C13" s="118" t="str">
        <f>'BD Team'!C18</f>
        <v>M15000</v>
      </c>
      <c r="D13" s="118" t="str">
        <f>'BD Team'!D18</f>
        <v>TOP HUNG WINDOW</v>
      </c>
      <c r="E13" s="118" t="str">
        <f>'BD Team'!F18</f>
        <v>NO</v>
      </c>
      <c r="F13" s="121" t="str">
        <f>'BD Team'!G18</f>
        <v>GF - TOILET</v>
      </c>
      <c r="G13" s="118">
        <f>'BD Team'!H18</f>
        <v>610</v>
      </c>
      <c r="H13" s="118">
        <f>'BD Team'!I18</f>
        <v>610</v>
      </c>
      <c r="I13" s="118">
        <f>'BD Team'!J18</f>
        <v>3</v>
      </c>
      <c r="J13" s="103">
        <f t="shared" si="0"/>
        <v>12.015853199999999</v>
      </c>
      <c r="K13" s="172">
        <f>'BD Team'!K18</f>
        <v>124.92</v>
      </c>
      <c r="L13" s="171">
        <f t="shared" si="1"/>
        <v>374.76</v>
      </c>
      <c r="M13" s="170">
        <f>L13*'Changable Values'!$D$4</f>
        <v>31105.079999999998</v>
      </c>
      <c r="N13" s="170" t="str">
        <f>'BD Team'!E18</f>
        <v>8MM (F)</v>
      </c>
      <c r="O13" s="172">
        <v>2324</v>
      </c>
      <c r="P13" s="241"/>
      <c r="Q13" s="173"/>
      <c r="R13" s="185"/>
      <c r="S13" s="312"/>
      <c r="T13" s="313">
        <f t="shared" si="3"/>
        <v>24.4</v>
      </c>
      <c r="U13" s="313">
        <f t="shared" si="4"/>
        <v>29.28</v>
      </c>
      <c r="V13" s="313">
        <f t="shared" si="5"/>
        <v>1.5249999999999999</v>
      </c>
      <c r="W13" s="313">
        <f t="shared" si="6"/>
        <v>24.4</v>
      </c>
      <c r="X13" s="313">
        <f t="shared" si="7"/>
        <v>48.8</v>
      </c>
      <c r="Y13" s="313">
        <f t="shared" si="8"/>
        <v>14.64</v>
      </c>
    </row>
    <row r="14" spans="1:25">
      <c r="A14" s="118">
        <f>'BD Team'!A19</f>
        <v>11</v>
      </c>
      <c r="B14" s="118" t="str">
        <f>'BD Team'!B19</f>
        <v>W6</v>
      </c>
      <c r="C14" s="118" t="str">
        <f>'BD Team'!C19</f>
        <v>M15000</v>
      </c>
      <c r="D14" s="118" t="str">
        <f>'BD Team'!D19</f>
        <v>TOP HUNG WINDOW</v>
      </c>
      <c r="E14" s="118" t="str">
        <f>'BD Team'!F19</f>
        <v>NO</v>
      </c>
      <c r="F14" s="121" t="str">
        <f>'BD Team'!G19</f>
        <v>GF - BEDROOM</v>
      </c>
      <c r="G14" s="118">
        <f>'BD Team'!H19</f>
        <v>610</v>
      </c>
      <c r="H14" s="118">
        <f>'BD Team'!I19</f>
        <v>1448</v>
      </c>
      <c r="I14" s="118">
        <f>'BD Team'!J19</f>
        <v>1</v>
      </c>
      <c r="J14" s="103">
        <f t="shared" si="0"/>
        <v>9.5076259200000006</v>
      </c>
      <c r="K14" s="172">
        <f>'BD Team'!K19</f>
        <v>173.15</v>
      </c>
      <c r="L14" s="171">
        <f t="shared" si="1"/>
        <v>173.15</v>
      </c>
      <c r="M14" s="170">
        <f>L14*'Changable Values'!$D$4</f>
        <v>14371.45</v>
      </c>
      <c r="N14" s="170" t="str">
        <f>'BD Team'!E19</f>
        <v>8MM</v>
      </c>
      <c r="O14" s="172">
        <v>1322</v>
      </c>
      <c r="P14" s="241"/>
      <c r="Q14" s="173"/>
      <c r="R14" s="185"/>
      <c r="S14" s="312"/>
      <c r="T14" s="313">
        <f t="shared" si="3"/>
        <v>13.72</v>
      </c>
      <c r="U14" s="313">
        <f t="shared" si="4"/>
        <v>16.463999999999999</v>
      </c>
      <c r="V14" s="313">
        <f t="shared" si="5"/>
        <v>0.85750000000000004</v>
      </c>
      <c r="W14" s="313">
        <f t="shared" si="6"/>
        <v>13.72</v>
      </c>
      <c r="X14" s="313">
        <f t="shared" si="7"/>
        <v>27.44</v>
      </c>
      <c r="Y14" s="313">
        <f t="shared" si="8"/>
        <v>8.2319999999999993</v>
      </c>
    </row>
    <row r="15" spans="1:25">
      <c r="A15" s="118">
        <f>'BD Team'!A20</f>
        <v>12</v>
      </c>
      <c r="B15" s="118" t="str">
        <f>'BD Team'!B20</f>
        <v>W2</v>
      </c>
      <c r="C15" s="118" t="str">
        <f>'BD Team'!C20</f>
        <v>M900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FF - LIVING</v>
      </c>
      <c r="G15" s="118">
        <f>'BD Team'!H20</f>
        <v>1524</v>
      </c>
      <c r="H15" s="118">
        <f>'BD Team'!I20</f>
        <v>1448</v>
      </c>
      <c r="I15" s="118">
        <f>'BD Team'!J20</f>
        <v>3</v>
      </c>
      <c r="J15" s="103">
        <f t="shared" si="0"/>
        <v>71.260435583999993</v>
      </c>
      <c r="K15" s="172">
        <f>'BD Team'!K20</f>
        <v>129.04</v>
      </c>
      <c r="L15" s="171">
        <f t="shared" si="1"/>
        <v>387.12</v>
      </c>
      <c r="M15" s="170">
        <f>L15*'Changable Values'!$D$4</f>
        <v>32130.959999999999</v>
      </c>
      <c r="N15" s="170" t="str">
        <f>'BD Team'!E20</f>
        <v>8MM</v>
      </c>
      <c r="O15" s="172">
        <v>1322</v>
      </c>
      <c r="P15" s="241"/>
      <c r="Q15" s="173">
        <f t="shared" ref="Q15:Q18" si="9">50*10.764</f>
        <v>538.19999999999993</v>
      </c>
      <c r="R15" s="185"/>
      <c r="S15" s="312"/>
      <c r="T15" s="313">
        <f t="shared" si="3"/>
        <v>59.44</v>
      </c>
      <c r="U15" s="313">
        <f t="shared" si="4"/>
        <v>71.328000000000003</v>
      </c>
      <c r="V15" s="313">
        <f t="shared" si="5"/>
        <v>3.7149999999999999</v>
      </c>
      <c r="W15" s="313">
        <f t="shared" si="6"/>
        <v>59.44</v>
      </c>
      <c r="X15" s="313">
        <f t="shared" si="7"/>
        <v>118.88</v>
      </c>
      <c r="Y15" s="313">
        <f t="shared" si="8"/>
        <v>35.664000000000001</v>
      </c>
    </row>
    <row r="16" spans="1:25">
      <c r="A16" s="118">
        <f>'BD Team'!A21</f>
        <v>13</v>
      </c>
      <c r="B16" s="118" t="str">
        <f>'BD Team'!B21</f>
        <v>W3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FF - LOUNGE</v>
      </c>
      <c r="G16" s="118">
        <f>'BD Team'!H21</f>
        <v>1220</v>
      </c>
      <c r="H16" s="118">
        <f>'BD Team'!I21</f>
        <v>1754</v>
      </c>
      <c r="I16" s="118">
        <f>'BD Team'!J21</f>
        <v>3</v>
      </c>
      <c r="J16" s="103">
        <f t="shared" si="0"/>
        <v>69.101004959999997</v>
      </c>
      <c r="K16" s="172">
        <f>'BD Team'!K21</f>
        <v>134.49</v>
      </c>
      <c r="L16" s="171">
        <f t="shared" si="1"/>
        <v>403.47</v>
      </c>
      <c r="M16" s="170">
        <f>L16*'Changable Values'!$D$4</f>
        <v>33488.01</v>
      </c>
      <c r="N16" s="170" t="str">
        <f>'BD Team'!E21</f>
        <v>8MM</v>
      </c>
      <c r="O16" s="172">
        <v>1322</v>
      </c>
      <c r="P16" s="241"/>
      <c r="Q16" s="173">
        <f t="shared" si="9"/>
        <v>538.19999999999993</v>
      </c>
      <c r="R16" s="185"/>
      <c r="S16" s="312"/>
      <c r="T16" s="313">
        <f t="shared" si="3"/>
        <v>59.48</v>
      </c>
      <c r="U16" s="313">
        <f t="shared" si="4"/>
        <v>71.376000000000005</v>
      </c>
      <c r="V16" s="313">
        <f t="shared" si="5"/>
        <v>3.7174999999999998</v>
      </c>
      <c r="W16" s="313">
        <f t="shared" si="6"/>
        <v>59.48</v>
      </c>
      <c r="X16" s="313">
        <f t="shared" si="7"/>
        <v>118.96</v>
      </c>
      <c r="Y16" s="313">
        <f t="shared" si="8"/>
        <v>35.688000000000002</v>
      </c>
    </row>
    <row r="17" spans="1:25">
      <c r="A17" s="118">
        <f>'BD Team'!A22</f>
        <v>14</v>
      </c>
      <c r="B17" s="118" t="str">
        <f>'BD Team'!B22</f>
        <v>W4</v>
      </c>
      <c r="C17" s="118" t="str">
        <f>'BD Team'!C22</f>
        <v>M900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FF - BEDROOM</v>
      </c>
      <c r="G17" s="118">
        <f>'BD Team'!H22</f>
        <v>1220</v>
      </c>
      <c r="H17" s="118">
        <f>'BD Team'!I22</f>
        <v>1448</v>
      </c>
      <c r="I17" s="118">
        <f>'BD Team'!J22</f>
        <v>1</v>
      </c>
      <c r="J17" s="103">
        <f t="shared" si="0"/>
        <v>19.015251840000001</v>
      </c>
      <c r="K17" s="172">
        <f>'BD Team'!K22</f>
        <v>121.43</v>
      </c>
      <c r="L17" s="171">
        <f t="shared" si="1"/>
        <v>121.43</v>
      </c>
      <c r="M17" s="170">
        <f>L17*'Changable Values'!$D$4</f>
        <v>10078.69</v>
      </c>
      <c r="N17" s="170" t="str">
        <f>'BD Team'!E22</f>
        <v>8MM</v>
      </c>
      <c r="O17" s="172">
        <v>1322</v>
      </c>
      <c r="P17" s="241"/>
      <c r="Q17" s="173">
        <f t="shared" si="9"/>
        <v>538.19999999999993</v>
      </c>
      <c r="R17" s="185"/>
      <c r="S17" s="312"/>
      <c r="T17" s="313">
        <f t="shared" si="3"/>
        <v>17.786666666666665</v>
      </c>
      <c r="U17" s="313">
        <f t="shared" si="4"/>
        <v>21.344000000000001</v>
      </c>
      <c r="V17" s="313">
        <f t="shared" si="5"/>
        <v>1.1116666666666666</v>
      </c>
      <c r="W17" s="313">
        <f t="shared" si="6"/>
        <v>17.786666666666665</v>
      </c>
      <c r="X17" s="313">
        <f t="shared" si="7"/>
        <v>35.573333333333331</v>
      </c>
      <c r="Y17" s="313">
        <f t="shared" si="8"/>
        <v>10.672000000000001</v>
      </c>
    </row>
    <row r="18" spans="1:25">
      <c r="A18" s="118">
        <f>'BD Team'!A23</f>
        <v>15</v>
      </c>
      <c r="B18" s="118" t="str">
        <f>'BD Team'!B23</f>
        <v>W5</v>
      </c>
      <c r="C18" s="118" t="str">
        <f>'BD Team'!C23</f>
        <v>M900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FF - BEDROOM</v>
      </c>
      <c r="G18" s="118">
        <f>'BD Team'!H23</f>
        <v>1068</v>
      </c>
      <c r="H18" s="118">
        <f>'BD Team'!I23</f>
        <v>1448</v>
      </c>
      <c r="I18" s="118">
        <f>'BD Team'!J23</f>
        <v>2</v>
      </c>
      <c r="J18" s="103">
        <f t="shared" si="0"/>
        <v>33.292276991999998</v>
      </c>
      <c r="K18" s="172">
        <f>'BD Team'!K23</f>
        <v>117.63</v>
      </c>
      <c r="L18" s="171">
        <f t="shared" si="1"/>
        <v>235.26</v>
      </c>
      <c r="M18" s="170">
        <f>L18*'Changable Values'!$D$4</f>
        <v>19526.579999999998</v>
      </c>
      <c r="N18" s="170" t="str">
        <f>'BD Team'!E23</f>
        <v>8MM</v>
      </c>
      <c r="O18" s="172">
        <v>1322</v>
      </c>
      <c r="P18" s="241"/>
      <c r="Q18" s="173">
        <f t="shared" si="9"/>
        <v>538.19999999999993</v>
      </c>
      <c r="R18" s="185"/>
      <c r="S18" s="312"/>
      <c r="T18" s="313">
        <f t="shared" si="3"/>
        <v>33.546666666666667</v>
      </c>
      <c r="U18" s="313">
        <f t="shared" si="4"/>
        <v>40.256</v>
      </c>
      <c r="V18" s="313">
        <f t="shared" si="5"/>
        <v>2.0966666666666667</v>
      </c>
      <c r="W18" s="313">
        <f t="shared" si="6"/>
        <v>33.546666666666667</v>
      </c>
      <c r="X18" s="313">
        <f t="shared" si="7"/>
        <v>67.093333333333334</v>
      </c>
      <c r="Y18" s="313">
        <f t="shared" si="8"/>
        <v>20.128</v>
      </c>
    </row>
    <row r="19" spans="1:25">
      <c r="A19" s="118">
        <f>'BD Team'!A24</f>
        <v>16</v>
      </c>
      <c r="B19" s="118" t="str">
        <f>'BD Team'!B24</f>
        <v>W6</v>
      </c>
      <c r="C19" s="118" t="str">
        <f>'BD Team'!C24</f>
        <v>M15000</v>
      </c>
      <c r="D19" s="118" t="str">
        <f>'BD Team'!D24</f>
        <v>TOP HUNG WINDOW</v>
      </c>
      <c r="E19" s="118" t="str">
        <f>'BD Team'!F24</f>
        <v>NO</v>
      </c>
      <c r="F19" s="121" t="str">
        <f>'BD Team'!G24</f>
        <v>FF - BEDROOM &amp; LIVING</v>
      </c>
      <c r="G19" s="118">
        <f>'BD Team'!H24</f>
        <v>610</v>
      </c>
      <c r="H19" s="118">
        <f>'BD Team'!I24</f>
        <v>1448</v>
      </c>
      <c r="I19" s="118">
        <f>'BD Team'!J24</f>
        <v>2</v>
      </c>
      <c r="J19" s="103">
        <f t="shared" si="0"/>
        <v>19.015251840000001</v>
      </c>
      <c r="K19" s="172">
        <f>'BD Team'!K24</f>
        <v>173.15</v>
      </c>
      <c r="L19" s="171">
        <f t="shared" si="1"/>
        <v>346.3</v>
      </c>
      <c r="M19" s="170">
        <f>L19*'Changable Values'!$D$4</f>
        <v>28742.9</v>
      </c>
      <c r="N19" s="170" t="str">
        <f>'BD Team'!E24</f>
        <v>8MM</v>
      </c>
      <c r="O19" s="172">
        <v>1322</v>
      </c>
      <c r="P19" s="241"/>
      <c r="Q19" s="173"/>
      <c r="R19" s="185"/>
      <c r="S19" s="312"/>
      <c r="T19" s="313">
        <f t="shared" si="3"/>
        <v>27.44</v>
      </c>
      <c r="U19" s="313">
        <f t="shared" si="4"/>
        <v>32.927999999999997</v>
      </c>
      <c r="V19" s="313">
        <f t="shared" si="5"/>
        <v>1.7150000000000001</v>
      </c>
      <c r="W19" s="313">
        <f t="shared" si="6"/>
        <v>27.44</v>
      </c>
      <c r="X19" s="313">
        <f t="shared" si="7"/>
        <v>54.88</v>
      </c>
      <c r="Y19" s="313">
        <f t="shared" si="8"/>
        <v>16.463999999999999</v>
      </c>
    </row>
    <row r="20" spans="1:25">
      <c r="A20" s="118">
        <f>'BD Team'!A25</f>
        <v>17</v>
      </c>
      <c r="B20" s="118" t="str">
        <f>'BD Team'!B25</f>
        <v>SD</v>
      </c>
      <c r="C20" s="118" t="str">
        <f>'BD Team'!C25</f>
        <v>M14600</v>
      </c>
      <c r="D20" s="118" t="str">
        <f>'BD Team'!D25</f>
        <v>3 TRACK 2 SHUTTER SLIDING DOOR WITH 2 FIXED</v>
      </c>
      <c r="E20" s="118" t="str">
        <f>'BD Team'!F25</f>
        <v>SS</v>
      </c>
      <c r="F20" s="121" t="str">
        <f>'BD Team'!G25</f>
        <v>FF - LOUNGE</v>
      </c>
      <c r="G20" s="118">
        <f>'BD Team'!H25</f>
        <v>4572</v>
      </c>
      <c r="H20" s="118">
        <f>'BD Team'!I25</f>
        <v>2210</v>
      </c>
      <c r="I20" s="118">
        <f>'BD Team'!J25</f>
        <v>1</v>
      </c>
      <c r="J20" s="103">
        <f t="shared" si="0"/>
        <v>108.76074767999999</v>
      </c>
      <c r="K20" s="172">
        <f>'BD Team'!K25</f>
        <v>1009.6</v>
      </c>
      <c r="L20" s="171">
        <f t="shared" si="1"/>
        <v>1009.6</v>
      </c>
      <c r="M20" s="170">
        <f>L20*'Changable Values'!$D$4</f>
        <v>83796.800000000003</v>
      </c>
      <c r="N20" s="170" t="str">
        <f>'BD Team'!E25</f>
        <v>8MM</v>
      </c>
      <c r="O20" s="172">
        <v>1322</v>
      </c>
      <c r="P20" s="241"/>
      <c r="Q20" s="173">
        <f t="shared" ref="Q20:Q22" si="10">50*10.764</f>
        <v>538.19999999999993</v>
      </c>
      <c r="R20" s="185"/>
      <c r="S20" s="312"/>
      <c r="T20" s="313">
        <f t="shared" si="3"/>
        <v>45.213333333333331</v>
      </c>
      <c r="U20" s="313">
        <f t="shared" si="4"/>
        <v>54.256</v>
      </c>
      <c r="V20" s="313">
        <f t="shared" si="5"/>
        <v>2.8258333333333332</v>
      </c>
      <c r="W20" s="313">
        <f t="shared" si="6"/>
        <v>45.213333333333331</v>
      </c>
      <c r="X20" s="313">
        <f t="shared" si="7"/>
        <v>90.426666666666662</v>
      </c>
      <c r="Y20" s="313">
        <f t="shared" si="8"/>
        <v>27.128</v>
      </c>
    </row>
    <row r="21" spans="1:25">
      <c r="A21" s="118">
        <f>'BD Team'!A26</f>
        <v>18</v>
      </c>
      <c r="B21" s="118" t="str">
        <f>'BD Team'!B26</f>
        <v>D/W</v>
      </c>
      <c r="C21" s="118" t="str">
        <f>'BD Team'!C26</f>
        <v>M14600</v>
      </c>
      <c r="D21" s="118" t="str">
        <f>'BD Team'!D26</f>
        <v>3 TRACK 2 SHUTTER SLIDING DOOR WITH 2 FIXED</v>
      </c>
      <c r="E21" s="118" t="str">
        <f>'BD Team'!F26</f>
        <v>SS</v>
      </c>
      <c r="F21" s="121" t="str">
        <f>'BD Team'!G26</f>
        <v>FF - BEDROOM</v>
      </c>
      <c r="G21" s="118">
        <f>'BD Team'!H26</f>
        <v>4572</v>
      </c>
      <c r="H21" s="118">
        <f>'BD Team'!I26</f>
        <v>2210</v>
      </c>
      <c r="I21" s="118">
        <f>'BD Team'!J26</f>
        <v>1</v>
      </c>
      <c r="J21" s="103">
        <f t="shared" si="0"/>
        <v>108.76074767999999</v>
      </c>
      <c r="K21" s="172">
        <f>'BD Team'!K26</f>
        <v>1009.6</v>
      </c>
      <c r="L21" s="171">
        <f t="shared" si="1"/>
        <v>1009.6</v>
      </c>
      <c r="M21" s="170">
        <f>L21*'Changable Values'!$D$4</f>
        <v>83796.800000000003</v>
      </c>
      <c r="N21" s="170" t="str">
        <f>'BD Team'!E26</f>
        <v>8MM</v>
      </c>
      <c r="O21" s="172">
        <v>1322</v>
      </c>
      <c r="P21" s="241"/>
      <c r="Q21" s="173">
        <f t="shared" si="10"/>
        <v>538.19999999999993</v>
      </c>
      <c r="R21" s="185"/>
      <c r="S21" s="312"/>
      <c r="T21" s="313">
        <f t="shared" si="3"/>
        <v>45.213333333333331</v>
      </c>
      <c r="U21" s="313">
        <f t="shared" si="4"/>
        <v>54.256</v>
      </c>
      <c r="V21" s="313">
        <f t="shared" si="5"/>
        <v>2.8258333333333332</v>
      </c>
      <c r="W21" s="313">
        <f t="shared" si="6"/>
        <v>45.213333333333331</v>
      </c>
      <c r="X21" s="313">
        <f t="shared" si="7"/>
        <v>90.426666666666662</v>
      </c>
      <c r="Y21" s="313">
        <f t="shared" si="8"/>
        <v>27.128</v>
      </c>
    </row>
    <row r="22" spans="1:25">
      <c r="A22" s="118">
        <f>'BD Team'!A27</f>
        <v>19</v>
      </c>
      <c r="B22" s="118" t="str">
        <f>'BD Team'!B27</f>
        <v>D/W 1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FF - LIVING</v>
      </c>
      <c r="G22" s="118">
        <f>'BD Team'!H27</f>
        <v>2744</v>
      </c>
      <c r="H22" s="118">
        <f>'BD Team'!I27</f>
        <v>2210</v>
      </c>
      <c r="I22" s="118">
        <f>'BD Team'!J27</f>
        <v>1</v>
      </c>
      <c r="J22" s="103">
        <f t="shared" si="0"/>
        <v>65.275479360000006</v>
      </c>
      <c r="K22" s="172">
        <f>'BD Team'!K27</f>
        <v>534.32000000000005</v>
      </c>
      <c r="L22" s="171">
        <f t="shared" si="1"/>
        <v>534.32000000000005</v>
      </c>
      <c r="M22" s="170">
        <f>L22*'Changable Values'!$D$4</f>
        <v>44348.560000000005</v>
      </c>
      <c r="N22" s="170" t="str">
        <f>'BD Team'!E27</f>
        <v>8MM</v>
      </c>
      <c r="O22" s="172">
        <v>1322</v>
      </c>
      <c r="P22" s="241"/>
      <c r="Q22" s="173">
        <f t="shared" si="10"/>
        <v>538.19999999999993</v>
      </c>
      <c r="R22" s="185"/>
      <c r="S22" s="312"/>
      <c r="T22" s="313">
        <f t="shared" si="3"/>
        <v>33.026666666666664</v>
      </c>
      <c r="U22" s="313">
        <f t="shared" si="4"/>
        <v>39.631999999999998</v>
      </c>
      <c r="V22" s="313">
        <f t="shared" si="5"/>
        <v>2.0641666666666665</v>
      </c>
      <c r="W22" s="313">
        <f t="shared" si="6"/>
        <v>33.026666666666664</v>
      </c>
      <c r="X22" s="313">
        <f t="shared" si="7"/>
        <v>66.053333333333327</v>
      </c>
      <c r="Y22" s="313">
        <f t="shared" si="8"/>
        <v>19.815999999999999</v>
      </c>
    </row>
    <row r="23" spans="1:25">
      <c r="A23" s="118">
        <f>'BD Team'!A28</f>
        <v>20</v>
      </c>
      <c r="B23" s="118" t="str">
        <f>'BD Team'!B28</f>
        <v>V1</v>
      </c>
      <c r="C23" s="118" t="str">
        <f>'BD Team'!C28</f>
        <v>M14600</v>
      </c>
      <c r="D23" s="118" t="str">
        <f>'BD Team'!D28</f>
        <v>TOP HUNG WINDOW</v>
      </c>
      <c r="E23" s="118" t="str">
        <f>'BD Team'!F28</f>
        <v>NO</v>
      </c>
      <c r="F23" s="121" t="str">
        <f>'BD Team'!G28</f>
        <v>FF - TOILET</v>
      </c>
      <c r="G23" s="118">
        <f>'BD Team'!H28</f>
        <v>610</v>
      </c>
      <c r="H23" s="118">
        <f>'BD Team'!I28</f>
        <v>610</v>
      </c>
      <c r="I23" s="118">
        <f>'BD Team'!J28</f>
        <v>1</v>
      </c>
      <c r="J23" s="103">
        <f t="shared" si="0"/>
        <v>4.0052843999999999</v>
      </c>
      <c r="K23" s="172">
        <f>'BD Team'!K28</f>
        <v>124.92</v>
      </c>
      <c r="L23" s="171">
        <f t="shared" si="1"/>
        <v>124.92</v>
      </c>
      <c r="M23" s="170">
        <f>L23*'Changable Values'!$D$4</f>
        <v>10368.36</v>
      </c>
      <c r="N23" s="170" t="str">
        <f>'BD Team'!E28</f>
        <v>8MM (F)</v>
      </c>
      <c r="O23" s="172">
        <v>2324</v>
      </c>
      <c r="P23" s="241"/>
      <c r="Q23" s="173"/>
      <c r="R23" s="185"/>
      <c r="S23" s="312"/>
      <c r="T23" s="313">
        <f t="shared" si="3"/>
        <v>8.1333333333333329</v>
      </c>
      <c r="U23" s="313">
        <f t="shared" si="4"/>
        <v>9.76</v>
      </c>
      <c r="V23" s="313">
        <f t="shared" si="5"/>
        <v>0.5083333333333333</v>
      </c>
      <c r="W23" s="313">
        <f t="shared" si="6"/>
        <v>8.1333333333333329</v>
      </c>
      <c r="X23" s="313">
        <f t="shared" si="7"/>
        <v>16.266666666666666</v>
      </c>
      <c r="Y23" s="313">
        <f t="shared" si="8"/>
        <v>4.88</v>
      </c>
    </row>
    <row r="24" spans="1:25">
      <c r="A24" s="118">
        <f>'BD Team'!A29</f>
        <v>21</v>
      </c>
      <c r="B24" s="118" t="str">
        <f>'BD Team'!B29</f>
        <v>V2</v>
      </c>
      <c r="C24" s="118" t="str">
        <f>'BD Team'!C29</f>
        <v>M15000</v>
      </c>
      <c r="D24" s="118" t="str">
        <f>'BD Team'!D29</f>
        <v>FIXED GLASS WITH GLASS LOUVERS</v>
      </c>
      <c r="E24" s="118" t="str">
        <f>'BD Team'!F29</f>
        <v>NO</v>
      </c>
      <c r="F24" s="121" t="str">
        <f>'BD Team'!G29</f>
        <v>FF - TOILET</v>
      </c>
      <c r="G24" s="118">
        <f>'BD Team'!H29</f>
        <v>458</v>
      </c>
      <c r="H24" s="118">
        <f>'BD Team'!I29</f>
        <v>1220</v>
      </c>
      <c r="I24" s="118">
        <f>'BD Team'!J29</f>
        <v>4</v>
      </c>
      <c r="J24" s="103">
        <f t="shared" si="0"/>
        <v>24.057970559999998</v>
      </c>
      <c r="K24" s="172">
        <f>'BD Team'!K29</f>
        <v>35.35</v>
      </c>
      <c r="L24" s="171">
        <f t="shared" si="1"/>
        <v>141.4</v>
      </c>
      <c r="M24" s="170">
        <f>L24*'Changable Values'!$D$4</f>
        <v>11736.2</v>
      </c>
      <c r="N24" s="170" t="str">
        <f>'BD Team'!E29</f>
        <v>8MM (F) &amp; 6MM (A&amp;F)</v>
      </c>
      <c r="O24" s="172">
        <v>2324</v>
      </c>
      <c r="P24" s="241"/>
      <c r="Q24" s="173"/>
      <c r="R24" s="185"/>
      <c r="S24" s="312"/>
      <c r="T24" s="313">
        <f t="shared" si="3"/>
        <v>44.74666666666667</v>
      </c>
      <c r="U24" s="313">
        <f t="shared" si="4"/>
        <v>53.695999999999998</v>
      </c>
      <c r="V24" s="313">
        <f t="shared" si="5"/>
        <v>2.7966666666666669</v>
      </c>
      <c r="W24" s="313">
        <f t="shared" si="6"/>
        <v>44.74666666666667</v>
      </c>
      <c r="X24" s="313">
        <f t="shared" si="7"/>
        <v>89.493333333333339</v>
      </c>
      <c r="Y24" s="313">
        <f t="shared" si="8"/>
        <v>26.847999999999999</v>
      </c>
    </row>
    <row r="25" spans="1:25">
      <c r="A25" s="118">
        <f>'BD Team'!A30</f>
        <v>22</v>
      </c>
      <c r="B25" s="118" t="str">
        <f>'BD Team'!B30</f>
        <v>AW4</v>
      </c>
      <c r="C25" s="118" t="str">
        <f>'BD Team'!C30</f>
        <v>M900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FF - BEDROOM BALCONY</v>
      </c>
      <c r="G25" s="118">
        <f>'BD Team'!H30</f>
        <v>1220</v>
      </c>
      <c r="H25" s="118">
        <f>'BD Team'!I30</f>
        <v>1448</v>
      </c>
      <c r="I25" s="118">
        <f>'BD Team'!J30</f>
        <v>1</v>
      </c>
      <c r="J25" s="103">
        <f t="shared" si="0"/>
        <v>19.015251840000001</v>
      </c>
      <c r="K25" s="172">
        <f>'BD Team'!K30</f>
        <v>121.43</v>
      </c>
      <c r="L25" s="171">
        <f t="shared" si="1"/>
        <v>121.43</v>
      </c>
      <c r="M25" s="170">
        <f>L25*'Changable Values'!$D$4</f>
        <v>10078.69</v>
      </c>
      <c r="N25" s="170" t="str">
        <f>'BD Team'!E30</f>
        <v>8MM</v>
      </c>
      <c r="O25" s="172">
        <v>1322</v>
      </c>
      <c r="P25" s="241"/>
      <c r="Q25" s="173">
        <f>50*10.764</f>
        <v>538.19999999999993</v>
      </c>
      <c r="R25" s="185"/>
      <c r="S25" s="312"/>
      <c r="T25" s="313">
        <f t="shared" si="3"/>
        <v>17.786666666666665</v>
      </c>
      <c r="U25" s="313">
        <f t="shared" si="4"/>
        <v>21.344000000000001</v>
      </c>
      <c r="V25" s="313">
        <f t="shared" si="5"/>
        <v>1.1116666666666666</v>
      </c>
      <c r="W25" s="313">
        <f t="shared" si="6"/>
        <v>17.786666666666665</v>
      </c>
      <c r="X25" s="313">
        <f t="shared" si="7"/>
        <v>35.573333333333331</v>
      </c>
      <c r="Y25" s="313">
        <f t="shared" si="8"/>
        <v>10.672000000000001</v>
      </c>
    </row>
    <row r="26" spans="1:25">
      <c r="A26" s="118">
        <f>'BD Team'!A31</f>
        <v>23</v>
      </c>
      <c r="B26" s="118" t="str">
        <f>'BD Team'!B31</f>
        <v>V1</v>
      </c>
      <c r="C26" s="118" t="str">
        <f>'BD Team'!C31</f>
        <v>M15000</v>
      </c>
      <c r="D26" s="118" t="str">
        <f>'BD Team'!D31</f>
        <v>TOP HUNG WINDOW</v>
      </c>
      <c r="E26" s="118" t="str">
        <f>'BD Team'!F31</f>
        <v>NO</v>
      </c>
      <c r="F26" s="121" t="str">
        <f>'BD Team'!G31</f>
        <v>SF - TOILET</v>
      </c>
      <c r="G26" s="118">
        <f>'BD Team'!H31</f>
        <v>610</v>
      </c>
      <c r="H26" s="118">
        <f>'BD Team'!I31</f>
        <v>610</v>
      </c>
      <c r="I26" s="118">
        <f>'BD Team'!J31</f>
        <v>1</v>
      </c>
      <c r="J26" s="103">
        <f t="shared" si="0"/>
        <v>4.0052843999999999</v>
      </c>
      <c r="K26" s="172">
        <f>'BD Team'!K31</f>
        <v>124.92</v>
      </c>
      <c r="L26" s="171">
        <f t="shared" si="1"/>
        <v>124.92</v>
      </c>
      <c r="M26" s="170">
        <f>L26*'Changable Values'!$D$4</f>
        <v>10368.36</v>
      </c>
      <c r="N26" s="170" t="str">
        <f>'BD Team'!E31</f>
        <v>8MM (F)</v>
      </c>
      <c r="O26" s="172">
        <v>2324</v>
      </c>
      <c r="P26" s="241"/>
      <c r="Q26" s="173"/>
      <c r="R26" s="185"/>
      <c r="S26" s="312"/>
      <c r="T26" s="313">
        <f t="shared" si="3"/>
        <v>8.1333333333333329</v>
      </c>
      <c r="U26" s="313">
        <f t="shared" si="4"/>
        <v>9.76</v>
      </c>
      <c r="V26" s="313">
        <f t="shared" si="5"/>
        <v>0.5083333333333333</v>
      </c>
      <c r="W26" s="313">
        <f t="shared" si="6"/>
        <v>8.1333333333333329</v>
      </c>
      <c r="X26" s="313">
        <f t="shared" si="7"/>
        <v>16.266666666666666</v>
      </c>
      <c r="Y26" s="313">
        <f t="shared" si="8"/>
        <v>4.88</v>
      </c>
    </row>
    <row r="27" spans="1:25">
      <c r="A27" s="118">
        <f>'BD Team'!A32</f>
        <v>24</v>
      </c>
      <c r="B27" s="118" t="str">
        <f>'BD Team'!B32</f>
        <v>V2</v>
      </c>
      <c r="C27" s="118" t="str">
        <f>'BD Team'!C32</f>
        <v>M15000</v>
      </c>
      <c r="D27" s="118" t="str">
        <f>'BD Team'!D32</f>
        <v>FIXED GLASS WITH GLASS LOUVERS</v>
      </c>
      <c r="E27" s="118" t="str">
        <f>'BD Team'!F32</f>
        <v>NO</v>
      </c>
      <c r="F27" s="121" t="str">
        <f>'BD Team'!G32</f>
        <v>SF - TOILET</v>
      </c>
      <c r="G27" s="118">
        <f>'BD Team'!H32</f>
        <v>458</v>
      </c>
      <c r="H27" s="118">
        <f>'BD Team'!I32</f>
        <v>1220</v>
      </c>
      <c r="I27" s="118">
        <f>'BD Team'!J32</f>
        <v>2</v>
      </c>
      <c r="J27" s="103">
        <f t="shared" si="0"/>
        <v>12.028985279999999</v>
      </c>
      <c r="K27" s="172">
        <f>'BD Team'!K32</f>
        <v>35.35</v>
      </c>
      <c r="L27" s="171">
        <f t="shared" si="1"/>
        <v>70.7</v>
      </c>
      <c r="M27" s="170">
        <f>L27*'Changable Values'!$D$4</f>
        <v>5868.1</v>
      </c>
      <c r="N27" s="170" t="str">
        <f>'BD Team'!E32</f>
        <v>8MM (F) &amp; 6MM (A&amp;F)</v>
      </c>
      <c r="O27" s="172">
        <v>1322</v>
      </c>
      <c r="P27" s="241"/>
      <c r="Q27" s="173"/>
      <c r="R27" s="185"/>
      <c r="S27" s="312"/>
      <c r="T27" s="313">
        <f t="shared" si="3"/>
        <v>22.373333333333335</v>
      </c>
      <c r="U27" s="313">
        <f t="shared" si="4"/>
        <v>26.847999999999999</v>
      </c>
      <c r="V27" s="313">
        <f t="shared" si="5"/>
        <v>1.3983333333333334</v>
      </c>
      <c r="W27" s="313">
        <f t="shared" si="6"/>
        <v>22.373333333333335</v>
      </c>
      <c r="X27" s="313">
        <f t="shared" si="7"/>
        <v>44.74666666666667</v>
      </c>
      <c r="Y27" s="313">
        <f t="shared" si="8"/>
        <v>13.423999999999999</v>
      </c>
    </row>
    <row r="28" spans="1:25">
      <c r="A28" s="118">
        <f>'BD Team'!A33</f>
        <v>25</v>
      </c>
      <c r="B28" s="118" t="str">
        <f>'BD Team'!B33</f>
        <v>SW</v>
      </c>
      <c r="C28" s="118" t="str">
        <f>'BD Team'!C33</f>
        <v>M15000</v>
      </c>
      <c r="D28" s="118" t="str">
        <f>'BD Team'!D33</f>
        <v>FIXED GLASS 2 NO'S</v>
      </c>
      <c r="E28" s="118" t="str">
        <f>'BD Team'!F33</f>
        <v>NO</v>
      </c>
      <c r="F28" s="121" t="str">
        <f>'BD Team'!G33</f>
        <v>SF - PARTY ROOM</v>
      </c>
      <c r="G28" s="118">
        <f>'BD Team'!H33</f>
        <v>3658</v>
      </c>
      <c r="H28" s="118">
        <f>'BD Team'!I33</f>
        <v>1448</v>
      </c>
      <c r="I28" s="118">
        <f>'BD Team'!J33</f>
        <v>1</v>
      </c>
      <c r="J28" s="103">
        <f t="shared" si="0"/>
        <v>57.014582975999993</v>
      </c>
      <c r="K28" s="172">
        <f>'BD Team'!K33</f>
        <v>180.39</v>
      </c>
      <c r="L28" s="171">
        <f t="shared" si="1"/>
        <v>180.39</v>
      </c>
      <c r="M28" s="170">
        <f>L28*'Changable Values'!$D$4</f>
        <v>14972.369999999999</v>
      </c>
      <c r="N28" s="170" t="str">
        <f>'BD Team'!E33</f>
        <v>8MM</v>
      </c>
      <c r="O28" s="172">
        <v>1322</v>
      </c>
      <c r="P28" s="241"/>
      <c r="Q28" s="173"/>
      <c r="R28" s="185"/>
      <c r="S28" s="312"/>
      <c r="T28" s="313">
        <f t="shared" si="3"/>
        <v>34.04</v>
      </c>
      <c r="U28" s="313">
        <f t="shared" si="4"/>
        <v>40.847999999999999</v>
      </c>
      <c r="V28" s="313">
        <f t="shared" si="5"/>
        <v>2.1274999999999999</v>
      </c>
      <c r="W28" s="313">
        <f t="shared" si="6"/>
        <v>34.04</v>
      </c>
      <c r="X28" s="313">
        <f t="shared" si="7"/>
        <v>68.08</v>
      </c>
      <c r="Y28" s="313">
        <f t="shared" si="8"/>
        <v>20.423999999999999</v>
      </c>
    </row>
    <row r="29" spans="1:25">
      <c r="A29" s="118">
        <f>'BD Team'!A34</f>
        <v>26</v>
      </c>
      <c r="B29" s="118" t="str">
        <f>'BD Team'!B34</f>
        <v>W4</v>
      </c>
      <c r="C29" s="118" t="str">
        <f>'BD Team'!C34</f>
        <v>M900</v>
      </c>
      <c r="D29" s="118" t="str">
        <f>'BD Team'!D34</f>
        <v>3 TRACK 2 SHUTTER SLIDING WINDOW</v>
      </c>
      <c r="E29" s="118" t="str">
        <f>'BD Team'!F34</f>
        <v>SS</v>
      </c>
      <c r="F29" s="121" t="str">
        <f>'BD Team'!G34</f>
        <v>SF - PARTY ROOM</v>
      </c>
      <c r="G29" s="118">
        <f>'BD Team'!H34</f>
        <v>1220</v>
      </c>
      <c r="H29" s="118">
        <f>'BD Team'!I34</f>
        <v>1448</v>
      </c>
      <c r="I29" s="118">
        <f>'BD Team'!J34</f>
        <v>1</v>
      </c>
      <c r="J29" s="103">
        <f t="shared" si="0"/>
        <v>19.015251840000001</v>
      </c>
      <c r="K29" s="172">
        <f>'BD Team'!K34</f>
        <v>121.43</v>
      </c>
      <c r="L29" s="171">
        <f t="shared" si="1"/>
        <v>121.43</v>
      </c>
      <c r="M29" s="170">
        <f>L29*'Changable Values'!$D$4</f>
        <v>10078.69</v>
      </c>
      <c r="N29" s="170" t="str">
        <f>'BD Team'!E34</f>
        <v>8MM</v>
      </c>
      <c r="O29" s="172">
        <v>1322</v>
      </c>
      <c r="P29" s="241"/>
      <c r="Q29" s="173">
        <f>50*10.764</f>
        <v>538.19999999999993</v>
      </c>
      <c r="R29" s="185"/>
      <c r="S29" s="312"/>
      <c r="T29" s="313">
        <f t="shared" si="3"/>
        <v>17.786666666666665</v>
      </c>
      <c r="U29" s="313">
        <f t="shared" si="4"/>
        <v>21.344000000000001</v>
      </c>
      <c r="V29" s="313">
        <f t="shared" si="5"/>
        <v>1.1116666666666666</v>
      </c>
      <c r="W29" s="313">
        <f t="shared" si="6"/>
        <v>17.786666666666665</v>
      </c>
      <c r="X29" s="313">
        <f t="shared" si="7"/>
        <v>35.573333333333331</v>
      </c>
      <c r="Y29" s="313">
        <f t="shared" si="8"/>
        <v>10.672000000000001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1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1"/>
        <v>0</v>
      </c>
      <c r="K55" s="172">
        <f>'BD Team'!K60</f>
        <v>0</v>
      </c>
      <c r="L55" s="171">
        <f t="shared" ref="L55:L103" si="12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1"/>
        <v>0</v>
      </c>
      <c r="K56" s="172">
        <f>'BD Team'!K61</f>
        <v>0</v>
      </c>
      <c r="L56" s="171">
        <f t="shared" si="12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1"/>
        <v>0</v>
      </c>
      <c r="K57" s="172">
        <f>'BD Team'!K62</f>
        <v>0</v>
      </c>
      <c r="L57" s="171">
        <f t="shared" si="12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1"/>
        <v>0</v>
      </c>
      <c r="K58" s="172">
        <f>'BD Team'!K63</f>
        <v>0</v>
      </c>
      <c r="L58" s="171">
        <f t="shared" si="12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1"/>
        <v>0</v>
      </c>
      <c r="K59" s="172">
        <f>'BD Team'!K64</f>
        <v>0</v>
      </c>
      <c r="L59" s="171">
        <f t="shared" si="12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1"/>
        <v>0</v>
      </c>
      <c r="K60" s="172">
        <f>'BD Team'!K65</f>
        <v>0</v>
      </c>
      <c r="L60" s="171">
        <f t="shared" si="12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1"/>
        <v>0</v>
      </c>
      <c r="K61" s="172">
        <f>'BD Team'!K66</f>
        <v>0</v>
      </c>
      <c r="L61" s="171">
        <f t="shared" si="12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1"/>
        <v>0</v>
      </c>
      <c r="K62" s="172">
        <f>'BD Team'!K67</f>
        <v>0</v>
      </c>
      <c r="L62" s="171">
        <f t="shared" si="12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1"/>
        <v>0</v>
      </c>
      <c r="K63" s="172">
        <f>'BD Team'!K68</f>
        <v>0</v>
      </c>
      <c r="L63" s="171">
        <f t="shared" si="12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1"/>
        <v>0</v>
      </c>
      <c r="K64" s="172">
        <f>'BD Team'!K69</f>
        <v>0</v>
      </c>
      <c r="L64" s="171">
        <f t="shared" si="12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1"/>
        <v>0</v>
      </c>
      <c r="K65" s="172">
        <f>'BD Team'!K70</f>
        <v>0</v>
      </c>
      <c r="L65" s="171">
        <f t="shared" si="12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1"/>
        <v>0</v>
      </c>
      <c r="K66" s="172">
        <f>'BD Team'!K71</f>
        <v>0</v>
      </c>
      <c r="L66" s="171">
        <f t="shared" si="12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1"/>
        <v>0</v>
      </c>
      <c r="K67" s="172">
        <f>'BD Team'!K72</f>
        <v>0</v>
      </c>
      <c r="L67" s="171">
        <f t="shared" si="12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1"/>
        <v>0</v>
      </c>
      <c r="K68" s="172">
        <f>'BD Team'!K73</f>
        <v>0</v>
      </c>
      <c r="L68" s="171">
        <f t="shared" si="12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1"/>
        <v>0</v>
      </c>
      <c r="K69" s="172">
        <f>'BD Team'!K74</f>
        <v>0</v>
      </c>
      <c r="L69" s="171">
        <f t="shared" si="12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3">(G69+H69)*I69*2/300</f>
        <v>0</v>
      </c>
      <c r="U69" s="313">
        <f t="shared" ref="U69:U103" si="14">SUM(G69:H69)*I69*2*4/1000</f>
        <v>0</v>
      </c>
      <c r="V69" s="313">
        <f t="shared" ref="V69:V103" si="15">SUM(G69:H69)*I69*5*5*4/(1000*240)</f>
        <v>0</v>
      </c>
      <c r="W69" s="313">
        <f t="shared" ref="W69:W103" si="16">T69</f>
        <v>0</v>
      </c>
      <c r="X69" s="313">
        <f t="shared" ref="X69:X103" si="17">W69*2</f>
        <v>0</v>
      </c>
      <c r="Y69" s="313">
        <f t="shared" ref="Y69:Y103" si="18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1"/>
        <v>0</v>
      </c>
      <c r="K70" s="172">
        <f>'BD Team'!K75</f>
        <v>0</v>
      </c>
      <c r="L70" s="171">
        <f t="shared" si="12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3"/>
        <v>0</v>
      </c>
      <c r="U70" s="313">
        <f t="shared" si="14"/>
        <v>0</v>
      </c>
      <c r="V70" s="313">
        <f t="shared" si="15"/>
        <v>0</v>
      </c>
      <c r="W70" s="313">
        <f t="shared" si="16"/>
        <v>0</v>
      </c>
      <c r="X70" s="313">
        <f t="shared" si="17"/>
        <v>0</v>
      </c>
      <c r="Y70" s="313">
        <f t="shared" si="18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1"/>
        <v>0</v>
      </c>
      <c r="K71" s="172">
        <f>'BD Team'!K76</f>
        <v>0</v>
      </c>
      <c r="L71" s="171">
        <f t="shared" si="12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3"/>
        <v>0</v>
      </c>
      <c r="U71" s="313">
        <f t="shared" si="14"/>
        <v>0</v>
      </c>
      <c r="V71" s="313">
        <f t="shared" si="15"/>
        <v>0</v>
      </c>
      <c r="W71" s="313">
        <f t="shared" si="16"/>
        <v>0</v>
      </c>
      <c r="X71" s="313">
        <f t="shared" si="17"/>
        <v>0</v>
      </c>
      <c r="Y71" s="313">
        <f t="shared" si="18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1"/>
        <v>0</v>
      </c>
      <c r="K72" s="172">
        <f>'BD Team'!K77</f>
        <v>0</v>
      </c>
      <c r="L72" s="171">
        <f t="shared" si="12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3"/>
        <v>0</v>
      </c>
      <c r="U72" s="313">
        <f t="shared" si="14"/>
        <v>0</v>
      </c>
      <c r="V72" s="313">
        <f t="shared" si="15"/>
        <v>0</v>
      </c>
      <c r="W72" s="313">
        <f t="shared" si="16"/>
        <v>0</v>
      </c>
      <c r="X72" s="313">
        <f t="shared" si="17"/>
        <v>0</v>
      </c>
      <c r="Y72" s="313">
        <f t="shared" si="18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1"/>
        <v>0</v>
      </c>
      <c r="K73" s="172">
        <f>'BD Team'!K78</f>
        <v>0</v>
      </c>
      <c r="L73" s="171">
        <f t="shared" si="12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3"/>
        <v>0</v>
      </c>
      <c r="U73" s="313">
        <f t="shared" si="14"/>
        <v>0</v>
      </c>
      <c r="V73" s="313">
        <f t="shared" si="15"/>
        <v>0</v>
      </c>
      <c r="W73" s="313">
        <f t="shared" si="16"/>
        <v>0</v>
      </c>
      <c r="X73" s="313">
        <f t="shared" si="17"/>
        <v>0</v>
      </c>
      <c r="Y73" s="313">
        <f t="shared" si="18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1"/>
        <v>0</v>
      </c>
      <c r="K74" s="172">
        <f>'BD Team'!K79</f>
        <v>0</v>
      </c>
      <c r="L74" s="171">
        <f t="shared" si="12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3"/>
        <v>0</v>
      </c>
      <c r="U74" s="313">
        <f t="shared" si="14"/>
        <v>0</v>
      </c>
      <c r="V74" s="313">
        <f t="shared" si="15"/>
        <v>0</v>
      </c>
      <c r="W74" s="313">
        <f t="shared" si="16"/>
        <v>0</v>
      </c>
      <c r="X74" s="313">
        <f t="shared" si="17"/>
        <v>0</v>
      </c>
      <c r="Y74" s="313">
        <f t="shared" si="18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1"/>
        <v>0</v>
      </c>
      <c r="K75" s="172">
        <f>'BD Team'!K80</f>
        <v>0</v>
      </c>
      <c r="L75" s="171">
        <f t="shared" si="12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3"/>
        <v>0</v>
      </c>
      <c r="U75" s="313">
        <f t="shared" si="14"/>
        <v>0</v>
      </c>
      <c r="V75" s="313">
        <f t="shared" si="15"/>
        <v>0</v>
      </c>
      <c r="W75" s="313">
        <f t="shared" si="16"/>
        <v>0</v>
      </c>
      <c r="X75" s="313">
        <f t="shared" si="17"/>
        <v>0</v>
      </c>
      <c r="Y75" s="313">
        <f t="shared" si="18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1"/>
        <v>0</v>
      </c>
      <c r="K76" s="172">
        <f>'BD Team'!K81</f>
        <v>0</v>
      </c>
      <c r="L76" s="171">
        <f t="shared" si="12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3"/>
        <v>0</v>
      </c>
      <c r="U76" s="313">
        <f t="shared" si="14"/>
        <v>0</v>
      </c>
      <c r="V76" s="313">
        <f t="shared" si="15"/>
        <v>0</v>
      </c>
      <c r="W76" s="313">
        <f t="shared" si="16"/>
        <v>0</v>
      </c>
      <c r="X76" s="313">
        <f t="shared" si="17"/>
        <v>0</v>
      </c>
      <c r="Y76" s="313">
        <f t="shared" si="18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1"/>
        <v>0</v>
      </c>
      <c r="K77" s="172">
        <f>'BD Team'!K82</f>
        <v>0</v>
      </c>
      <c r="L77" s="171">
        <f t="shared" si="12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3"/>
        <v>0</v>
      </c>
      <c r="U77" s="313">
        <f t="shared" si="14"/>
        <v>0</v>
      </c>
      <c r="V77" s="313">
        <f t="shared" si="15"/>
        <v>0</v>
      </c>
      <c r="W77" s="313">
        <f t="shared" si="16"/>
        <v>0</v>
      </c>
      <c r="X77" s="313">
        <f t="shared" si="17"/>
        <v>0</v>
      </c>
      <c r="Y77" s="313">
        <f t="shared" si="18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1"/>
        <v>0</v>
      </c>
      <c r="K78" s="172">
        <f>'BD Team'!K83</f>
        <v>0</v>
      </c>
      <c r="L78" s="171">
        <f t="shared" si="12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3"/>
        <v>0</v>
      </c>
      <c r="U78" s="313">
        <f t="shared" si="14"/>
        <v>0</v>
      </c>
      <c r="V78" s="313">
        <f t="shared" si="15"/>
        <v>0</v>
      </c>
      <c r="W78" s="313">
        <f t="shared" si="16"/>
        <v>0</v>
      </c>
      <c r="X78" s="313">
        <f t="shared" si="17"/>
        <v>0</v>
      </c>
      <c r="Y78" s="313">
        <f t="shared" si="18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1"/>
        <v>0</v>
      </c>
      <c r="K79" s="172">
        <f>'BD Team'!K84</f>
        <v>0</v>
      </c>
      <c r="L79" s="171">
        <f t="shared" si="12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3"/>
        <v>0</v>
      </c>
      <c r="U79" s="313">
        <f t="shared" si="14"/>
        <v>0</v>
      </c>
      <c r="V79" s="313">
        <f t="shared" si="15"/>
        <v>0</v>
      </c>
      <c r="W79" s="313">
        <f t="shared" si="16"/>
        <v>0</v>
      </c>
      <c r="X79" s="313">
        <f t="shared" si="17"/>
        <v>0</v>
      </c>
      <c r="Y79" s="313">
        <f t="shared" si="18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1"/>
        <v>0</v>
      </c>
      <c r="K80" s="172">
        <f>'BD Team'!K85</f>
        <v>0</v>
      </c>
      <c r="L80" s="171">
        <f t="shared" si="12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3"/>
        <v>0</v>
      </c>
      <c r="U80" s="313">
        <f t="shared" si="14"/>
        <v>0</v>
      </c>
      <c r="V80" s="313">
        <f t="shared" si="15"/>
        <v>0</v>
      </c>
      <c r="W80" s="313">
        <f t="shared" si="16"/>
        <v>0</v>
      </c>
      <c r="X80" s="313">
        <f t="shared" si="17"/>
        <v>0</v>
      </c>
      <c r="Y80" s="313">
        <f t="shared" si="18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1"/>
        <v>0</v>
      </c>
      <c r="K81" s="172">
        <f>'BD Team'!K86</f>
        <v>0</v>
      </c>
      <c r="L81" s="171">
        <f t="shared" si="12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3"/>
        <v>0</v>
      </c>
      <c r="U81" s="313">
        <f t="shared" si="14"/>
        <v>0</v>
      </c>
      <c r="V81" s="313">
        <f t="shared" si="15"/>
        <v>0</v>
      </c>
      <c r="W81" s="313">
        <f t="shared" si="16"/>
        <v>0</v>
      </c>
      <c r="X81" s="313">
        <f t="shared" si="17"/>
        <v>0</v>
      </c>
      <c r="Y81" s="313">
        <f t="shared" si="18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1"/>
        <v>0</v>
      </c>
      <c r="K82" s="172">
        <f>'BD Team'!K87</f>
        <v>0</v>
      </c>
      <c r="L82" s="171">
        <f t="shared" si="12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3"/>
        <v>0</v>
      </c>
      <c r="U82" s="313">
        <f t="shared" si="14"/>
        <v>0</v>
      </c>
      <c r="V82" s="313">
        <f t="shared" si="15"/>
        <v>0</v>
      </c>
      <c r="W82" s="313">
        <f t="shared" si="16"/>
        <v>0</v>
      </c>
      <c r="X82" s="313">
        <f t="shared" si="17"/>
        <v>0</v>
      </c>
      <c r="Y82" s="313">
        <f t="shared" si="18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1"/>
        <v>0</v>
      </c>
      <c r="K83" s="172">
        <f>'BD Team'!K88</f>
        <v>0</v>
      </c>
      <c r="L83" s="171">
        <f t="shared" si="12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3"/>
        <v>0</v>
      </c>
      <c r="U83" s="313">
        <f t="shared" si="14"/>
        <v>0</v>
      </c>
      <c r="V83" s="313">
        <f t="shared" si="15"/>
        <v>0</v>
      </c>
      <c r="W83" s="313">
        <f t="shared" si="16"/>
        <v>0</v>
      </c>
      <c r="X83" s="313">
        <f t="shared" si="17"/>
        <v>0</v>
      </c>
      <c r="Y83" s="313">
        <f t="shared" si="18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1"/>
        <v>0</v>
      </c>
      <c r="K84" s="172">
        <f>'BD Team'!K89</f>
        <v>0</v>
      </c>
      <c r="L84" s="171">
        <f t="shared" si="12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3"/>
        <v>0</v>
      </c>
      <c r="U84" s="313">
        <f t="shared" si="14"/>
        <v>0</v>
      </c>
      <c r="V84" s="313">
        <f t="shared" si="15"/>
        <v>0</v>
      </c>
      <c r="W84" s="313">
        <f t="shared" si="16"/>
        <v>0</v>
      </c>
      <c r="X84" s="313">
        <f t="shared" si="17"/>
        <v>0</v>
      </c>
      <c r="Y84" s="313">
        <f t="shared" si="18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1"/>
        <v>0</v>
      </c>
      <c r="K85" s="172">
        <f>'BD Team'!K90</f>
        <v>0</v>
      </c>
      <c r="L85" s="171">
        <f t="shared" si="12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3"/>
        <v>0</v>
      </c>
      <c r="U85" s="313">
        <f t="shared" si="14"/>
        <v>0</v>
      </c>
      <c r="V85" s="313">
        <f t="shared" si="15"/>
        <v>0</v>
      </c>
      <c r="W85" s="313">
        <f t="shared" si="16"/>
        <v>0</v>
      </c>
      <c r="X85" s="313">
        <f t="shared" si="17"/>
        <v>0</v>
      </c>
      <c r="Y85" s="313">
        <f t="shared" si="18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1"/>
        <v>0</v>
      </c>
      <c r="K86" s="172">
        <f>'BD Team'!K91</f>
        <v>0</v>
      </c>
      <c r="L86" s="171">
        <f t="shared" si="12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3"/>
        <v>0</v>
      </c>
      <c r="U86" s="313">
        <f t="shared" si="14"/>
        <v>0</v>
      </c>
      <c r="V86" s="313">
        <f t="shared" si="15"/>
        <v>0</v>
      </c>
      <c r="W86" s="313">
        <f t="shared" si="16"/>
        <v>0</v>
      </c>
      <c r="X86" s="313">
        <f t="shared" si="17"/>
        <v>0</v>
      </c>
      <c r="Y86" s="313">
        <f t="shared" si="18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1"/>
        <v>0</v>
      </c>
      <c r="K87" s="172">
        <f>'BD Team'!K92</f>
        <v>0</v>
      </c>
      <c r="L87" s="171">
        <f t="shared" si="12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3"/>
        <v>0</v>
      </c>
      <c r="U87" s="313">
        <f t="shared" si="14"/>
        <v>0</v>
      </c>
      <c r="V87" s="313">
        <f t="shared" si="15"/>
        <v>0</v>
      </c>
      <c r="W87" s="313">
        <f t="shared" si="16"/>
        <v>0</v>
      </c>
      <c r="X87" s="313">
        <f t="shared" si="17"/>
        <v>0</v>
      </c>
      <c r="Y87" s="313">
        <f t="shared" si="18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1"/>
        <v>0</v>
      </c>
      <c r="K88" s="172">
        <f>'BD Team'!K93</f>
        <v>0</v>
      </c>
      <c r="L88" s="171">
        <f t="shared" si="12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3"/>
        <v>0</v>
      </c>
      <c r="U88" s="313">
        <f t="shared" si="14"/>
        <v>0</v>
      </c>
      <c r="V88" s="313">
        <f t="shared" si="15"/>
        <v>0</v>
      </c>
      <c r="W88" s="313">
        <f t="shared" si="16"/>
        <v>0</v>
      </c>
      <c r="X88" s="313">
        <f t="shared" si="17"/>
        <v>0</v>
      </c>
      <c r="Y88" s="313">
        <f t="shared" si="18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1"/>
        <v>0</v>
      </c>
      <c r="K89" s="172">
        <f>'BD Team'!K94</f>
        <v>0</v>
      </c>
      <c r="L89" s="171">
        <f t="shared" si="12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3"/>
        <v>0</v>
      </c>
      <c r="U89" s="313">
        <f t="shared" si="14"/>
        <v>0</v>
      </c>
      <c r="V89" s="313">
        <f t="shared" si="15"/>
        <v>0</v>
      </c>
      <c r="W89" s="313">
        <f t="shared" si="16"/>
        <v>0</v>
      </c>
      <c r="X89" s="313">
        <f t="shared" si="17"/>
        <v>0</v>
      </c>
      <c r="Y89" s="313">
        <f t="shared" si="18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1"/>
        <v>0</v>
      </c>
      <c r="K90" s="172">
        <f>'BD Team'!K95</f>
        <v>0</v>
      </c>
      <c r="L90" s="171">
        <f t="shared" si="12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3"/>
        <v>0</v>
      </c>
      <c r="U90" s="313">
        <f t="shared" si="14"/>
        <v>0</v>
      </c>
      <c r="V90" s="313">
        <f t="shared" si="15"/>
        <v>0</v>
      </c>
      <c r="W90" s="313">
        <f t="shared" si="16"/>
        <v>0</v>
      </c>
      <c r="X90" s="313">
        <f t="shared" si="17"/>
        <v>0</v>
      </c>
      <c r="Y90" s="313">
        <f t="shared" si="18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1"/>
        <v>0</v>
      </c>
      <c r="K91" s="172">
        <f>'BD Team'!K96</f>
        <v>0</v>
      </c>
      <c r="L91" s="171">
        <f t="shared" si="12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3"/>
        <v>0</v>
      </c>
      <c r="U91" s="313">
        <f t="shared" si="14"/>
        <v>0</v>
      </c>
      <c r="V91" s="313">
        <f t="shared" si="15"/>
        <v>0</v>
      </c>
      <c r="W91" s="313">
        <f t="shared" si="16"/>
        <v>0</v>
      </c>
      <c r="X91" s="313">
        <f t="shared" si="17"/>
        <v>0</v>
      </c>
      <c r="Y91" s="313">
        <f t="shared" si="18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1"/>
        <v>0</v>
      </c>
      <c r="K92" s="172">
        <f>'BD Team'!K97</f>
        <v>0</v>
      </c>
      <c r="L92" s="171">
        <f t="shared" si="12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3"/>
        <v>0</v>
      </c>
      <c r="U92" s="313">
        <f t="shared" si="14"/>
        <v>0</v>
      </c>
      <c r="V92" s="313">
        <f t="shared" si="15"/>
        <v>0</v>
      </c>
      <c r="W92" s="313">
        <f t="shared" si="16"/>
        <v>0</v>
      </c>
      <c r="X92" s="313">
        <f t="shared" si="17"/>
        <v>0</v>
      </c>
      <c r="Y92" s="313">
        <f t="shared" si="18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1"/>
        <v>0</v>
      </c>
      <c r="K93" s="172">
        <f>'BD Team'!K98</f>
        <v>0</v>
      </c>
      <c r="L93" s="171">
        <f t="shared" si="12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3"/>
        <v>0</v>
      </c>
      <c r="U93" s="313">
        <f t="shared" si="14"/>
        <v>0</v>
      </c>
      <c r="V93" s="313">
        <f t="shared" si="15"/>
        <v>0</v>
      </c>
      <c r="W93" s="313">
        <f t="shared" si="16"/>
        <v>0</v>
      </c>
      <c r="X93" s="313">
        <f t="shared" si="17"/>
        <v>0</v>
      </c>
      <c r="Y93" s="313">
        <f t="shared" si="18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1"/>
        <v>0</v>
      </c>
      <c r="K94" s="172">
        <f>'BD Team'!K99</f>
        <v>0</v>
      </c>
      <c r="L94" s="171">
        <f t="shared" si="12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3"/>
        <v>0</v>
      </c>
      <c r="U94" s="313">
        <f t="shared" si="14"/>
        <v>0</v>
      </c>
      <c r="V94" s="313">
        <f t="shared" si="15"/>
        <v>0</v>
      </c>
      <c r="W94" s="313">
        <f t="shared" si="16"/>
        <v>0</v>
      </c>
      <c r="X94" s="313">
        <f t="shared" si="17"/>
        <v>0</v>
      </c>
      <c r="Y94" s="313">
        <f t="shared" si="18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1"/>
        <v>0</v>
      </c>
      <c r="K95" s="172">
        <f>'BD Team'!K100</f>
        <v>0</v>
      </c>
      <c r="L95" s="171">
        <f t="shared" si="12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3"/>
        <v>0</v>
      </c>
      <c r="U95" s="313">
        <f t="shared" si="14"/>
        <v>0</v>
      </c>
      <c r="V95" s="313">
        <f t="shared" si="15"/>
        <v>0</v>
      </c>
      <c r="W95" s="313">
        <f t="shared" si="16"/>
        <v>0</v>
      </c>
      <c r="X95" s="313">
        <f t="shared" si="17"/>
        <v>0</v>
      </c>
      <c r="Y95" s="313">
        <f t="shared" si="18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1"/>
        <v>0</v>
      </c>
      <c r="K96" s="172">
        <f>'BD Team'!K101</f>
        <v>0</v>
      </c>
      <c r="L96" s="171">
        <f t="shared" si="12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3"/>
        <v>0</v>
      </c>
      <c r="U96" s="313">
        <f t="shared" si="14"/>
        <v>0</v>
      </c>
      <c r="V96" s="313">
        <f t="shared" si="15"/>
        <v>0</v>
      </c>
      <c r="W96" s="313">
        <f t="shared" si="16"/>
        <v>0</v>
      </c>
      <c r="X96" s="313">
        <f t="shared" si="17"/>
        <v>0</v>
      </c>
      <c r="Y96" s="313">
        <f t="shared" si="18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1"/>
        <v>0</v>
      </c>
      <c r="K97" s="172">
        <f>'BD Team'!K102</f>
        <v>0</v>
      </c>
      <c r="L97" s="171">
        <f t="shared" si="12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3"/>
        <v>0</v>
      </c>
      <c r="U97" s="313">
        <f t="shared" si="14"/>
        <v>0</v>
      </c>
      <c r="V97" s="313">
        <f t="shared" si="15"/>
        <v>0</v>
      </c>
      <c r="W97" s="313">
        <f t="shared" si="16"/>
        <v>0</v>
      </c>
      <c r="X97" s="313">
        <f t="shared" si="17"/>
        <v>0</v>
      </c>
      <c r="Y97" s="313">
        <f t="shared" si="18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1"/>
        <v>0</v>
      </c>
      <c r="K98" s="172">
        <f>'BD Team'!K103</f>
        <v>0</v>
      </c>
      <c r="L98" s="171">
        <f t="shared" si="12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3"/>
        <v>0</v>
      </c>
      <c r="U98" s="313">
        <f t="shared" si="14"/>
        <v>0</v>
      </c>
      <c r="V98" s="313">
        <f t="shared" si="15"/>
        <v>0</v>
      </c>
      <c r="W98" s="313">
        <f t="shared" si="16"/>
        <v>0</v>
      </c>
      <c r="X98" s="313">
        <f t="shared" si="17"/>
        <v>0</v>
      </c>
      <c r="Y98" s="313">
        <f t="shared" si="18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1"/>
        <v>0</v>
      </c>
      <c r="K99" s="172">
        <f>'BD Team'!K104</f>
        <v>0</v>
      </c>
      <c r="L99" s="171">
        <f t="shared" si="12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3"/>
        <v>0</v>
      </c>
      <c r="U99" s="313">
        <f t="shared" si="14"/>
        <v>0</v>
      </c>
      <c r="V99" s="313">
        <f t="shared" si="15"/>
        <v>0</v>
      </c>
      <c r="W99" s="313">
        <f t="shared" si="16"/>
        <v>0</v>
      </c>
      <c r="X99" s="313">
        <f t="shared" si="17"/>
        <v>0</v>
      </c>
      <c r="Y99" s="313">
        <f t="shared" si="18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1"/>
        <v>0</v>
      </c>
      <c r="K100" s="172">
        <f>'BD Team'!K105</f>
        <v>0</v>
      </c>
      <c r="L100" s="171">
        <f t="shared" si="12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3"/>
        <v>0</v>
      </c>
      <c r="U100" s="313">
        <f t="shared" si="14"/>
        <v>0</v>
      </c>
      <c r="V100" s="313">
        <f t="shared" si="15"/>
        <v>0</v>
      </c>
      <c r="W100" s="313">
        <f t="shared" si="16"/>
        <v>0</v>
      </c>
      <c r="X100" s="313">
        <f t="shared" si="17"/>
        <v>0</v>
      </c>
      <c r="Y100" s="313">
        <f t="shared" si="18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1"/>
        <v>0</v>
      </c>
      <c r="K101" s="172">
        <f>'BD Team'!K106</f>
        <v>0</v>
      </c>
      <c r="L101" s="171">
        <f t="shared" si="12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3"/>
        <v>0</v>
      </c>
      <c r="U101" s="313">
        <f t="shared" si="14"/>
        <v>0</v>
      </c>
      <c r="V101" s="313">
        <f t="shared" si="15"/>
        <v>0</v>
      </c>
      <c r="W101" s="313">
        <f t="shared" si="16"/>
        <v>0</v>
      </c>
      <c r="X101" s="313">
        <f t="shared" si="17"/>
        <v>0</v>
      </c>
      <c r="Y101" s="313">
        <f t="shared" si="18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1"/>
        <v>0</v>
      </c>
      <c r="K102" s="172">
        <f>'BD Team'!K107</f>
        <v>0</v>
      </c>
      <c r="L102" s="171">
        <f t="shared" si="12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3"/>
        <v>0</v>
      </c>
      <c r="U102" s="313">
        <f t="shared" si="14"/>
        <v>0</v>
      </c>
      <c r="V102" s="313">
        <f t="shared" si="15"/>
        <v>0</v>
      </c>
      <c r="W102" s="313">
        <f t="shared" si="16"/>
        <v>0</v>
      </c>
      <c r="X102" s="313">
        <f t="shared" si="17"/>
        <v>0</v>
      </c>
      <c r="Y102" s="313">
        <f t="shared" si="18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1"/>
        <v>0</v>
      </c>
      <c r="K103" s="172">
        <f>'BD Team'!K108</f>
        <v>0</v>
      </c>
      <c r="L103" s="171">
        <f t="shared" si="12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3"/>
        <v>0</v>
      </c>
      <c r="U103" s="313">
        <f t="shared" si="14"/>
        <v>0</v>
      </c>
      <c r="V103" s="313">
        <f t="shared" si="15"/>
        <v>0</v>
      </c>
      <c r="W103" s="313">
        <f t="shared" si="16"/>
        <v>0</v>
      </c>
      <c r="X103" s="313">
        <f t="shared" si="17"/>
        <v>0</v>
      </c>
      <c r="Y103" s="313">
        <f t="shared" si="18"/>
        <v>0</v>
      </c>
    </row>
    <row r="104" spans="1:25">
      <c r="K104" s="168">
        <f>SUM(K4:K103)</f>
        <v>6769.5300000000025</v>
      </c>
      <c r="L104" s="168">
        <f>SUM(L4:L103)</f>
        <v>9497.0600000000013</v>
      </c>
      <c r="M104" s="168">
        <f>SUM(M4:M103)</f>
        <v>788255.98</v>
      </c>
      <c r="T104" s="314">
        <f t="shared" ref="T104:Y104" si="19">SUM(T4:T103)</f>
        <v>918.87999999999988</v>
      </c>
      <c r="U104" s="314">
        <f t="shared" si="19"/>
        <v>1102.6559999999999</v>
      </c>
      <c r="V104" s="314">
        <f t="shared" si="19"/>
        <v>57.429999999999993</v>
      </c>
      <c r="W104" s="314">
        <f t="shared" si="19"/>
        <v>918.87999999999988</v>
      </c>
      <c r="X104" s="314">
        <f t="shared" si="19"/>
        <v>1837.7599999999998</v>
      </c>
      <c r="Y104" s="314">
        <f t="shared" si="19"/>
        <v>551.32799999999997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8" sqref="D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2323.944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1740</v>
      </c>
      <c r="D4" s="255">
        <f>C4*D3</f>
        <v>40.019999999999996</v>
      </c>
      <c r="E4" s="255">
        <f>C4*E3</f>
        <v>69.600000000000009</v>
      </c>
      <c r="F4" s="255">
        <f>C4*F3</f>
        <v>87</v>
      </c>
      <c r="G4" s="255">
        <f>C4+D4+E4+F4</f>
        <v>1936.62</v>
      </c>
      <c r="H4" s="255">
        <f>G4*H3</f>
        <v>387.32400000000001</v>
      </c>
      <c r="I4" s="255">
        <f>G4+H4</f>
        <v>2323.944</v>
      </c>
      <c r="J4" s="255">
        <f>I4*J3</f>
        <v>0</v>
      </c>
      <c r="K4" s="255">
        <f>I4+J4</f>
        <v>2323.944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14</v>
      </c>
      <c r="B7" s="270">
        <v>8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1740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</v>
      </c>
      <c r="E8" s="132" t="str">
        <f>Pricing!N4</f>
        <v>8MM</v>
      </c>
      <c r="F8" s="68">
        <f>Pricing!G4</f>
        <v>3048</v>
      </c>
      <c r="G8" s="68">
        <f>Pricing!H4</f>
        <v>1754</v>
      </c>
      <c r="H8" s="100">
        <f t="shared" ref="H8:H57" si="0">(F8*G8)/1000000</f>
        <v>5.3461920000000003</v>
      </c>
      <c r="I8" s="70">
        <f>Pricing!I4</f>
        <v>1</v>
      </c>
      <c r="J8" s="69">
        <f t="shared" ref="J8" si="1">H8*I8</f>
        <v>5.3461920000000003</v>
      </c>
      <c r="K8" s="71">
        <f t="shared" ref="K8" si="2">J8*10.764</f>
        <v>57.546410688000002</v>
      </c>
      <c r="L8" s="69"/>
      <c r="M8" s="72"/>
      <c r="N8" s="72"/>
      <c r="O8" s="72">
        <f t="shared" ref="O8:O35" si="3">N8*M8*L8/1000000</f>
        <v>0</v>
      </c>
      <c r="P8" s="73">
        <f>Pricing!M4</f>
        <v>42260.28</v>
      </c>
      <c r="Q8" s="74">
        <f t="shared" ref="Q8:Q56" si="4">P8*$Q$6</f>
        <v>4226.0280000000002</v>
      </c>
      <c r="R8" s="74">
        <f t="shared" ref="R8:R56" si="5">(P8+Q8)*$R$6</f>
        <v>5113.49388</v>
      </c>
      <c r="S8" s="74">
        <f t="shared" ref="S8:S56" si="6">(P8+Q8+R8)*$S$6</f>
        <v>257.99900939999998</v>
      </c>
      <c r="T8" s="74">
        <f t="shared" ref="T8:T56" si="7">(P8+Q8+R8+S8)*$T$6</f>
        <v>518.57800889400005</v>
      </c>
      <c r="U8" s="72">
        <f t="shared" ref="U8:U56" si="8">SUM(P8:T8)</f>
        <v>52376.378898294002</v>
      </c>
      <c r="V8" s="74">
        <f t="shared" ref="V8:V56" si="9">U8*$V$6</f>
        <v>785.64568347441002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7067.6658240000006</v>
      </c>
      <c r="AE8" s="76">
        <f>((((F8+G8)*2)/305)*I8*$AE$7)</f>
        <v>787.21311475409834</v>
      </c>
      <c r="AF8" s="346">
        <f>(((((F8*4)+(G8*4))/1000)*$AF$6*$AG$6)/300)*I8*$AF$7</f>
        <v>806.73599999999999</v>
      </c>
      <c r="AG8" s="347"/>
      <c r="AH8" s="76">
        <f>(((F8+G8))*I8/1000)*8*$AH$7</f>
        <v>28.811999999999998</v>
      </c>
      <c r="AI8" s="76">
        <f t="shared" ref="AI8:AI57" si="15">(((F8+G8)*2*I8)/1000)*2*$AI$7</f>
        <v>96.039999999999992</v>
      </c>
      <c r="AJ8" s="76">
        <f>J8*Pricing!Q4</f>
        <v>2877.3205343999998</v>
      </c>
      <c r="AK8" s="76">
        <f>J8*Pricing!R4</f>
        <v>0</v>
      </c>
      <c r="AL8" s="76">
        <f t="shared" ref="AL8:AL39" si="16">J8*$AL$6</f>
        <v>5754.6410687999996</v>
      </c>
      <c r="AM8" s="77">
        <f t="shared" ref="AM8:AM39" si="17">$AM$6*J8</f>
        <v>0</v>
      </c>
      <c r="AN8" s="76">
        <f t="shared" ref="AN8:AN39" si="18">$AN$6*J8</f>
        <v>4603.7128550399993</v>
      </c>
      <c r="AO8" s="72">
        <f t="shared" ref="AO8:AO39" si="19">SUM(U8:V8)+SUM(AC8:AI8)-AD8</f>
        <v>54880.825696522508</v>
      </c>
      <c r="AP8" s="74">
        <f t="shared" ref="AP8:AP39" si="20">AO8*$AP$6</f>
        <v>68601.032120653137</v>
      </c>
      <c r="AQ8" s="74">
        <f t="shared" ref="AQ8:AQ56" si="21">(AO8+AP8)*$AQ$6</f>
        <v>0</v>
      </c>
      <c r="AR8" s="74">
        <f t="shared" ref="AR8:AR39" si="22">SUM(AO8:AQ8)/J8</f>
        <v>23097.161085343669</v>
      </c>
      <c r="AS8" s="72">
        <f t="shared" ref="AS8:AS39" si="23">SUM(AJ8:AQ8)+AD8+AB8</f>
        <v>143785.19809941563</v>
      </c>
      <c r="AT8" s="72">
        <f t="shared" ref="AT8:AT39" si="24">AS8/J8</f>
        <v>26894.881085343666</v>
      </c>
      <c r="AU8" s="78">
        <f t="shared" ref="AU8:AU56" si="25">AT8/10.764</f>
        <v>2498.5954185566397</v>
      </c>
      <c r="AV8" s="79">
        <f t="shared" ref="AV8:AV39" si="26">K8/$K$109</f>
        <v>4.8353171470649152E-2</v>
      </c>
      <c r="AW8" s="80">
        <f t="shared" ref="AW8:AW39" si="27">(U8+V8)/(J8*10.764)</f>
        <v>923.81130197672167</v>
      </c>
      <c r="AX8" s="81">
        <f t="shared" ref="AX8:AX39" si="28">SUM(W8:AN8,AP8)/(J8*10.764)</f>
        <v>1574.784116579918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W1</v>
      </c>
      <c r="E9" s="132" t="str">
        <f>Pricing!N5</f>
        <v>8MM</v>
      </c>
      <c r="F9" s="68">
        <f>Pricing!G5</f>
        <v>1524</v>
      </c>
      <c r="G9" s="68">
        <f>Pricing!H5</f>
        <v>1754</v>
      </c>
      <c r="H9" s="100">
        <f t="shared" si="0"/>
        <v>2.6730960000000001</v>
      </c>
      <c r="I9" s="70">
        <f>Pricing!I5</f>
        <v>4</v>
      </c>
      <c r="J9" s="69">
        <f t="shared" ref="J9:J58" si="30">H9*I9</f>
        <v>10.692384000000001</v>
      </c>
      <c r="K9" s="71">
        <f t="shared" ref="K9:K58" si="31">J9*10.764</f>
        <v>115.092821376</v>
      </c>
      <c r="L9" s="69"/>
      <c r="M9" s="72"/>
      <c r="N9" s="72"/>
      <c r="O9" s="72">
        <f t="shared" si="3"/>
        <v>0</v>
      </c>
      <c r="P9" s="73">
        <f>Pricing!M5</f>
        <v>47173.880000000005</v>
      </c>
      <c r="Q9" s="74">
        <f t="shared" ref="Q9:Q14" si="32">P9*$Q$6</f>
        <v>4717.3880000000008</v>
      </c>
      <c r="R9" s="74">
        <f t="shared" ref="R9:R14" si="33">(P9+Q9)*$R$6</f>
        <v>5708.0394800000004</v>
      </c>
      <c r="S9" s="74">
        <f t="shared" ref="S9:S14" si="34">(P9+Q9+R9)*$S$6</f>
        <v>287.99653740000002</v>
      </c>
      <c r="T9" s="74">
        <f t="shared" ref="T9:T14" si="35">(P9+Q9+R9+S9)*$T$6</f>
        <v>578.87304017400004</v>
      </c>
      <c r="U9" s="72">
        <f t="shared" ref="U9:U14" si="36">SUM(P9:T9)</f>
        <v>58466.177057574008</v>
      </c>
      <c r="V9" s="74">
        <f t="shared" ref="V9:V14" si="37">U9*$V$6</f>
        <v>876.99265586361014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14135.331648000001</v>
      </c>
      <c r="AE9" s="76">
        <f t="shared" ref="AE9:AE57" si="43">((((F9+G9)*2)/305)*I9*$AE$7)</f>
        <v>2149.5081967213114</v>
      </c>
      <c r="AF9" s="346">
        <f t="shared" ref="AF9:AF57" si="44">(((((F9*4)+(G9*4))/1000)*$AF$6*$AG$6)/300)*I9*$AF$7</f>
        <v>2202.8159999999998</v>
      </c>
      <c r="AG9" s="347"/>
      <c r="AH9" s="76">
        <f t="shared" ref="AH9:AH72" si="45">(((F9+G9))*I9/1000)*8*$AH$7</f>
        <v>78.671999999999997</v>
      </c>
      <c r="AI9" s="76">
        <f t="shared" si="15"/>
        <v>262.24</v>
      </c>
      <c r="AJ9" s="76">
        <f>J9*Pricing!Q5</f>
        <v>5754.6410687999996</v>
      </c>
      <c r="AK9" s="76">
        <f>J9*Pricing!R5</f>
        <v>0</v>
      </c>
      <c r="AL9" s="76">
        <f t="shared" si="16"/>
        <v>11509.282137599999</v>
      </c>
      <c r="AM9" s="77">
        <f t="shared" si="17"/>
        <v>0</v>
      </c>
      <c r="AN9" s="76">
        <f t="shared" si="18"/>
        <v>9207.4257100799987</v>
      </c>
      <c r="AO9" s="72">
        <f t="shared" si="19"/>
        <v>64036.40591015893</v>
      </c>
      <c r="AP9" s="74">
        <f t="shared" si="20"/>
        <v>80045.507387698657</v>
      </c>
      <c r="AQ9" s="74">
        <f t="shared" ref="AQ9:AQ14" si="46">(AO9+AP9)*$AQ$6</f>
        <v>0</v>
      </c>
      <c r="AR9" s="74">
        <f t="shared" si="22"/>
        <v>13475.190686927965</v>
      </c>
      <c r="AS9" s="72">
        <f t="shared" si="23"/>
        <v>184688.59386233758</v>
      </c>
      <c r="AT9" s="72">
        <f t="shared" si="24"/>
        <v>17272.910686927964</v>
      </c>
      <c r="AU9" s="78">
        <f t="shared" ref="AU9:AU14" si="47">AT9/10.764</f>
        <v>1604.6925573140063</v>
      </c>
      <c r="AV9" s="79">
        <f t="shared" si="26"/>
        <v>9.6706342941298304E-2</v>
      </c>
      <c r="AW9" s="80">
        <f t="shared" si="27"/>
        <v>515.61139091001803</v>
      </c>
      <c r="AX9" s="81">
        <f t="shared" si="28"/>
        <v>1089.0811664039884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8MM</v>
      </c>
      <c r="F10" s="68">
        <f>Pricing!G6</f>
        <v>1220</v>
      </c>
      <c r="G10" s="68">
        <f>Pricing!H6</f>
        <v>1754</v>
      </c>
      <c r="H10" s="100">
        <f t="shared" si="0"/>
        <v>2.1398799999999998</v>
      </c>
      <c r="I10" s="70">
        <f>Pricing!I6</f>
        <v>6</v>
      </c>
      <c r="J10" s="69">
        <f t="shared" si="30"/>
        <v>12.839279999999999</v>
      </c>
      <c r="K10" s="71">
        <f t="shared" si="31"/>
        <v>138.20200991999997</v>
      </c>
      <c r="L10" s="69"/>
      <c r="M10" s="72"/>
      <c r="N10" s="72"/>
      <c r="O10" s="72">
        <f t="shared" si="3"/>
        <v>0</v>
      </c>
      <c r="P10" s="73">
        <f>Pricing!M6</f>
        <v>66976.02</v>
      </c>
      <c r="Q10" s="74">
        <f t="shared" si="32"/>
        <v>6697.6020000000008</v>
      </c>
      <c r="R10" s="74">
        <f t="shared" si="33"/>
        <v>8104.0984200000003</v>
      </c>
      <c r="S10" s="74">
        <f t="shared" si="34"/>
        <v>408.88860210000001</v>
      </c>
      <c r="T10" s="74">
        <f t="shared" si="35"/>
        <v>821.86609022100004</v>
      </c>
      <c r="U10" s="72">
        <f t="shared" si="36"/>
        <v>83008.475112321001</v>
      </c>
      <c r="V10" s="74">
        <f t="shared" si="37"/>
        <v>1245.127126684815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16973.528159999998</v>
      </c>
      <c r="AE10" s="76">
        <f t="shared" si="43"/>
        <v>2925.2459016393441</v>
      </c>
      <c r="AF10" s="346">
        <f t="shared" si="44"/>
        <v>2997.7919999999999</v>
      </c>
      <c r="AG10" s="347"/>
      <c r="AH10" s="76">
        <f t="shared" si="45"/>
        <v>107.06400000000001</v>
      </c>
      <c r="AI10" s="76">
        <f t="shared" si="15"/>
        <v>356.88</v>
      </c>
      <c r="AJ10" s="76">
        <f>J10*Pricing!Q6</f>
        <v>6910.1004959999982</v>
      </c>
      <c r="AK10" s="76">
        <f>J10*Pricing!R6</f>
        <v>0</v>
      </c>
      <c r="AL10" s="76">
        <f t="shared" si="16"/>
        <v>13820.200991999996</v>
      </c>
      <c r="AM10" s="77">
        <f t="shared" si="17"/>
        <v>0</v>
      </c>
      <c r="AN10" s="76">
        <f t="shared" si="18"/>
        <v>11056.160793599998</v>
      </c>
      <c r="AO10" s="72">
        <f t="shared" si="19"/>
        <v>90640.584140645165</v>
      </c>
      <c r="AP10" s="74">
        <f t="shared" si="20"/>
        <v>113300.73017580646</v>
      </c>
      <c r="AQ10" s="74">
        <f t="shared" si="46"/>
        <v>0</v>
      </c>
      <c r="AR10" s="74">
        <f t="shared" si="22"/>
        <v>15884.170632344776</v>
      </c>
      <c r="AS10" s="72">
        <f t="shared" si="23"/>
        <v>252701.30475805158</v>
      </c>
      <c r="AT10" s="72">
        <f t="shared" si="24"/>
        <v>19681.890632344774</v>
      </c>
      <c r="AU10" s="78">
        <f t="shared" si="47"/>
        <v>1828.4922549558505</v>
      </c>
      <c r="AV10" s="79">
        <f t="shared" si="26"/>
        <v>0.11612375825628336</v>
      </c>
      <c r="AW10" s="80">
        <f t="shared" si="27"/>
        <v>609.64093277498</v>
      </c>
      <c r="AX10" s="81">
        <f t="shared" si="28"/>
        <v>1218.851322180871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8MM</v>
      </c>
      <c r="F11" s="68">
        <f>Pricing!G7</f>
        <v>1220</v>
      </c>
      <c r="G11" s="68">
        <f>Pricing!H7</f>
        <v>1448</v>
      </c>
      <c r="H11" s="100">
        <f t="shared" si="0"/>
        <v>1.7665599999999999</v>
      </c>
      <c r="I11" s="70">
        <f>Pricing!I7</f>
        <v>2</v>
      </c>
      <c r="J11" s="69">
        <f t="shared" si="30"/>
        <v>3.5331199999999998</v>
      </c>
      <c r="K11" s="71">
        <f t="shared" si="31"/>
        <v>38.030503679999995</v>
      </c>
      <c r="L11" s="69"/>
      <c r="M11" s="72"/>
      <c r="N11" s="72"/>
      <c r="O11" s="72">
        <f t="shared" si="3"/>
        <v>0</v>
      </c>
      <c r="P11" s="73">
        <f>Pricing!M7</f>
        <v>20157.38</v>
      </c>
      <c r="Q11" s="74">
        <f t="shared" si="32"/>
        <v>2015.7380000000003</v>
      </c>
      <c r="R11" s="74">
        <f t="shared" si="33"/>
        <v>2439.0429800000002</v>
      </c>
      <c r="S11" s="74">
        <f t="shared" si="34"/>
        <v>123.06080490000001</v>
      </c>
      <c r="T11" s="74">
        <f t="shared" si="35"/>
        <v>247.35221784900003</v>
      </c>
      <c r="U11" s="72">
        <f t="shared" si="36"/>
        <v>24982.574002748999</v>
      </c>
      <c r="V11" s="74">
        <f t="shared" si="37"/>
        <v>374.73861004123495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4670.7846399999999</v>
      </c>
      <c r="AE11" s="76">
        <f t="shared" si="43"/>
        <v>874.75409836065569</v>
      </c>
      <c r="AF11" s="346">
        <f t="shared" si="44"/>
        <v>896.44800000000021</v>
      </c>
      <c r="AG11" s="347"/>
      <c r="AH11" s="76">
        <f t="shared" si="45"/>
        <v>32.016000000000005</v>
      </c>
      <c r="AI11" s="76">
        <f t="shared" si="15"/>
        <v>106.72</v>
      </c>
      <c r="AJ11" s="76">
        <f>J11*Pricing!Q7</f>
        <v>1901.5251839999996</v>
      </c>
      <c r="AK11" s="76">
        <f>J11*Pricing!R7</f>
        <v>0</v>
      </c>
      <c r="AL11" s="76">
        <f t="shared" si="16"/>
        <v>3803.0503679999993</v>
      </c>
      <c r="AM11" s="77">
        <f t="shared" si="17"/>
        <v>0</v>
      </c>
      <c r="AN11" s="76">
        <f t="shared" si="18"/>
        <v>3042.4402943999994</v>
      </c>
      <c r="AO11" s="72">
        <f t="shared" si="19"/>
        <v>27267.250711150889</v>
      </c>
      <c r="AP11" s="74">
        <f t="shared" si="20"/>
        <v>34084.063388938608</v>
      </c>
      <c r="AQ11" s="74">
        <f t="shared" si="46"/>
        <v>0</v>
      </c>
      <c r="AR11" s="74">
        <f t="shared" si="22"/>
        <v>17364.62789265281</v>
      </c>
      <c r="AS11" s="72">
        <f t="shared" si="23"/>
        <v>74769.114586489493</v>
      </c>
      <c r="AT11" s="72">
        <f t="shared" si="24"/>
        <v>21162.347892652811</v>
      </c>
      <c r="AU11" s="78">
        <f t="shared" si="47"/>
        <v>1966.0300903616512</v>
      </c>
      <c r="AV11" s="79">
        <f t="shared" si="26"/>
        <v>3.1954998471132333E-2</v>
      </c>
      <c r="AW11" s="80">
        <f t="shared" si="27"/>
        <v>666.76247115090098</v>
      </c>
      <c r="AX11" s="81">
        <f t="shared" si="28"/>
        <v>1299.2676192107499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4 LEAF SLIDE &amp; FOLD DOOR</v>
      </c>
      <c r="D12" s="131" t="str">
        <f>Pricing!B8</f>
        <v>FD</v>
      </c>
      <c r="E12" s="132" t="str">
        <f>Pricing!N8</f>
        <v>8MM</v>
      </c>
      <c r="F12" s="68">
        <f>Pricing!G8</f>
        <v>3658</v>
      </c>
      <c r="G12" s="68">
        <f>Pricing!H8</f>
        <v>2210</v>
      </c>
      <c r="H12" s="100">
        <f t="shared" si="0"/>
        <v>8.0841799999999999</v>
      </c>
      <c r="I12" s="70">
        <f>Pricing!I8</f>
        <v>1</v>
      </c>
      <c r="J12" s="69">
        <f t="shared" si="30"/>
        <v>8.0841799999999999</v>
      </c>
      <c r="K12" s="71">
        <f t="shared" si="31"/>
        <v>87.01811352</v>
      </c>
      <c r="L12" s="69"/>
      <c r="M12" s="72"/>
      <c r="N12" s="72"/>
      <c r="O12" s="72">
        <f t="shared" si="3"/>
        <v>0</v>
      </c>
      <c r="P12" s="73">
        <f>Pricing!M8</f>
        <v>83710.48</v>
      </c>
      <c r="Q12" s="74">
        <f t="shared" si="32"/>
        <v>8371.0480000000007</v>
      </c>
      <c r="R12" s="74">
        <f t="shared" si="33"/>
        <v>10128.968079999999</v>
      </c>
      <c r="S12" s="74">
        <f t="shared" si="34"/>
        <v>511.05248039999992</v>
      </c>
      <c r="T12" s="74">
        <f t="shared" si="35"/>
        <v>1027.2154856039999</v>
      </c>
      <c r="U12" s="72">
        <f t="shared" si="36"/>
        <v>103748.76404600398</v>
      </c>
      <c r="V12" s="74">
        <f t="shared" si="37"/>
        <v>1556.2314606900597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10687.285959999999</v>
      </c>
      <c r="AE12" s="76">
        <f t="shared" si="43"/>
        <v>961.96721311475403</v>
      </c>
      <c r="AF12" s="346">
        <f t="shared" si="44"/>
        <v>985.82399999999996</v>
      </c>
      <c r="AG12" s="347"/>
      <c r="AH12" s="76">
        <f t="shared" si="45"/>
        <v>35.207999999999998</v>
      </c>
      <c r="AI12" s="76">
        <f t="shared" si="15"/>
        <v>117.36000000000001</v>
      </c>
      <c r="AJ12" s="76">
        <f>J12*Pricing!Q8</f>
        <v>0</v>
      </c>
      <c r="AK12" s="76">
        <f>J12*Pricing!R8</f>
        <v>78316.302167999995</v>
      </c>
      <c r="AL12" s="76">
        <f t="shared" si="16"/>
        <v>8701.8113519999988</v>
      </c>
      <c r="AM12" s="77">
        <f t="shared" si="17"/>
        <v>0</v>
      </c>
      <c r="AN12" s="76">
        <f t="shared" si="18"/>
        <v>6961.4490815999989</v>
      </c>
      <c r="AO12" s="72">
        <f t="shared" si="19"/>
        <v>107405.35471980881</v>
      </c>
      <c r="AP12" s="74">
        <f t="shared" si="20"/>
        <v>134256.69339976102</v>
      </c>
      <c r="AQ12" s="74">
        <f t="shared" si="46"/>
        <v>0</v>
      </c>
      <c r="AR12" s="74">
        <f t="shared" si="22"/>
        <v>29893.204767777293</v>
      </c>
      <c r="AS12" s="72">
        <f t="shared" si="23"/>
        <v>346328.89668116986</v>
      </c>
      <c r="AT12" s="72">
        <f t="shared" si="24"/>
        <v>42840.324767777296</v>
      </c>
      <c r="AU12" s="78">
        <f t="shared" si="47"/>
        <v>3979.9632820305924</v>
      </c>
      <c r="AV12" s="79">
        <f t="shared" si="26"/>
        <v>7.3116667291334175E-2</v>
      </c>
      <c r="AW12" s="80">
        <f t="shared" si="27"/>
        <v>1210.1502922433619</v>
      </c>
      <c r="AX12" s="81">
        <f t="shared" si="28"/>
        <v>2769.81298978723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2 NO'S</v>
      </c>
      <c r="D13" s="131" t="str">
        <f>Pricing!B9</f>
        <v>FG</v>
      </c>
      <c r="E13" s="132" t="str">
        <f>Pricing!N9</f>
        <v>8MM</v>
      </c>
      <c r="F13" s="68">
        <f>Pricing!G9</f>
        <v>3658</v>
      </c>
      <c r="G13" s="68">
        <f>Pricing!H9</f>
        <v>1448</v>
      </c>
      <c r="H13" s="100">
        <f t="shared" si="0"/>
        <v>5.2967839999999997</v>
      </c>
      <c r="I13" s="70">
        <f>Pricing!I9</f>
        <v>1</v>
      </c>
      <c r="J13" s="69">
        <f t="shared" si="30"/>
        <v>5.2967839999999997</v>
      </c>
      <c r="K13" s="71">
        <f t="shared" si="31"/>
        <v>57.014582975999993</v>
      </c>
      <c r="L13" s="69"/>
      <c r="M13" s="72"/>
      <c r="N13" s="72"/>
      <c r="O13" s="72">
        <f t="shared" si="3"/>
        <v>0</v>
      </c>
      <c r="P13" s="73">
        <f>Pricing!M9</f>
        <v>14972.369999999999</v>
      </c>
      <c r="Q13" s="74">
        <f t="shared" si="32"/>
        <v>1497.2370000000001</v>
      </c>
      <c r="R13" s="74">
        <f t="shared" si="33"/>
        <v>1811.6567700000001</v>
      </c>
      <c r="S13" s="74">
        <f t="shared" si="34"/>
        <v>91.406318850000005</v>
      </c>
      <c r="T13" s="74">
        <f t="shared" si="35"/>
        <v>183.72670088850003</v>
      </c>
      <c r="U13" s="72">
        <f t="shared" si="36"/>
        <v>18556.396789738501</v>
      </c>
      <c r="V13" s="74">
        <f t="shared" si="37"/>
        <v>278.34595184607753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7002.3484479999997</v>
      </c>
      <c r="AE13" s="76">
        <f t="shared" si="43"/>
        <v>837.04918032786895</v>
      </c>
      <c r="AF13" s="346">
        <f t="shared" si="44"/>
        <v>857.80800000000011</v>
      </c>
      <c r="AG13" s="347"/>
      <c r="AH13" s="76">
        <f t="shared" si="45"/>
        <v>30.635999999999999</v>
      </c>
      <c r="AI13" s="76">
        <f t="shared" si="15"/>
        <v>102.12</v>
      </c>
      <c r="AJ13" s="76">
        <f>J13*Pricing!Q9</f>
        <v>0</v>
      </c>
      <c r="AK13" s="76">
        <f>J13*Pricing!R9</f>
        <v>0</v>
      </c>
      <c r="AL13" s="76">
        <f t="shared" si="16"/>
        <v>5701.4582975999992</v>
      </c>
      <c r="AM13" s="77">
        <f t="shared" si="17"/>
        <v>0</v>
      </c>
      <c r="AN13" s="76">
        <f t="shared" si="18"/>
        <v>4561.1666380799988</v>
      </c>
      <c r="AO13" s="72">
        <f t="shared" si="19"/>
        <v>20662.355921912447</v>
      </c>
      <c r="AP13" s="74">
        <f t="shared" si="20"/>
        <v>25827.944902390558</v>
      </c>
      <c r="AQ13" s="74">
        <f t="shared" si="46"/>
        <v>0</v>
      </c>
      <c r="AR13" s="74">
        <f t="shared" si="22"/>
        <v>8777.0807388602225</v>
      </c>
      <c r="AS13" s="72">
        <f t="shared" si="23"/>
        <v>63755.274207982999</v>
      </c>
      <c r="AT13" s="72">
        <f t="shared" si="24"/>
        <v>12036.600738860221</v>
      </c>
      <c r="AU13" s="78">
        <f t="shared" si="47"/>
        <v>1118.2274933909534</v>
      </c>
      <c r="AV13" s="79">
        <f t="shared" si="26"/>
        <v>4.790630508500085E-2</v>
      </c>
      <c r="AW13" s="80">
        <f t="shared" si="27"/>
        <v>330.34956599635166</v>
      </c>
      <c r="AX13" s="81">
        <f t="shared" si="28"/>
        <v>787.8779273946019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KW</v>
      </c>
      <c r="E14" s="132" t="str">
        <f>Pricing!N10</f>
        <v>8MM</v>
      </c>
      <c r="F14" s="68">
        <f>Pricing!G10</f>
        <v>1220</v>
      </c>
      <c r="G14" s="68">
        <f>Pricing!H10</f>
        <v>1144</v>
      </c>
      <c r="H14" s="100">
        <f t="shared" si="0"/>
        <v>1.39568</v>
      </c>
      <c r="I14" s="70">
        <f>Pricing!I10</f>
        <v>1</v>
      </c>
      <c r="J14" s="69">
        <f t="shared" si="30"/>
        <v>1.39568</v>
      </c>
      <c r="K14" s="71">
        <f t="shared" si="31"/>
        <v>15.023099519999999</v>
      </c>
      <c r="L14" s="69"/>
      <c r="M14" s="72"/>
      <c r="N14" s="72"/>
      <c r="O14" s="72">
        <f t="shared" si="3"/>
        <v>0</v>
      </c>
      <c r="P14" s="73">
        <f>Pricing!M10</f>
        <v>8631.17</v>
      </c>
      <c r="Q14" s="74">
        <f t="shared" si="32"/>
        <v>863.11700000000008</v>
      </c>
      <c r="R14" s="74">
        <f t="shared" si="33"/>
        <v>1044.37157</v>
      </c>
      <c r="S14" s="74">
        <f t="shared" si="34"/>
        <v>52.693292849999999</v>
      </c>
      <c r="T14" s="74">
        <f t="shared" si="35"/>
        <v>105.91351862849999</v>
      </c>
      <c r="U14" s="72">
        <f t="shared" si="36"/>
        <v>10697.265381478499</v>
      </c>
      <c r="V14" s="74">
        <f t="shared" si="37"/>
        <v>160.45898072217747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1845.08896</v>
      </c>
      <c r="AE14" s="76">
        <f t="shared" si="43"/>
        <v>387.5409836065574</v>
      </c>
      <c r="AF14" s="346">
        <f t="shared" si="44"/>
        <v>397.15199999999999</v>
      </c>
      <c r="AG14" s="347"/>
      <c r="AH14" s="76">
        <f t="shared" si="45"/>
        <v>14.183999999999999</v>
      </c>
      <c r="AI14" s="76">
        <f t="shared" si="15"/>
        <v>47.28</v>
      </c>
      <c r="AJ14" s="76">
        <f>J14*Pricing!Q10</f>
        <v>751.15497599999992</v>
      </c>
      <c r="AK14" s="76">
        <f>J14*Pricing!R10</f>
        <v>0</v>
      </c>
      <c r="AL14" s="76">
        <f t="shared" si="16"/>
        <v>1502.3099519999998</v>
      </c>
      <c r="AM14" s="77">
        <f t="shared" si="17"/>
        <v>0</v>
      </c>
      <c r="AN14" s="76">
        <f t="shared" si="18"/>
        <v>1201.8479616</v>
      </c>
      <c r="AO14" s="72">
        <f t="shared" si="19"/>
        <v>11703.881345807236</v>
      </c>
      <c r="AP14" s="74">
        <f t="shared" si="20"/>
        <v>14629.851682259046</v>
      </c>
      <c r="AQ14" s="74">
        <f t="shared" si="46"/>
        <v>0</v>
      </c>
      <c r="AR14" s="74">
        <f t="shared" si="22"/>
        <v>18868.030657504787</v>
      </c>
      <c r="AS14" s="72">
        <f t="shared" si="23"/>
        <v>31634.134877666285</v>
      </c>
      <c r="AT14" s="72">
        <f t="shared" si="24"/>
        <v>22665.750657504788</v>
      </c>
      <c r="AU14" s="78">
        <f t="shared" si="47"/>
        <v>2105.6996151528047</v>
      </c>
      <c r="AV14" s="79">
        <f t="shared" si="26"/>
        <v>1.2623107130861668E-2</v>
      </c>
      <c r="AW14" s="80">
        <f t="shared" si="27"/>
        <v>722.73530157648042</v>
      </c>
      <c r="AX14" s="81">
        <f t="shared" si="28"/>
        <v>1382.9643135763245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TOP HUNG WINDOW</v>
      </c>
      <c r="D15" s="131" t="str">
        <f>Pricing!B11</f>
        <v>KW1</v>
      </c>
      <c r="E15" s="132" t="str">
        <f>Pricing!N11</f>
        <v>8MM</v>
      </c>
      <c r="F15" s="68">
        <f>Pricing!G11</f>
        <v>610</v>
      </c>
      <c r="G15" s="68">
        <f>Pricing!H11</f>
        <v>1144</v>
      </c>
      <c r="H15" s="100">
        <f t="shared" si="0"/>
        <v>0.69784000000000002</v>
      </c>
      <c r="I15" s="70">
        <f>Pricing!I11</f>
        <v>2</v>
      </c>
      <c r="J15" s="69">
        <f t="shared" si="30"/>
        <v>1.39568</v>
      </c>
      <c r="K15" s="71">
        <f t="shared" si="31"/>
        <v>15.023099519999999</v>
      </c>
      <c r="L15" s="69"/>
      <c r="M15" s="72"/>
      <c r="N15" s="72"/>
      <c r="O15" s="72">
        <f t="shared" si="3"/>
        <v>0</v>
      </c>
      <c r="P15" s="73">
        <f>Pricing!M11</f>
        <v>26747.579999999998</v>
      </c>
      <c r="Q15" s="74">
        <f t="shared" si="4"/>
        <v>2674.7579999999998</v>
      </c>
      <c r="R15" s="74">
        <f t="shared" si="5"/>
        <v>3236.4571799999994</v>
      </c>
      <c r="S15" s="74">
        <f t="shared" si="6"/>
        <v>163.29397589999996</v>
      </c>
      <c r="T15" s="74">
        <f t="shared" si="7"/>
        <v>328.22089155899994</v>
      </c>
      <c r="U15" s="72">
        <f t="shared" si="8"/>
        <v>33150.310047458996</v>
      </c>
      <c r="V15" s="74">
        <f t="shared" si="9"/>
        <v>497.25465071188489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1845.08896</v>
      </c>
      <c r="AE15" s="76">
        <f t="shared" si="43"/>
        <v>575.08196721311481</v>
      </c>
      <c r="AF15" s="346">
        <f t="shared" si="44"/>
        <v>589.34400000000005</v>
      </c>
      <c r="AG15" s="347"/>
      <c r="AH15" s="76">
        <f t="shared" si="45"/>
        <v>21.048000000000002</v>
      </c>
      <c r="AI15" s="76">
        <f t="shared" ref="AI15:AI20" si="49">(((F15+G15)*2*I15)/1000)*2*$AI$7</f>
        <v>70.16</v>
      </c>
      <c r="AJ15" s="76">
        <f>J15*Pricing!Q11</f>
        <v>0</v>
      </c>
      <c r="AK15" s="76">
        <f>J15*Pricing!R11</f>
        <v>0</v>
      </c>
      <c r="AL15" s="76">
        <f t="shared" si="16"/>
        <v>1502.3099519999998</v>
      </c>
      <c r="AM15" s="77">
        <f t="shared" si="17"/>
        <v>0</v>
      </c>
      <c r="AN15" s="76">
        <f t="shared" si="18"/>
        <v>1201.8479616</v>
      </c>
      <c r="AO15" s="72">
        <f t="shared" si="19"/>
        <v>34903.198665383992</v>
      </c>
      <c r="AP15" s="74">
        <f t="shared" si="20"/>
        <v>43628.998331729992</v>
      </c>
      <c r="AQ15" s="74">
        <f t="shared" si="21"/>
        <v>0</v>
      </c>
      <c r="AR15" s="74">
        <f t="shared" si="22"/>
        <v>56268.053563219357</v>
      </c>
      <c r="AS15" s="72">
        <f t="shared" si="23"/>
        <v>83081.443870713978</v>
      </c>
      <c r="AT15" s="72">
        <f t="shared" si="24"/>
        <v>59527.573563219346</v>
      </c>
      <c r="AU15" s="78">
        <f t="shared" si="25"/>
        <v>5530.2465220382155</v>
      </c>
      <c r="AV15" s="79">
        <f t="shared" si="26"/>
        <v>1.2623107130861668E-2</v>
      </c>
      <c r="AW15" s="80">
        <f t="shared" si="27"/>
        <v>2239.7218798541835</v>
      </c>
      <c r="AX15" s="81">
        <f t="shared" si="28"/>
        <v>3290.5246421840325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V</v>
      </c>
      <c r="E16" s="132" t="str">
        <f>Pricing!N12</f>
        <v>8MM (F)</v>
      </c>
      <c r="F16" s="68">
        <f>Pricing!G12</f>
        <v>916</v>
      </c>
      <c r="G16" s="68">
        <f>Pricing!H12</f>
        <v>610</v>
      </c>
      <c r="H16" s="100">
        <f t="shared" si="0"/>
        <v>0.55876000000000003</v>
      </c>
      <c r="I16" s="70">
        <f>Pricing!I12</f>
        <v>2</v>
      </c>
      <c r="J16" s="69">
        <f t="shared" si="30"/>
        <v>1.1175200000000001</v>
      </c>
      <c r="K16" s="71">
        <f t="shared" si="31"/>
        <v>12.028985280000001</v>
      </c>
      <c r="L16" s="69"/>
      <c r="M16" s="72"/>
      <c r="N16" s="72"/>
      <c r="O16" s="72">
        <f t="shared" si="3"/>
        <v>0</v>
      </c>
      <c r="P16" s="73">
        <f>Pricing!M12</f>
        <v>22770.219999999998</v>
      </c>
      <c r="Q16" s="74">
        <f t="shared" si="4"/>
        <v>2277.0219999999999</v>
      </c>
      <c r="R16" s="74">
        <f t="shared" si="5"/>
        <v>2755.1966199999997</v>
      </c>
      <c r="S16" s="74">
        <f t="shared" si="6"/>
        <v>139.01219309999999</v>
      </c>
      <c r="T16" s="74">
        <f t="shared" si="7"/>
        <v>279.41450813099999</v>
      </c>
      <c r="U16" s="72">
        <f t="shared" si="8"/>
        <v>28220.865321230998</v>
      </c>
      <c r="V16" s="74">
        <f t="shared" si="9"/>
        <v>423.31297981846495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2597.1164800000001</v>
      </c>
      <c r="AE16" s="76">
        <f t="shared" si="43"/>
        <v>500.32786885245901</v>
      </c>
      <c r="AF16" s="346">
        <f t="shared" si="44"/>
        <v>512.7360000000001</v>
      </c>
      <c r="AG16" s="347"/>
      <c r="AH16" s="76">
        <f t="shared" si="45"/>
        <v>18.312000000000001</v>
      </c>
      <c r="AI16" s="76">
        <f t="shared" si="49"/>
        <v>61.04</v>
      </c>
      <c r="AJ16" s="76">
        <f>J16*Pricing!Q12</f>
        <v>0</v>
      </c>
      <c r="AK16" s="76">
        <f>J16*Pricing!R12</f>
        <v>0</v>
      </c>
      <c r="AL16" s="76">
        <f t="shared" si="16"/>
        <v>1202.8985279999999</v>
      </c>
      <c r="AM16" s="77">
        <f t="shared" si="17"/>
        <v>0</v>
      </c>
      <c r="AN16" s="76">
        <f t="shared" si="18"/>
        <v>962.31882239999993</v>
      </c>
      <c r="AO16" s="72">
        <f t="shared" si="19"/>
        <v>29736.59416990192</v>
      </c>
      <c r="AP16" s="74">
        <f t="shared" si="20"/>
        <v>37170.742712377403</v>
      </c>
      <c r="AQ16" s="74">
        <f t="shared" si="21"/>
        <v>0</v>
      </c>
      <c r="AR16" s="74">
        <f t="shared" si="22"/>
        <v>59871.265733301705</v>
      </c>
      <c r="AS16" s="72">
        <f t="shared" si="23"/>
        <v>71669.670712679319</v>
      </c>
      <c r="AT16" s="72">
        <f t="shared" si="24"/>
        <v>64132.785733301702</v>
      </c>
      <c r="AU16" s="78">
        <f t="shared" si="25"/>
        <v>5958.0811718043205</v>
      </c>
      <c r="AV16" s="79">
        <f t="shared" si="26"/>
        <v>1.0107313052333295E-2</v>
      </c>
      <c r="AW16" s="80">
        <f t="shared" si="27"/>
        <v>2381.2630603742382</v>
      </c>
      <c r="AX16" s="81">
        <f t="shared" si="28"/>
        <v>3576.8181114300824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TOP HUNG WINDOW</v>
      </c>
      <c r="D17" s="131" t="str">
        <f>Pricing!B13</f>
        <v>V1</v>
      </c>
      <c r="E17" s="132" t="str">
        <f>Pricing!N13</f>
        <v>8MM (F)</v>
      </c>
      <c r="F17" s="68">
        <f>Pricing!G13</f>
        <v>610</v>
      </c>
      <c r="G17" s="68">
        <f>Pricing!H13</f>
        <v>610</v>
      </c>
      <c r="H17" s="100">
        <f t="shared" si="0"/>
        <v>0.37209999999999999</v>
      </c>
      <c r="I17" s="70">
        <f>Pricing!I13</f>
        <v>3</v>
      </c>
      <c r="J17" s="69">
        <f t="shared" si="30"/>
        <v>1.1162999999999998</v>
      </c>
      <c r="K17" s="71">
        <f t="shared" si="31"/>
        <v>12.015853199999997</v>
      </c>
      <c r="L17" s="69"/>
      <c r="M17" s="72"/>
      <c r="N17" s="72"/>
      <c r="O17" s="72">
        <f t="shared" si="3"/>
        <v>0</v>
      </c>
      <c r="P17" s="73">
        <f>Pricing!M13</f>
        <v>31105.079999999998</v>
      </c>
      <c r="Q17" s="74">
        <f t="shared" si="4"/>
        <v>3110.5079999999998</v>
      </c>
      <c r="R17" s="74">
        <f t="shared" si="5"/>
        <v>3763.7146799999996</v>
      </c>
      <c r="S17" s="74">
        <f t="shared" si="6"/>
        <v>189.89651339999998</v>
      </c>
      <c r="T17" s="74">
        <f t="shared" si="7"/>
        <v>381.69199193399999</v>
      </c>
      <c r="U17" s="72">
        <f t="shared" si="8"/>
        <v>38550.891185333996</v>
      </c>
      <c r="V17" s="74">
        <f t="shared" si="9"/>
        <v>578.26336778000996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2594.2811999999994</v>
      </c>
      <c r="AE17" s="76">
        <f t="shared" si="43"/>
        <v>600</v>
      </c>
      <c r="AF17" s="346">
        <f t="shared" si="44"/>
        <v>614.88</v>
      </c>
      <c r="AG17" s="347"/>
      <c r="AH17" s="76">
        <f t="shared" si="45"/>
        <v>21.96</v>
      </c>
      <c r="AI17" s="76">
        <f t="shared" si="49"/>
        <v>73.2</v>
      </c>
      <c r="AJ17" s="76">
        <f>J17*Pricing!Q13</f>
        <v>0</v>
      </c>
      <c r="AK17" s="76">
        <f>J17*Pricing!R13</f>
        <v>0</v>
      </c>
      <c r="AL17" s="76">
        <f t="shared" si="16"/>
        <v>1201.5853199999997</v>
      </c>
      <c r="AM17" s="77">
        <f t="shared" si="17"/>
        <v>0</v>
      </c>
      <c r="AN17" s="76">
        <f t="shared" si="18"/>
        <v>961.26825599999972</v>
      </c>
      <c r="AO17" s="72">
        <f t="shared" si="19"/>
        <v>40439.194553114008</v>
      </c>
      <c r="AP17" s="74">
        <f t="shared" si="20"/>
        <v>50548.99319139251</v>
      </c>
      <c r="AQ17" s="74">
        <f t="shared" si="21"/>
        <v>0</v>
      </c>
      <c r="AR17" s="74">
        <f t="shared" si="22"/>
        <v>81508.723232559816</v>
      </c>
      <c r="AS17" s="72">
        <f t="shared" si="23"/>
        <v>95745.32252050651</v>
      </c>
      <c r="AT17" s="72">
        <f t="shared" si="24"/>
        <v>85770.24323255982</v>
      </c>
      <c r="AU17" s="78">
        <f t="shared" si="25"/>
        <v>7968.250021605335</v>
      </c>
      <c r="AV17" s="79">
        <f t="shared" si="26"/>
        <v>1.0096278867778342E-2</v>
      </c>
      <c r="AW17" s="80">
        <f t="shared" si="27"/>
        <v>3256.4607691041047</v>
      </c>
      <c r="AX17" s="81">
        <f t="shared" si="28"/>
        <v>4711.7892525012312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TOP HUNG WINDOW</v>
      </c>
      <c r="D18" s="131" t="str">
        <f>Pricing!B14</f>
        <v>W6</v>
      </c>
      <c r="E18" s="132" t="str">
        <f>Pricing!N14</f>
        <v>8MM</v>
      </c>
      <c r="F18" s="68">
        <f>Pricing!G14</f>
        <v>610</v>
      </c>
      <c r="G18" s="68">
        <f>Pricing!H14</f>
        <v>1448</v>
      </c>
      <c r="H18" s="100">
        <f t="shared" si="0"/>
        <v>0.88327999999999995</v>
      </c>
      <c r="I18" s="70">
        <f>Pricing!I14</f>
        <v>1</v>
      </c>
      <c r="J18" s="69">
        <f t="shared" si="30"/>
        <v>0.88327999999999995</v>
      </c>
      <c r="K18" s="71">
        <f t="shared" si="31"/>
        <v>9.5076259199999988</v>
      </c>
      <c r="L18" s="69"/>
      <c r="M18" s="72"/>
      <c r="N18" s="72"/>
      <c r="O18" s="72">
        <f t="shared" si="3"/>
        <v>0</v>
      </c>
      <c r="P18" s="73">
        <f>Pricing!M14</f>
        <v>14371.45</v>
      </c>
      <c r="Q18" s="74">
        <f t="shared" si="4"/>
        <v>1437.1450000000002</v>
      </c>
      <c r="R18" s="74">
        <f t="shared" si="5"/>
        <v>1738.9454500000002</v>
      </c>
      <c r="S18" s="74">
        <f t="shared" si="6"/>
        <v>87.737702249999998</v>
      </c>
      <c r="T18" s="74">
        <f t="shared" si="7"/>
        <v>176.35278152250001</v>
      </c>
      <c r="U18" s="72">
        <f t="shared" si="8"/>
        <v>17811.6309337725</v>
      </c>
      <c r="V18" s="74">
        <f t="shared" si="9"/>
        <v>267.17446400658747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1167.69616</v>
      </c>
      <c r="AE18" s="76">
        <f t="shared" si="43"/>
        <v>337.37704918032784</v>
      </c>
      <c r="AF18" s="346">
        <f t="shared" si="44"/>
        <v>345.74399999999997</v>
      </c>
      <c r="AG18" s="347"/>
      <c r="AH18" s="76">
        <f t="shared" si="45"/>
        <v>12.347999999999999</v>
      </c>
      <c r="AI18" s="76">
        <f t="shared" si="49"/>
        <v>41.16</v>
      </c>
      <c r="AJ18" s="76">
        <f>J18*Pricing!Q14</f>
        <v>0</v>
      </c>
      <c r="AK18" s="76">
        <f>J18*Pricing!R14</f>
        <v>0</v>
      </c>
      <c r="AL18" s="76">
        <f t="shared" si="16"/>
        <v>950.76259199999981</v>
      </c>
      <c r="AM18" s="77">
        <f t="shared" si="17"/>
        <v>0</v>
      </c>
      <c r="AN18" s="76">
        <f t="shared" si="18"/>
        <v>760.61007359999985</v>
      </c>
      <c r="AO18" s="72">
        <f t="shared" si="19"/>
        <v>18815.434446959414</v>
      </c>
      <c r="AP18" s="74">
        <f t="shared" si="20"/>
        <v>23519.293058699266</v>
      </c>
      <c r="AQ18" s="74">
        <f t="shared" si="21"/>
        <v>0</v>
      </c>
      <c r="AR18" s="74">
        <f t="shared" si="22"/>
        <v>47929.0004366211</v>
      </c>
      <c r="AS18" s="72">
        <f t="shared" si="23"/>
        <v>45213.79633125868</v>
      </c>
      <c r="AT18" s="72">
        <f t="shared" si="24"/>
        <v>51188.520436621096</v>
      </c>
      <c r="AU18" s="78">
        <f t="shared" si="25"/>
        <v>4755.5295834839371</v>
      </c>
      <c r="AV18" s="79">
        <f t="shared" si="26"/>
        <v>7.9887496177830832E-3</v>
      </c>
      <c r="AW18" s="80">
        <f t="shared" si="27"/>
        <v>1901.5057544227707</v>
      </c>
      <c r="AX18" s="81">
        <f t="shared" si="28"/>
        <v>2854.0238290611669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W2</v>
      </c>
      <c r="E19" s="132" t="str">
        <f>Pricing!N15</f>
        <v>8MM</v>
      </c>
      <c r="F19" s="68">
        <f>Pricing!G15</f>
        <v>1524</v>
      </c>
      <c r="G19" s="68">
        <f>Pricing!H15</f>
        <v>1448</v>
      </c>
      <c r="H19" s="100">
        <f t="shared" si="0"/>
        <v>2.2067519999999998</v>
      </c>
      <c r="I19" s="70">
        <f>Pricing!I15</f>
        <v>3</v>
      </c>
      <c r="J19" s="69">
        <f t="shared" si="30"/>
        <v>6.6202559999999995</v>
      </c>
      <c r="K19" s="71">
        <f t="shared" si="31"/>
        <v>71.260435583999993</v>
      </c>
      <c r="L19" s="69"/>
      <c r="M19" s="72"/>
      <c r="N19" s="72"/>
      <c r="O19" s="72">
        <f t="shared" si="3"/>
        <v>0</v>
      </c>
      <c r="P19" s="73">
        <f>Pricing!M15</f>
        <v>32130.959999999999</v>
      </c>
      <c r="Q19" s="74">
        <f t="shared" si="4"/>
        <v>3213.096</v>
      </c>
      <c r="R19" s="74">
        <f t="shared" si="5"/>
        <v>3887.8461599999996</v>
      </c>
      <c r="S19" s="74">
        <f t="shared" si="6"/>
        <v>196.15951079999999</v>
      </c>
      <c r="T19" s="74">
        <f t="shared" si="7"/>
        <v>394.28061670799997</v>
      </c>
      <c r="U19" s="72">
        <f t="shared" si="8"/>
        <v>39822.342287507992</v>
      </c>
      <c r="V19" s="74">
        <f t="shared" si="9"/>
        <v>597.33513431261986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8751.9784319999999</v>
      </c>
      <c r="AE19" s="76">
        <f t="shared" si="43"/>
        <v>1461.639344262295</v>
      </c>
      <c r="AF19" s="346">
        <f t="shared" si="44"/>
        <v>1497.8879999999999</v>
      </c>
      <c r="AG19" s="347"/>
      <c r="AH19" s="76">
        <f t="shared" si="45"/>
        <v>53.496000000000002</v>
      </c>
      <c r="AI19" s="76">
        <f t="shared" si="49"/>
        <v>178.32</v>
      </c>
      <c r="AJ19" s="76">
        <f>J19*Pricing!Q15</f>
        <v>3563.0217791999994</v>
      </c>
      <c r="AK19" s="76">
        <f>J19*Pricing!R15</f>
        <v>0</v>
      </c>
      <c r="AL19" s="76">
        <f t="shared" si="16"/>
        <v>7126.0435583999988</v>
      </c>
      <c r="AM19" s="77">
        <f t="shared" si="17"/>
        <v>0</v>
      </c>
      <c r="AN19" s="76">
        <f t="shared" si="18"/>
        <v>5700.8348467199985</v>
      </c>
      <c r="AO19" s="72">
        <f t="shared" si="19"/>
        <v>43611.020766082904</v>
      </c>
      <c r="AP19" s="74">
        <f t="shared" si="20"/>
        <v>54513.775957603633</v>
      </c>
      <c r="AQ19" s="74">
        <f t="shared" si="21"/>
        <v>0</v>
      </c>
      <c r="AR19" s="74">
        <f t="shared" si="22"/>
        <v>14821.903673164081</v>
      </c>
      <c r="AS19" s="72">
        <f t="shared" si="23"/>
        <v>123266.67534000654</v>
      </c>
      <c r="AT19" s="72">
        <f t="shared" si="24"/>
        <v>18619.623673164082</v>
      </c>
      <c r="AU19" s="78">
        <f t="shared" si="25"/>
        <v>1729.8052464849575</v>
      </c>
      <c r="AV19" s="79">
        <f t="shared" si="26"/>
        <v>5.9876333200826651E-2</v>
      </c>
      <c r="AW19" s="80">
        <f t="shared" si="27"/>
        <v>567.21064207045049</v>
      </c>
      <c r="AX19" s="81">
        <f t="shared" si="28"/>
        <v>1162.5946044145069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W3</v>
      </c>
      <c r="E20" s="132" t="str">
        <f>Pricing!N16</f>
        <v>8MM</v>
      </c>
      <c r="F20" s="68">
        <f>Pricing!G16</f>
        <v>1220</v>
      </c>
      <c r="G20" s="68">
        <f>Pricing!H16</f>
        <v>1754</v>
      </c>
      <c r="H20" s="100">
        <f t="shared" si="0"/>
        <v>2.1398799999999998</v>
      </c>
      <c r="I20" s="70">
        <f>Pricing!I16</f>
        <v>3</v>
      </c>
      <c r="J20" s="69">
        <f t="shared" si="30"/>
        <v>6.4196399999999993</v>
      </c>
      <c r="K20" s="71">
        <f t="shared" si="31"/>
        <v>69.101004959999983</v>
      </c>
      <c r="L20" s="69"/>
      <c r="M20" s="72"/>
      <c r="N20" s="72"/>
      <c r="O20" s="72">
        <f t="shared" si="3"/>
        <v>0</v>
      </c>
      <c r="P20" s="73">
        <f>Pricing!M16</f>
        <v>33488.01</v>
      </c>
      <c r="Q20" s="74">
        <f t="shared" si="4"/>
        <v>3348.8010000000004</v>
      </c>
      <c r="R20" s="74">
        <f t="shared" si="5"/>
        <v>4052.0492100000001</v>
      </c>
      <c r="S20" s="74">
        <f t="shared" si="6"/>
        <v>204.44430105000001</v>
      </c>
      <c r="T20" s="74">
        <f t="shared" si="7"/>
        <v>410.93304511050002</v>
      </c>
      <c r="U20" s="72">
        <f t="shared" si="8"/>
        <v>41504.2375561605</v>
      </c>
      <c r="V20" s="74">
        <f t="shared" si="9"/>
        <v>622.56356334240752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8486.764079999999</v>
      </c>
      <c r="AE20" s="76">
        <f t="shared" si="43"/>
        <v>1462.622950819672</v>
      </c>
      <c r="AF20" s="346">
        <f t="shared" si="44"/>
        <v>1498.896</v>
      </c>
      <c r="AG20" s="347"/>
      <c r="AH20" s="76">
        <f t="shared" si="45"/>
        <v>53.532000000000004</v>
      </c>
      <c r="AI20" s="76">
        <f t="shared" si="49"/>
        <v>178.44</v>
      </c>
      <c r="AJ20" s="76">
        <f>J20*Pricing!Q16</f>
        <v>3455.0502479999991</v>
      </c>
      <c r="AK20" s="76">
        <f>J20*Pricing!R16</f>
        <v>0</v>
      </c>
      <c r="AL20" s="76">
        <f t="shared" si="16"/>
        <v>6910.1004959999982</v>
      </c>
      <c r="AM20" s="77">
        <f t="shared" si="17"/>
        <v>0</v>
      </c>
      <c r="AN20" s="76">
        <f t="shared" si="18"/>
        <v>5528.0803967999991</v>
      </c>
      <c r="AO20" s="72">
        <f t="shared" si="19"/>
        <v>45320.292070322583</v>
      </c>
      <c r="AP20" s="74">
        <f t="shared" si="20"/>
        <v>56650.365087903228</v>
      </c>
      <c r="AQ20" s="74">
        <f t="shared" si="21"/>
        <v>0</v>
      </c>
      <c r="AR20" s="74">
        <f t="shared" si="22"/>
        <v>15884.170632344776</v>
      </c>
      <c r="AS20" s="72">
        <f t="shared" si="23"/>
        <v>126350.65237902579</v>
      </c>
      <c r="AT20" s="72">
        <f t="shared" si="24"/>
        <v>19681.890632344774</v>
      </c>
      <c r="AU20" s="78">
        <f t="shared" si="25"/>
        <v>1828.4922549558505</v>
      </c>
      <c r="AV20" s="79">
        <f t="shared" si="26"/>
        <v>5.8061879128141682E-2</v>
      </c>
      <c r="AW20" s="80">
        <f t="shared" si="27"/>
        <v>609.64093277498</v>
      </c>
      <c r="AX20" s="81">
        <f t="shared" si="28"/>
        <v>1218.851322180871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W4</v>
      </c>
      <c r="E21" s="132" t="str">
        <f>Pricing!N17</f>
        <v>8MM</v>
      </c>
      <c r="F21" s="68">
        <f>Pricing!G17</f>
        <v>1220</v>
      </c>
      <c r="G21" s="68">
        <f>Pricing!H17</f>
        <v>1448</v>
      </c>
      <c r="H21" s="100">
        <f t="shared" si="0"/>
        <v>1.7665599999999999</v>
      </c>
      <c r="I21" s="70">
        <f>Pricing!I17</f>
        <v>1</v>
      </c>
      <c r="J21" s="69">
        <f t="shared" si="30"/>
        <v>1.7665599999999999</v>
      </c>
      <c r="K21" s="71">
        <f t="shared" si="31"/>
        <v>19.015251839999998</v>
      </c>
      <c r="L21" s="69"/>
      <c r="M21" s="72"/>
      <c r="N21" s="72"/>
      <c r="O21" s="72">
        <f t="shared" si="3"/>
        <v>0</v>
      </c>
      <c r="P21" s="73">
        <f>Pricing!M17</f>
        <v>10078.69</v>
      </c>
      <c r="Q21" s="74">
        <f t="shared" ref="Q21:Q26" si="50">P21*$Q$6</f>
        <v>1007.8690000000001</v>
      </c>
      <c r="R21" s="74">
        <f t="shared" ref="R21:R26" si="51">(P21+Q21)*$R$6</f>
        <v>1219.5214900000001</v>
      </c>
      <c r="S21" s="74">
        <f t="shared" ref="S21:S26" si="52">(P21+Q21+R21)*$S$6</f>
        <v>61.530402450000004</v>
      </c>
      <c r="T21" s="74">
        <f t="shared" ref="T21:T26" si="53">(P21+Q21+R21+S21)*$T$6</f>
        <v>123.67610892450001</v>
      </c>
      <c r="U21" s="72">
        <f t="shared" ref="U21:U26" si="54">SUM(P21:T21)</f>
        <v>12491.2870013745</v>
      </c>
      <c r="V21" s="74">
        <f t="shared" ref="V21:V26" si="55">U21*$V$6</f>
        <v>187.36930502061747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2335.3923199999999</v>
      </c>
      <c r="AE21" s="76">
        <f t="shared" si="43"/>
        <v>437.37704918032784</v>
      </c>
      <c r="AF21" s="346">
        <f t="shared" si="44"/>
        <v>448.2240000000001</v>
      </c>
      <c r="AG21" s="347"/>
      <c r="AH21" s="76">
        <f t="shared" si="45"/>
        <v>16.008000000000003</v>
      </c>
      <c r="AI21" s="76">
        <f t="shared" si="15"/>
        <v>53.36</v>
      </c>
      <c r="AJ21" s="76">
        <f>J21*Pricing!Q17</f>
        <v>950.76259199999981</v>
      </c>
      <c r="AK21" s="76">
        <f>J21*Pricing!R17</f>
        <v>0</v>
      </c>
      <c r="AL21" s="76">
        <f t="shared" si="16"/>
        <v>1901.5251839999996</v>
      </c>
      <c r="AM21" s="77">
        <f t="shared" si="17"/>
        <v>0</v>
      </c>
      <c r="AN21" s="76">
        <f t="shared" si="18"/>
        <v>1521.2201471999997</v>
      </c>
      <c r="AO21" s="72">
        <f t="shared" si="19"/>
        <v>13633.625355575445</v>
      </c>
      <c r="AP21" s="74">
        <f t="shared" si="20"/>
        <v>17042.031694469304</v>
      </c>
      <c r="AQ21" s="74">
        <f t="shared" ref="AQ21:AQ26" si="61">(AO21+AP21)*$AQ$6</f>
        <v>0</v>
      </c>
      <c r="AR21" s="74">
        <f t="shared" si="22"/>
        <v>17364.62789265281</v>
      </c>
      <c r="AS21" s="72">
        <f t="shared" si="23"/>
        <v>37384.557293244747</v>
      </c>
      <c r="AT21" s="72">
        <f t="shared" si="24"/>
        <v>21162.347892652811</v>
      </c>
      <c r="AU21" s="78">
        <f t="shared" ref="AU21:AU26" si="62">AT21/10.764</f>
        <v>1966.0300903616512</v>
      </c>
      <c r="AV21" s="79">
        <f t="shared" si="26"/>
        <v>1.5977499235566166E-2</v>
      </c>
      <c r="AW21" s="80">
        <f t="shared" si="27"/>
        <v>666.76247115090098</v>
      </c>
      <c r="AX21" s="81">
        <f t="shared" si="28"/>
        <v>1299.2676192107499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W5</v>
      </c>
      <c r="E22" s="132" t="str">
        <f>Pricing!N18</f>
        <v>8MM</v>
      </c>
      <c r="F22" s="68">
        <f>Pricing!G18</f>
        <v>1068</v>
      </c>
      <c r="G22" s="68">
        <f>Pricing!H18</f>
        <v>1448</v>
      </c>
      <c r="H22" s="100">
        <f t="shared" si="0"/>
        <v>1.5464640000000001</v>
      </c>
      <c r="I22" s="70">
        <f>Pricing!I18</f>
        <v>2</v>
      </c>
      <c r="J22" s="69">
        <f t="shared" si="30"/>
        <v>3.0929280000000001</v>
      </c>
      <c r="K22" s="71">
        <f t="shared" si="31"/>
        <v>33.292276991999998</v>
      </c>
      <c r="L22" s="69"/>
      <c r="M22" s="72"/>
      <c r="N22" s="72"/>
      <c r="O22" s="72">
        <f t="shared" si="3"/>
        <v>0</v>
      </c>
      <c r="P22" s="73">
        <f>Pricing!M18</f>
        <v>19526.579999999998</v>
      </c>
      <c r="Q22" s="74">
        <f t="shared" si="50"/>
        <v>1952.6579999999999</v>
      </c>
      <c r="R22" s="74">
        <f t="shared" si="51"/>
        <v>2362.7161799999999</v>
      </c>
      <c r="S22" s="74">
        <f t="shared" si="52"/>
        <v>119.20977089999998</v>
      </c>
      <c r="T22" s="74">
        <f t="shared" si="53"/>
        <v>239.61163950899999</v>
      </c>
      <c r="U22" s="72">
        <f t="shared" si="54"/>
        <v>24200.775590408997</v>
      </c>
      <c r="V22" s="74">
        <f t="shared" si="55"/>
        <v>363.01163385613495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4088.8508160000001</v>
      </c>
      <c r="AE22" s="76">
        <f t="shared" si="43"/>
        <v>824.91803278688531</v>
      </c>
      <c r="AF22" s="346">
        <f t="shared" si="44"/>
        <v>845.37599999999986</v>
      </c>
      <c r="AG22" s="347"/>
      <c r="AH22" s="76">
        <f t="shared" si="45"/>
        <v>30.192</v>
      </c>
      <c r="AI22" s="76">
        <f t="shared" si="15"/>
        <v>100.64</v>
      </c>
      <c r="AJ22" s="76">
        <f>J22*Pricing!Q18</f>
        <v>1664.6138495999999</v>
      </c>
      <c r="AK22" s="76">
        <f>J22*Pricing!R18</f>
        <v>0</v>
      </c>
      <c r="AL22" s="76">
        <f t="shared" si="16"/>
        <v>3329.2276991999997</v>
      </c>
      <c r="AM22" s="77">
        <f t="shared" si="17"/>
        <v>0</v>
      </c>
      <c r="AN22" s="76">
        <f t="shared" si="18"/>
        <v>2663.3821593599996</v>
      </c>
      <c r="AO22" s="72">
        <f t="shared" si="19"/>
        <v>26364.913257052016</v>
      </c>
      <c r="AP22" s="74">
        <f t="shared" si="20"/>
        <v>32956.14157131502</v>
      </c>
      <c r="AQ22" s="74">
        <f t="shared" si="61"/>
        <v>0</v>
      </c>
      <c r="AR22" s="74">
        <f t="shared" si="22"/>
        <v>19179.578324606016</v>
      </c>
      <c r="AS22" s="72">
        <f t="shared" si="23"/>
        <v>71067.129352527045</v>
      </c>
      <c r="AT22" s="72">
        <f t="shared" si="24"/>
        <v>22977.298324606018</v>
      </c>
      <c r="AU22" s="78">
        <f t="shared" si="62"/>
        <v>2134.6430996475306</v>
      </c>
      <c r="AV22" s="79">
        <f t="shared" si="26"/>
        <v>2.7973719973089617E-2</v>
      </c>
      <c r="AW22" s="80">
        <f t="shared" si="27"/>
        <v>737.82238535885404</v>
      </c>
      <c r="AX22" s="81">
        <f t="shared" si="28"/>
        <v>1396.8207142886765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</v>
      </c>
      <c r="D23" s="131" t="str">
        <f>Pricing!B19</f>
        <v>W6</v>
      </c>
      <c r="E23" s="132" t="str">
        <f>Pricing!N19</f>
        <v>8MM</v>
      </c>
      <c r="F23" s="68">
        <f>Pricing!G19</f>
        <v>610</v>
      </c>
      <c r="G23" s="68">
        <f>Pricing!H19</f>
        <v>1448</v>
      </c>
      <c r="H23" s="100">
        <f t="shared" si="0"/>
        <v>0.88327999999999995</v>
      </c>
      <c r="I23" s="70">
        <f>Pricing!I19</f>
        <v>2</v>
      </c>
      <c r="J23" s="69">
        <f t="shared" si="30"/>
        <v>1.7665599999999999</v>
      </c>
      <c r="K23" s="71">
        <f t="shared" si="31"/>
        <v>19.015251839999998</v>
      </c>
      <c r="L23" s="69"/>
      <c r="M23" s="72"/>
      <c r="N23" s="72"/>
      <c r="O23" s="72">
        <f t="shared" si="3"/>
        <v>0</v>
      </c>
      <c r="P23" s="73">
        <f>Pricing!M19</f>
        <v>28742.9</v>
      </c>
      <c r="Q23" s="74">
        <f t="shared" si="50"/>
        <v>2874.2900000000004</v>
      </c>
      <c r="R23" s="74">
        <f t="shared" si="51"/>
        <v>3477.8909000000003</v>
      </c>
      <c r="S23" s="74">
        <f t="shared" si="52"/>
        <v>175.4754045</v>
      </c>
      <c r="T23" s="74">
        <f t="shared" si="53"/>
        <v>352.70556304500002</v>
      </c>
      <c r="U23" s="72">
        <f t="shared" si="54"/>
        <v>35623.261867544999</v>
      </c>
      <c r="V23" s="74">
        <f t="shared" si="55"/>
        <v>534.34892801317494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2335.3923199999999</v>
      </c>
      <c r="AE23" s="76">
        <f t="shared" si="43"/>
        <v>674.75409836065569</v>
      </c>
      <c r="AF23" s="346">
        <f t="shared" si="44"/>
        <v>691.48799999999994</v>
      </c>
      <c r="AG23" s="347"/>
      <c r="AH23" s="76">
        <f t="shared" si="45"/>
        <v>24.695999999999998</v>
      </c>
      <c r="AI23" s="76">
        <f t="shared" si="15"/>
        <v>82.32</v>
      </c>
      <c r="AJ23" s="76">
        <f>J23*Pricing!Q19</f>
        <v>0</v>
      </c>
      <c r="AK23" s="76">
        <f>J23*Pricing!R19</f>
        <v>0</v>
      </c>
      <c r="AL23" s="76">
        <f t="shared" si="16"/>
        <v>1901.5251839999996</v>
      </c>
      <c r="AM23" s="77">
        <f t="shared" si="17"/>
        <v>0</v>
      </c>
      <c r="AN23" s="76">
        <f t="shared" si="18"/>
        <v>1521.2201471999997</v>
      </c>
      <c r="AO23" s="72">
        <f t="shared" si="19"/>
        <v>37630.868893918829</v>
      </c>
      <c r="AP23" s="74">
        <f t="shared" si="20"/>
        <v>47038.586117398532</v>
      </c>
      <c r="AQ23" s="74">
        <f t="shared" si="61"/>
        <v>0</v>
      </c>
      <c r="AR23" s="74">
        <f t="shared" si="22"/>
        <v>47929.0004366211</v>
      </c>
      <c r="AS23" s="72">
        <f t="shared" si="23"/>
        <v>90427.59266251736</v>
      </c>
      <c r="AT23" s="72">
        <f t="shared" si="24"/>
        <v>51188.520436621096</v>
      </c>
      <c r="AU23" s="78">
        <f t="shared" si="62"/>
        <v>4755.5295834839371</v>
      </c>
      <c r="AV23" s="79">
        <f t="shared" si="26"/>
        <v>1.5977499235566166E-2</v>
      </c>
      <c r="AW23" s="80">
        <f t="shared" si="27"/>
        <v>1901.5057544227707</v>
      </c>
      <c r="AX23" s="81">
        <f t="shared" si="28"/>
        <v>2854.0238290611669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 WITH 2 FIXED</v>
      </c>
      <c r="D24" s="131" t="str">
        <f>Pricing!B20</f>
        <v>SD</v>
      </c>
      <c r="E24" s="132" t="str">
        <f>Pricing!N20</f>
        <v>8MM</v>
      </c>
      <c r="F24" s="68">
        <f>Pricing!G20</f>
        <v>4572</v>
      </c>
      <c r="G24" s="68">
        <f>Pricing!H20</f>
        <v>2210</v>
      </c>
      <c r="H24" s="100">
        <f t="shared" si="0"/>
        <v>10.10412</v>
      </c>
      <c r="I24" s="70">
        <f>Pricing!I20</f>
        <v>1</v>
      </c>
      <c r="J24" s="69">
        <f t="shared" si="30"/>
        <v>10.10412</v>
      </c>
      <c r="K24" s="71">
        <f t="shared" si="31"/>
        <v>108.76074767999999</v>
      </c>
      <c r="L24" s="69"/>
      <c r="M24" s="72"/>
      <c r="N24" s="72"/>
      <c r="O24" s="72">
        <f t="shared" si="3"/>
        <v>0</v>
      </c>
      <c r="P24" s="73">
        <f>Pricing!M20</f>
        <v>83796.800000000003</v>
      </c>
      <c r="Q24" s="74">
        <f t="shared" si="50"/>
        <v>8379.68</v>
      </c>
      <c r="R24" s="74">
        <f t="shared" si="51"/>
        <v>10139.412800000002</v>
      </c>
      <c r="S24" s="74">
        <f t="shared" si="52"/>
        <v>511.57946400000009</v>
      </c>
      <c r="T24" s="74">
        <f t="shared" si="53"/>
        <v>1028.2747226400002</v>
      </c>
      <c r="U24" s="72">
        <f t="shared" si="54"/>
        <v>103855.74698664001</v>
      </c>
      <c r="V24" s="74">
        <f t="shared" si="55"/>
        <v>1557.8362047996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13357.646640000001</v>
      </c>
      <c r="AE24" s="76">
        <f t="shared" si="43"/>
        <v>1111.8032786885246</v>
      </c>
      <c r="AF24" s="346">
        <f t="shared" si="44"/>
        <v>1139.376</v>
      </c>
      <c r="AG24" s="347"/>
      <c r="AH24" s="76">
        <f t="shared" si="45"/>
        <v>40.692</v>
      </c>
      <c r="AI24" s="76">
        <f t="shared" si="15"/>
        <v>135.63999999999999</v>
      </c>
      <c r="AJ24" s="76">
        <f>J24*Pricing!Q20</f>
        <v>5438.0373839999993</v>
      </c>
      <c r="AK24" s="76">
        <f>J24*Pricing!R20</f>
        <v>0</v>
      </c>
      <c r="AL24" s="76">
        <f t="shared" si="16"/>
        <v>10876.074767999999</v>
      </c>
      <c r="AM24" s="77">
        <f t="shared" si="17"/>
        <v>0</v>
      </c>
      <c r="AN24" s="76">
        <f t="shared" si="18"/>
        <v>8700.8598143999989</v>
      </c>
      <c r="AO24" s="72">
        <f t="shared" si="19"/>
        <v>107841.09447012813</v>
      </c>
      <c r="AP24" s="74">
        <f t="shared" si="20"/>
        <v>134801.36808766017</v>
      </c>
      <c r="AQ24" s="74">
        <f t="shared" si="61"/>
        <v>0</v>
      </c>
      <c r="AR24" s="74">
        <f t="shared" si="22"/>
        <v>24014.210298154445</v>
      </c>
      <c r="AS24" s="72">
        <f t="shared" si="23"/>
        <v>281015.08116418828</v>
      </c>
      <c r="AT24" s="72">
        <f t="shared" si="24"/>
        <v>27811.930298154442</v>
      </c>
      <c r="AU24" s="78">
        <f t="shared" si="62"/>
        <v>2583.7913692079564</v>
      </c>
      <c r="AV24" s="79">
        <f t="shared" si="26"/>
        <v>9.1385840037173274E-2</v>
      </c>
      <c r="AW24" s="80">
        <f t="shared" si="27"/>
        <v>969.22451748485094</v>
      </c>
      <c r="AX24" s="81">
        <f t="shared" si="28"/>
        <v>1614.5668517231061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DOOR WITH 2 FIXED</v>
      </c>
      <c r="D25" s="131" t="str">
        <f>Pricing!B21</f>
        <v>D/W</v>
      </c>
      <c r="E25" s="132" t="str">
        <f>Pricing!N21</f>
        <v>8MM</v>
      </c>
      <c r="F25" s="68">
        <f>Pricing!G21</f>
        <v>4572</v>
      </c>
      <c r="G25" s="68">
        <f>Pricing!H21</f>
        <v>2210</v>
      </c>
      <c r="H25" s="100">
        <f t="shared" si="0"/>
        <v>10.10412</v>
      </c>
      <c r="I25" s="70">
        <f>Pricing!I21</f>
        <v>1</v>
      </c>
      <c r="J25" s="69">
        <f t="shared" si="30"/>
        <v>10.10412</v>
      </c>
      <c r="K25" s="71">
        <f t="shared" si="31"/>
        <v>108.76074767999999</v>
      </c>
      <c r="L25" s="69"/>
      <c r="M25" s="72"/>
      <c r="N25" s="72"/>
      <c r="O25" s="72">
        <f t="shared" si="3"/>
        <v>0</v>
      </c>
      <c r="P25" s="73">
        <f>Pricing!M21</f>
        <v>83796.800000000003</v>
      </c>
      <c r="Q25" s="74">
        <f t="shared" si="50"/>
        <v>8379.68</v>
      </c>
      <c r="R25" s="74">
        <f t="shared" si="51"/>
        <v>10139.412800000002</v>
      </c>
      <c r="S25" s="74">
        <f t="shared" si="52"/>
        <v>511.57946400000009</v>
      </c>
      <c r="T25" s="74">
        <f t="shared" si="53"/>
        <v>1028.2747226400002</v>
      </c>
      <c r="U25" s="72">
        <f t="shared" si="54"/>
        <v>103855.74698664001</v>
      </c>
      <c r="V25" s="74">
        <f t="shared" si="55"/>
        <v>1557.8362047996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13357.646640000001</v>
      </c>
      <c r="AE25" s="76">
        <f t="shared" si="43"/>
        <v>1111.8032786885246</v>
      </c>
      <c r="AF25" s="346">
        <f t="shared" si="44"/>
        <v>1139.376</v>
      </c>
      <c r="AG25" s="347"/>
      <c r="AH25" s="76">
        <f t="shared" si="45"/>
        <v>40.692</v>
      </c>
      <c r="AI25" s="76">
        <f t="shared" si="15"/>
        <v>135.63999999999999</v>
      </c>
      <c r="AJ25" s="76">
        <f>J25*Pricing!Q21</f>
        <v>5438.0373839999993</v>
      </c>
      <c r="AK25" s="76">
        <f>J25*Pricing!R21</f>
        <v>0</v>
      </c>
      <c r="AL25" s="76">
        <f t="shared" si="16"/>
        <v>10876.074767999999</v>
      </c>
      <c r="AM25" s="77">
        <f t="shared" si="17"/>
        <v>0</v>
      </c>
      <c r="AN25" s="76">
        <f t="shared" si="18"/>
        <v>8700.8598143999989</v>
      </c>
      <c r="AO25" s="72">
        <f t="shared" si="19"/>
        <v>107841.09447012813</v>
      </c>
      <c r="AP25" s="74">
        <f t="shared" si="20"/>
        <v>134801.36808766017</v>
      </c>
      <c r="AQ25" s="74">
        <f t="shared" si="61"/>
        <v>0</v>
      </c>
      <c r="AR25" s="74">
        <f t="shared" si="22"/>
        <v>24014.210298154445</v>
      </c>
      <c r="AS25" s="72">
        <f t="shared" si="23"/>
        <v>281015.08116418828</v>
      </c>
      <c r="AT25" s="72">
        <f t="shared" si="24"/>
        <v>27811.930298154442</v>
      </c>
      <c r="AU25" s="78">
        <f t="shared" si="62"/>
        <v>2583.7913692079564</v>
      </c>
      <c r="AV25" s="79">
        <f t="shared" si="26"/>
        <v>9.1385840037173274E-2</v>
      </c>
      <c r="AW25" s="80">
        <f t="shared" si="27"/>
        <v>969.22451748485094</v>
      </c>
      <c r="AX25" s="81">
        <f t="shared" si="28"/>
        <v>1614.5668517231061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D/W 1</v>
      </c>
      <c r="E26" s="132" t="str">
        <f>Pricing!N22</f>
        <v>8MM</v>
      </c>
      <c r="F26" s="68">
        <f>Pricing!G22</f>
        <v>2744</v>
      </c>
      <c r="G26" s="68">
        <f>Pricing!H22</f>
        <v>2210</v>
      </c>
      <c r="H26" s="100">
        <f t="shared" si="0"/>
        <v>6.0642399999999999</v>
      </c>
      <c r="I26" s="70">
        <f>Pricing!I22</f>
        <v>1</v>
      </c>
      <c r="J26" s="69">
        <f t="shared" si="30"/>
        <v>6.0642399999999999</v>
      </c>
      <c r="K26" s="71">
        <f t="shared" si="31"/>
        <v>65.275479359999991</v>
      </c>
      <c r="L26" s="69"/>
      <c r="M26" s="72"/>
      <c r="N26" s="72"/>
      <c r="O26" s="72">
        <f t="shared" si="3"/>
        <v>0</v>
      </c>
      <c r="P26" s="73">
        <f>Pricing!M22</f>
        <v>44348.560000000005</v>
      </c>
      <c r="Q26" s="74">
        <f t="shared" si="50"/>
        <v>4434.8560000000007</v>
      </c>
      <c r="R26" s="74">
        <f t="shared" si="51"/>
        <v>5366.175760000001</v>
      </c>
      <c r="S26" s="74">
        <f t="shared" si="52"/>
        <v>270.74795879999999</v>
      </c>
      <c r="T26" s="74">
        <f t="shared" si="53"/>
        <v>544.20339718800005</v>
      </c>
      <c r="U26" s="72">
        <f t="shared" si="54"/>
        <v>54964.543115988003</v>
      </c>
      <c r="V26" s="74">
        <f t="shared" si="55"/>
        <v>824.46814673981999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8016.9252799999995</v>
      </c>
      <c r="AE26" s="76">
        <f t="shared" si="43"/>
        <v>812.13114754098365</v>
      </c>
      <c r="AF26" s="346">
        <f t="shared" si="44"/>
        <v>832.27200000000005</v>
      </c>
      <c r="AG26" s="347"/>
      <c r="AH26" s="76">
        <f t="shared" si="45"/>
        <v>29.723999999999997</v>
      </c>
      <c r="AI26" s="76">
        <f t="shared" si="15"/>
        <v>99.08</v>
      </c>
      <c r="AJ26" s="76">
        <f>J26*Pricing!Q22</f>
        <v>3263.7739679999995</v>
      </c>
      <c r="AK26" s="76">
        <f>J26*Pricing!R22</f>
        <v>0</v>
      </c>
      <c r="AL26" s="76">
        <f t="shared" si="16"/>
        <v>6527.547935999999</v>
      </c>
      <c r="AM26" s="77">
        <f t="shared" si="17"/>
        <v>0</v>
      </c>
      <c r="AN26" s="76">
        <f t="shared" si="18"/>
        <v>5222.0383487999989</v>
      </c>
      <c r="AO26" s="72">
        <f t="shared" si="19"/>
        <v>57562.218410268804</v>
      </c>
      <c r="AP26" s="74">
        <f t="shared" si="20"/>
        <v>71952.773012835998</v>
      </c>
      <c r="AQ26" s="74">
        <f t="shared" si="61"/>
        <v>0</v>
      </c>
      <c r="AR26" s="74">
        <f t="shared" si="22"/>
        <v>21357.167826983234</v>
      </c>
      <c r="AS26" s="72">
        <f t="shared" si="23"/>
        <v>152545.27695590479</v>
      </c>
      <c r="AT26" s="72">
        <f t="shared" si="24"/>
        <v>25154.887826983231</v>
      </c>
      <c r="AU26" s="78">
        <f t="shared" si="62"/>
        <v>2336.9461006115971</v>
      </c>
      <c r="AV26" s="79">
        <f t="shared" si="26"/>
        <v>5.4847494545495069E-2</v>
      </c>
      <c r="AW26" s="80">
        <f t="shared" si="27"/>
        <v>854.6702653081494</v>
      </c>
      <c r="AX26" s="81">
        <f t="shared" si="28"/>
        <v>1482.275835303448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TOP HUNG WINDOW</v>
      </c>
      <c r="D27" s="131" t="str">
        <f>Pricing!B23</f>
        <v>V1</v>
      </c>
      <c r="E27" s="132" t="str">
        <f>Pricing!N23</f>
        <v>8MM (F)</v>
      </c>
      <c r="F27" s="68">
        <f>Pricing!G23</f>
        <v>610</v>
      </c>
      <c r="G27" s="68">
        <f>Pricing!H23</f>
        <v>610</v>
      </c>
      <c r="H27" s="100">
        <f t="shared" si="0"/>
        <v>0.37209999999999999</v>
      </c>
      <c r="I27" s="70">
        <f>Pricing!I23</f>
        <v>1</v>
      </c>
      <c r="J27" s="69">
        <f t="shared" si="30"/>
        <v>0.37209999999999999</v>
      </c>
      <c r="K27" s="71">
        <f t="shared" si="31"/>
        <v>4.0052843999999999</v>
      </c>
      <c r="L27" s="69"/>
      <c r="M27" s="72"/>
      <c r="N27" s="72"/>
      <c r="O27" s="72">
        <f t="shared" si="3"/>
        <v>0</v>
      </c>
      <c r="P27" s="73">
        <f>Pricing!M23</f>
        <v>10368.36</v>
      </c>
      <c r="Q27" s="74">
        <f t="shared" si="4"/>
        <v>1036.836</v>
      </c>
      <c r="R27" s="74">
        <f t="shared" si="5"/>
        <v>1254.5715600000001</v>
      </c>
      <c r="S27" s="74">
        <f t="shared" si="6"/>
        <v>63.298837800000001</v>
      </c>
      <c r="T27" s="74">
        <f t="shared" si="7"/>
        <v>127.23066397800001</v>
      </c>
      <c r="U27" s="72">
        <f t="shared" si="8"/>
        <v>12850.297061778001</v>
      </c>
      <c r="V27" s="74">
        <f t="shared" si="9"/>
        <v>192.75445592667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864.7604</v>
      </c>
      <c r="AE27" s="76">
        <f t="shared" si="43"/>
        <v>200</v>
      </c>
      <c r="AF27" s="346">
        <f t="shared" si="44"/>
        <v>204.96</v>
      </c>
      <c r="AG27" s="347"/>
      <c r="AH27" s="76">
        <f t="shared" si="45"/>
        <v>7.32</v>
      </c>
      <c r="AI27" s="76">
        <f t="shared" ref="AI27:AI32" si="64">(((F27+G27)*2*I27)/1000)*2*$AI$7</f>
        <v>24.4</v>
      </c>
      <c r="AJ27" s="76">
        <f>J27*Pricing!Q23</f>
        <v>0</v>
      </c>
      <c r="AK27" s="76">
        <f>J27*Pricing!R23</f>
        <v>0</v>
      </c>
      <c r="AL27" s="76">
        <f t="shared" si="16"/>
        <v>400.52843999999993</v>
      </c>
      <c r="AM27" s="77">
        <f t="shared" si="17"/>
        <v>0</v>
      </c>
      <c r="AN27" s="76">
        <f t="shared" si="18"/>
        <v>320.42275199999995</v>
      </c>
      <c r="AO27" s="72">
        <f t="shared" si="19"/>
        <v>13479.731517704671</v>
      </c>
      <c r="AP27" s="74">
        <f t="shared" si="20"/>
        <v>16849.66439713084</v>
      </c>
      <c r="AQ27" s="74">
        <f t="shared" si="21"/>
        <v>0</v>
      </c>
      <c r="AR27" s="74">
        <f t="shared" si="22"/>
        <v>81508.723232559831</v>
      </c>
      <c r="AS27" s="72">
        <f t="shared" si="23"/>
        <v>31915.107506835513</v>
      </c>
      <c r="AT27" s="72">
        <f t="shared" si="24"/>
        <v>85770.243232559835</v>
      </c>
      <c r="AU27" s="78">
        <f t="shared" si="25"/>
        <v>7968.2500216053359</v>
      </c>
      <c r="AV27" s="79">
        <f t="shared" si="26"/>
        <v>3.3654262892594483E-3</v>
      </c>
      <c r="AW27" s="80">
        <f t="shared" si="27"/>
        <v>3256.4607691041042</v>
      </c>
      <c r="AX27" s="81">
        <f t="shared" si="28"/>
        <v>4711.7892525012312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WITH GLASS LOUVERS</v>
      </c>
      <c r="D28" s="131" t="str">
        <f>Pricing!B24</f>
        <v>V2</v>
      </c>
      <c r="E28" s="132" t="str">
        <f>Pricing!N24</f>
        <v>8MM (F) &amp; 6MM (A&amp;F)</v>
      </c>
      <c r="F28" s="68">
        <f>Pricing!G24</f>
        <v>458</v>
      </c>
      <c r="G28" s="68">
        <f>Pricing!H24</f>
        <v>1220</v>
      </c>
      <c r="H28" s="100">
        <f t="shared" si="0"/>
        <v>0.55876000000000003</v>
      </c>
      <c r="I28" s="70">
        <f>Pricing!I24</f>
        <v>4</v>
      </c>
      <c r="J28" s="69">
        <f t="shared" si="30"/>
        <v>2.2350400000000001</v>
      </c>
      <c r="K28" s="71">
        <f t="shared" si="31"/>
        <v>24.057970560000001</v>
      </c>
      <c r="L28" s="69"/>
      <c r="M28" s="72"/>
      <c r="N28" s="72"/>
      <c r="O28" s="72">
        <f t="shared" si="3"/>
        <v>0</v>
      </c>
      <c r="P28" s="73">
        <f>Pricing!M24</f>
        <v>11736.2</v>
      </c>
      <c r="Q28" s="74">
        <f t="shared" si="4"/>
        <v>1173.6200000000001</v>
      </c>
      <c r="R28" s="74">
        <f t="shared" si="5"/>
        <v>1420.0802000000001</v>
      </c>
      <c r="S28" s="74">
        <f t="shared" si="6"/>
        <v>71.649501000000015</v>
      </c>
      <c r="T28" s="74">
        <f t="shared" si="7"/>
        <v>144.01549701000002</v>
      </c>
      <c r="U28" s="72">
        <f t="shared" si="8"/>
        <v>14545.565198010001</v>
      </c>
      <c r="V28" s="74">
        <f t="shared" si="9"/>
        <v>218.18347797014999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5194.2329600000003</v>
      </c>
      <c r="AE28" s="76">
        <f t="shared" si="43"/>
        <v>1100.327868852459</v>
      </c>
      <c r="AF28" s="346">
        <f t="shared" si="44"/>
        <v>1127.616</v>
      </c>
      <c r="AG28" s="347"/>
      <c r="AH28" s="76">
        <f t="shared" si="45"/>
        <v>40.271999999999998</v>
      </c>
      <c r="AI28" s="76">
        <f t="shared" si="64"/>
        <v>134.24</v>
      </c>
      <c r="AJ28" s="76">
        <f>J28*Pricing!Q24</f>
        <v>0</v>
      </c>
      <c r="AK28" s="76">
        <f>J28*Pricing!R24</f>
        <v>0</v>
      </c>
      <c r="AL28" s="76">
        <f t="shared" si="16"/>
        <v>2405.7970559999999</v>
      </c>
      <c r="AM28" s="77">
        <f t="shared" si="17"/>
        <v>0</v>
      </c>
      <c r="AN28" s="76">
        <f t="shared" si="18"/>
        <v>1924.6376447999999</v>
      </c>
      <c r="AO28" s="72">
        <f t="shared" si="19"/>
        <v>17166.20454483261</v>
      </c>
      <c r="AP28" s="74">
        <f t="shared" si="20"/>
        <v>21457.755681040762</v>
      </c>
      <c r="AQ28" s="74">
        <f t="shared" si="21"/>
        <v>0</v>
      </c>
      <c r="AR28" s="74">
        <f t="shared" si="22"/>
        <v>17281.104689792293</v>
      </c>
      <c r="AS28" s="72">
        <f t="shared" si="23"/>
        <v>48148.62788667337</v>
      </c>
      <c r="AT28" s="72">
        <f t="shared" si="24"/>
        <v>21542.624689792294</v>
      </c>
      <c r="AU28" s="78">
        <f t="shared" si="25"/>
        <v>2001.358666833175</v>
      </c>
      <c r="AV28" s="79">
        <f t="shared" si="26"/>
        <v>2.0214626104666591E-2</v>
      </c>
      <c r="AW28" s="80">
        <f t="shared" si="27"/>
        <v>613.6739023418337</v>
      </c>
      <c r="AX28" s="81">
        <f t="shared" si="28"/>
        <v>1387.6847644913412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AW4</v>
      </c>
      <c r="E29" s="132" t="str">
        <f>Pricing!N25</f>
        <v>8MM</v>
      </c>
      <c r="F29" s="68">
        <f>Pricing!G25</f>
        <v>1220</v>
      </c>
      <c r="G29" s="68">
        <f>Pricing!H25</f>
        <v>1448</v>
      </c>
      <c r="H29" s="100">
        <f t="shared" si="0"/>
        <v>1.7665599999999999</v>
      </c>
      <c r="I29" s="70">
        <f>Pricing!I25</f>
        <v>1</v>
      </c>
      <c r="J29" s="69">
        <f t="shared" si="30"/>
        <v>1.7665599999999999</v>
      </c>
      <c r="K29" s="71">
        <f t="shared" si="31"/>
        <v>19.015251839999998</v>
      </c>
      <c r="L29" s="69"/>
      <c r="M29" s="72"/>
      <c r="N29" s="72"/>
      <c r="O29" s="72">
        <f t="shared" si="3"/>
        <v>0</v>
      </c>
      <c r="P29" s="73">
        <f>Pricing!M25</f>
        <v>10078.69</v>
      </c>
      <c r="Q29" s="74">
        <f t="shared" si="4"/>
        <v>1007.8690000000001</v>
      </c>
      <c r="R29" s="74">
        <f t="shared" si="5"/>
        <v>1219.5214900000001</v>
      </c>
      <c r="S29" s="74">
        <f t="shared" si="6"/>
        <v>61.530402450000004</v>
      </c>
      <c r="T29" s="74">
        <f t="shared" si="7"/>
        <v>123.67610892450001</v>
      </c>
      <c r="U29" s="72">
        <f t="shared" si="8"/>
        <v>12491.2870013745</v>
      </c>
      <c r="V29" s="74">
        <f t="shared" si="9"/>
        <v>187.36930502061747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2335.3923199999999</v>
      </c>
      <c r="AE29" s="76">
        <f t="shared" si="43"/>
        <v>437.37704918032784</v>
      </c>
      <c r="AF29" s="346">
        <f t="shared" si="44"/>
        <v>448.2240000000001</v>
      </c>
      <c r="AG29" s="347"/>
      <c r="AH29" s="76">
        <f t="shared" si="45"/>
        <v>16.008000000000003</v>
      </c>
      <c r="AI29" s="76">
        <f t="shared" si="64"/>
        <v>53.36</v>
      </c>
      <c r="AJ29" s="76">
        <f>J29*Pricing!Q25</f>
        <v>950.76259199999981</v>
      </c>
      <c r="AK29" s="76">
        <f>J29*Pricing!R25</f>
        <v>0</v>
      </c>
      <c r="AL29" s="76">
        <f t="shared" si="16"/>
        <v>1901.5251839999996</v>
      </c>
      <c r="AM29" s="77">
        <f t="shared" si="17"/>
        <v>0</v>
      </c>
      <c r="AN29" s="76">
        <f t="shared" si="18"/>
        <v>1521.2201471999997</v>
      </c>
      <c r="AO29" s="72">
        <f t="shared" si="19"/>
        <v>13633.625355575445</v>
      </c>
      <c r="AP29" s="74">
        <f t="shared" si="20"/>
        <v>17042.031694469304</v>
      </c>
      <c r="AQ29" s="74">
        <f t="shared" si="21"/>
        <v>0</v>
      </c>
      <c r="AR29" s="74">
        <f t="shared" si="22"/>
        <v>17364.62789265281</v>
      </c>
      <c r="AS29" s="72">
        <f t="shared" si="23"/>
        <v>37384.557293244747</v>
      </c>
      <c r="AT29" s="72">
        <f t="shared" si="24"/>
        <v>21162.347892652811</v>
      </c>
      <c r="AU29" s="78">
        <f t="shared" si="25"/>
        <v>1966.0300903616512</v>
      </c>
      <c r="AV29" s="79">
        <f t="shared" si="26"/>
        <v>1.5977499235566166E-2</v>
      </c>
      <c r="AW29" s="80">
        <f t="shared" si="27"/>
        <v>666.76247115090098</v>
      </c>
      <c r="AX29" s="81">
        <f t="shared" si="28"/>
        <v>1299.2676192107499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TOP HUNG WINDOW</v>
      </c>
      <c r="D30" s="131" t="str">
        <f>Pricing!B26</f>
        <v>V1</v>
      </c>
      <c r="E30" s="132" t="str">
        <f>Pricing!N26</f>
        <v>8MM (F)</v>
      </c>
      <c r="F30" s="68">
        <f>Pricing!G26</f>
        <v>610</v>
      </c>
      <c r="G30" s="68">
        <f>Pricing!H26</f>
        <v>610</v>
      </c>
      <c r="H30" s="100">
        <f t="shared" si="0"/>
        <v>0.37209999999999999</v>
      </c>
      <c r="I30" s="70">
        <f>Pricing!I26</f>
        <v>1</v>
      </c>
      <c r="J30" s="69">
        <f t="shared" si="30"/>
        <v>0.37209999999999999</v>
      </c>
      <c r="K30" s="71">
        <f t="shared" si="31"/>
        <v>4.0052843999999999</v>
      </c>
      <c r="L30" s="69"/>
      <c r="M30" s="72"/>
      <c r="N30" s="72"/>
      <c r="O30" s="72">
        <f t="shared" si="3"/>
        <v>0</v>
      </c>
      <c r="P30" s="73">
        <f>Pricing!M26</f>
        <v>10368.36</v>
      </c>
      <c r="Q30" s="74">
        <f t="shared" si="4"/>
        <v>1036.836</v>
      </c>
      <c r="R30" s="74">
        <f t="shared" si="5"/>
        <v>1254.5715600000001</v>
      </c>
      <c r="S30" s="74">
        <f t="shared" si="6"/>
        <v>63.298837800000001</v>
      </c>
      <c r="T30" s="74">
        <f t="shared" si="7"/>
        <v>127.23066397800001</v>
      </c>
      <c r="U30" s="72">
        <f t="shared" si="8"/>
        <v>12850.297061778001</v>
      </c>
      <c r="V30" s="74">
        <f t="shared" si="9"/>
        <v>192.75445592667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864.7604</v>
      </c>
      <c r="AE30" s="76">
        <f t="shared" si="43"/>
        <v>200</v>
      </c>
      <c r="AF30" s="346">
        <f t="shared" si="44"/>
        <v>204.96</v>
      </c>
      <c r="AG30" s="347"/>
      <c r="AH30" s="76">
        <f t="shared" si="45"/>
        <v>7.32</v>
      </c>
      <c r="AI30" s="76">
        <f t="shared" si="64"/>
        <v>24.4</v>
      </c>
      <c r="AJ30" s="76">
        <f>J30*Pricing!Q26</f>
        <v>0</v>
      </c>
      <c r="AK30" s="76">
        <f>J30*Pricing!R26</f>
        <v>0</v>
      </c>
      <c r="AL30" s="76">
        <f t="shared" si="16"/>
        <v>400.52843999999993</v>
      </c>
      <c r="AM30" s="77">
        <f t="shared" si="17"/>
        <v>0</v>
      </c>
      <c r="AN30" s="76">
        <f t="shared" si="18"/>
        <v>320.42275199999995</v>
      </c>
      <c r="AO30" s="72">
        <f t="shared" si="19"/>
        <v>13479.731517704671</v>
      </c>
      <c r="AP30" s="74">
        <f t="shared" si="20"/>
        <v>16849.66439713084</v>
      </c>
      <c r="AQ30" s="74">
        <f t="shared" si="21"/>
        <v>0</v>
      </c>
      <c r="AR30" s="74">
        <f t="shared" si="22"/>
        <v>81508.723232559831</v>
      </c>
      <c r="AS30" s="72">
        <f t="shared" si="23"/>
        <v>31915.107506835513</v>
      </c>
      <c r="AT30" s="72">
        <f t="shared" si="24"/>
        <v>85770.243232559835</v>
      </c>
      <c r="AU30" s="78">
        <f t="shared" si="25"/>
        <v>7968.2500216053359</v>
      </c>
      <c r="AV30" s="79">
        <f t="shared" si="26"/>
        <v>3.3654262892594483E-3</v>
      </c>
      <c r="AW30" s="80">
        <f t="shared" si="27"/>
        <v>3256.4607691041042</v>
      </c>
      <c r="AX30" s="81">
        <f t="shared" si="28"/>
        <v>4711.7892525012312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 WITH GLASS LOUVERS</v>
      </c>
      <c r="D31" s="131" t="str">
        <f>Pricing!B27</f>
        <v>V2</v>
      </c>
      <c r="E31" s="132" t="str">
        <f>Pricing!N27</f>
        <v>8MM (F) &amp; 6MM (A&amp;F)</v>
      </c>
      <c r="F31" s="68">
        <f>Pricing!G27</f>
        <v>458</v>
      </c>
      <c r="G31" s="68">
        <f>Pricing!H27</f>
        <v>1220</v>
      </c>
      <c r="H31" s="100">
        <f t="shared" si="0"/>
        <v>0.55876000000000003</v>
      </c>
      <c r="I31" s="70">
        <f>Pricing!I27</f>
        <v>2</v>
      </c>
      <c r="J31" s="69">
        <f t="shared" si="30"/>
        <v>1.1175200000000001</v>
      </c>
      <c r="K31" s="71">
        <f t="shared" si="31"/>
        <v>12.028985280000001</v>
      </c>
      <c r="L31" s="69"/>
      <c r="M31" s="72"/>
      <c r="N31" s="72"/>
      <c r="O31" s="72">
        <f t="shared" si="3"/>
        <v>0</v>
      </c>
      <c r="P31" s="73">
        <f>Pricing!M27</f>
        <v>5868.1</v>
      </c>
      <c r="Q31" s="74">
        <f t="shared" si="4"/>
        <v>586.81000000000006</v>
      </c>
      <c r="R31" s="74">
        <f t="shared" si="5"/>
        <v>710.04010000000005</v>
      </c>
      <c r="S31" s="74">
        <f t="shared" si="6"/>
        <v>35.824750500000007</v>
      </c>
      <c r="T31" s="74">
        <f t="shared" si="7"/>
        <v>72.007748505000009</v>
      </c>
      <c r="U31" s="72">
        <f t="shared" si="8"/>
        <v>7272.7825990050005</v>
      </c>
      <c r="V31" s="74">
        <f t="shared" si="9"/>
        <v>109.091738985075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1477.3614400000001</v>
      </c>
      <c r="AE31" s="76">
        <f t="shared" si="43"/>
        <v>550.1639344262295</v>
      </c>
      <c r="AF31" s="346">
        <f t="shared" si="44"/>
        <v>563.80799999999999</v>
      </c>
      <c r="AG31" s="347"/>
      <c r="AH31" s="76">
        <f t="shared" si="45"/>
        <v>20.135999999999999</v>
      </c>
      <c r="AI31" s="76">
        <f t="shared" si="64"/>
        <v>67.12</v>
      </c>
      <c r="AJ31" s="76">
        <f>J31*Pricing!Q27</f>
        <v>0</v>
      </c>
      <c r="AK31" s="76">
        <f>J31*Pricing!R27</f>
        <v>0</v>
      </c>
      <c r="AL31" s="76">
        <f t="shared" si="16"/>
        <v>1202.8985279999999</v>
      </c>
      <c r="AM31" s="77">
        <f t="shared" si="17"/>
        <v>0</v>
      </c>
      <c r="AN31" s="76">
        <f t="shared" si="18"/>
        <v>962.31882239999993</v>
      </c>
      <c r="AO31" s="72">
        <f t="shared" si="19"/>
        <v>8583.1022724163049</v>
      </c>
      <c r="AP31" s="74">
        <f t="shared" si="20"/>
        <v>10728.877840520381</v>
      </c>
      <c r="AQ31" s="74">
        <f t="shared" si="21"/>
        <v>0</v>
      </c>
      <c r="AR31" s="74">
        <f t="shared" si="22"/>
        <v>17281.104689792293</v>
      </c>
      <c r="AS31" s="72">
        <f t="shared" si="23"/>
        <v>22954.558903336685</v>
      </c>
      <c r="AT31" s="72">
        <f t="shared" si="24"/>
        <v>20540.624689792294</v>
      </c>
      <c r="AU31" s="78">
        <f t="shared" si="25"/>
        <v>1908.270595484234</v>
      </c>
      <c r="AV31" s="79">
        <f t="shared" si="26"/>
        <v>1.0107313052333295E-2</v>
      </c>
      <c r="AW31" s="80">
        <f t="shared" si="27"/>
        <v>613.6739023418337</v>
      </c>
      <c r="AX31" s="81">
        <f t="shared" si="28"/>
        <v>1294.5966931424002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2 NO'S</v>
      </c>
      <c r="D32" s="131" t="str">
        <f>Pricing!B28</f>
        <v>SW</v>
      </c>
      <c r="E32" s="132" t="str">
        <f>Pricing!N28</f>
        <v>8MM</v>
      </c>
      <c r="F32" s="68">
        <f>Pricing!G28</f>
        <v>3658</v>
      </c>
      <c r="G32" s="68">
        <f>Pricing!H28</f>
        <v>1448</v>
      </c>
      <c r="H32" s="100">
        <f t="shared" si="0"/>
        <v>5.2967839999999997</v>
      </c>
      <c r="I32" s="70">
        <f>Pricing!I28</f>
        <v>1</v>
      </c>
      <c r="J32" s="69">
        <f t="shared" si="30"/>
        <v>5.2967839999999997</v>
      </c>
      <c r="K32" s="71">
        <f t="shared" si="31"/>
        <v>57.014582975999993</v>
      </c>
      <c r="L32" s="69"/>
      <c r="M32" s="72"/>
      <c r="N32" s="72"/>
      <c r="O32" s="72">
        <f t="shared" si="3"/>
        <v>0</v>
      </c>
      <c r="P32" s="73">
        <f>Pricing!M28</f>
        <v>14972.369999999999</v>
      </c>
      <c r="Q32" s="74">
        <f t="shared" si="4"/>
        <v>1497.2370000000001</v>
      </c>
      <c r="R32" s="74">
        <f t="shared" si="5"/>
        <v>1811.6567700000001</v>
      </c>
      <c r="S32" s="74">
        <f t="shared" si="6"/>
        <v>91.406318850000005</v>
      </c>
      <c r="T32" s="74">
        <f t="shared" si="7"/>
        <v>183.72670088850003</v>
      </c>
      <c r="U32" s="72">
        <f t="shared" si="8"/>
        <v>18556.396789738501</v>
      </c>
      <c r="V32" s="74">
        <f t="shared" si="9"/>
        <v>278.34595184607753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7002.3484479999997</v>
      </c>
      <c r="AE32" s="76">
        <f t="shared" si="43"/>
        <v>837.04918032786895</v>
      </c>
      <c r="AF32" s="346">
        <f t="shared" si="44"/>
        <v>857.80800000000011</v>
      </c>
      <c r="AG32" s="347"/>
      <c r="AH32" s="76">
        <f t="shared" si="45"/>
        <v>30.635999999999999</v>
      </c>
      <c r="AI32" s="76">
        <f t="shared" si="64"/>
        <v>102.12</v>
      </c>
      <c r="AJ32" s="76">
        <f>J32*Pricing!Q28</f>
        <v>0</v>
      </c>
      <c r="AK32" s="76">
        <f>J32*Pricing!R28</f>
        <v>0</v>
      </c>
      <c r="AL32" s="76">
        <f t="shared" si="16"/>
        <v>5701.4582975999992</v>
      </c>
      <c r="AM32" s="77">
        <f t="shared" si="17"/>
        <v>0</v>
      </c>
      <c r="AN32" s="76">
        <f t="shared" si="18"/>
        <v>4561.1666380799988</v>
      </c>
      <c r="AO32" s="72">
        <f t="shared" si="19"/>
        <v>20662.355921912447</v>
      </c>
      <c r="AP32" s="74">
        <f t="shared" si="20"/>
        <v>25827.944902390558</v>
      </c>
      <c r="AQ32" s="74">
        <f t="shared" si="21"/>
        <v>0</v>
      </c>
      <c r="AR32" s="74">
        <f t="shared" si="22"/>
        <v>8777.0807388602225</v>
      </c>
      <c r="AS32" s="72">
        <f t="shared" si="23"/>
        <v>63755.274207982999</v>
      </c>
      <c r="AT32" s="72">
        <f t="shared" si="24"/>
        <v>12036.600738860221</v>
      </c>
      <c r="AU32" s="78">
        <f t="shared" si="25"/>
        <v>1118.2274933909534</v>
      </c>
      <c r="AV32" s="79">
        <f t="shared" si="26"/>
        <v>4.790630508500085E-2</v>
      </c>
      <c r="AW32" s="80">
        <f t="shared" si="27"/>
        <v>330.34956599635166</v>
      </c>
      <c r="AX32" s="81">
        <f t="shared" si="28"/>
        <v>787.8779273946019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2 SHUTTER SLIDING WINDOW</v>
      </c>
      <c r="D33" s="131" t="str">
        <f>Pricing!B29</f>
        <v>W4</v>
      </c>
      <c r="E33" s="132" t="str">
        <f>Pricing!N29</f>
        <v>8MM</v>
      </c>
      <c r="F33" s="68">
        <f>Pricing!G29</f>
        <v>1220</v>
      </c>
      <c r="G33" s="68">
        <f>Pricing!H29</f>
        <v>1448</v>
      </c>
      <c r="H33" s="100">
        <f t="shared" si="0"/>
        <v>1.7665599999999999</v>
      </c>
      <c r="I33" s="70">
        <f>Pricing!I29</f>
        <v>1</v>
      </c>
      <c r="J33" s="69">
        <f t="shared" si="30"/>
        <v>1.7665599999999999</v>
      </c>
      <c r="K33" s="71">
        <f t="shared" si="31"/>
        <v>19.015251839999998</v>
      </c>
      <c r="L33" s="69"/>
      <c r="M33" s="72"/>
      <c r="N33" s="72"/>
      <c r="O33" s="72">
        <f t="shared" si="3"/>
        <v>0</v>
      </c>
      <c r="P33" s="73">
        <f>Pricing!M29</f>
        <v>10078.69</v>
      </c>
      <c r="Q33" s="74">
        <f t="shared" ref="Q33:Q38" si="65">P33*$Q$6</f>
        <v>1007.8690000000001</v>
      </c>
      <c r="R33" s="74">
        <f t="shared" ref="R33:R38" si="66">(P33+Q33)*$R$6</f>
        <v>1219.5214900000001</v>
      </c>
      <c r="S33" s="74">
        <f t="shared" ref="S33:S38" si="67">(P33+Q33+R33)*$S$6</f>
        <v>61.530402450000004</v>
      </c>
      <c r="T33" s="74">
        <f t="shared" ref="T33:T38" si="68">(P33+Q33+R33+S33)*$T$6</f>
        <v>123.67610892450001</v>
      </c>
      <c r="U33" s="72">
        <f t="shared" ref="U33:U38" si="69">SUM(P33:T33)</f>
        <v>12491.2870013745</v>
      </c>
      <c r="V33" s="74">
        <f t="shared" ref="V33:V38" si="70">U33*$V$6</f>
        <v>187.36930502061747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2335.3923199999999</v>
      </c>
      <c r="AE33" s="76">
        <f t="shared" si="43"/>
        <v>437.37704918032784</v>
      </c>
      <c r="AF33" s="346">
        <f t="shared" si="44"/>
        <v>448.2240000000001</v>
      </c>
      <c r="AG33" s="347"/>
      <c r="AH33" s="76">
        <f t="shared" si="45"/>
        <v>16.008000000000003</v>
      </c>
      <c r="AI33" s="76">
        <f t="shared" si="15"/>
        <v>53.36</v>
      </c>
      <c r="AJ33" s="76">
        <f>J33*Pricing!Q29</f>
        <v>950.76259199999981</v>
      </c>
      <c r="AK33" s="76">
        <f>J33*Pricing!R29</f>
        <v>0</v>
      </c>
      <c r="AL33" s="76">
        <f t="shared" si="16"/>
        <v>1901.5251839999996</v>
      </c>
      <c r="AM33" s="77">
        <f t="shared" si="17"/>
        <v>0</v>
      </c>
      <c r="AN33" s="76">
        <f t="shared" si="18"/>
        <v>1521.2201471999997</v>
      </c>
      <c r="AO33" s="72">
        <f t="shared" si="19"/>
        <v>13633.625355575445</v>
      </c>
      <c r="AP33" s="74">
        <f t="shared" si="20"/>
        <v>17042.031694469304</v>
      </c>
      <c r="AQ33" s="74">
        <f t="shared" ref="AQ33:AQ38" si="76">(AO33+AP33)*$AQ$6</f>
        <v>0</v>
      </c>
      <c r="AR33" s="74">
        <f t="shared" si="22"/>
        <v>17364.62789265281</v>
      </c>
      <c r="AS33" s="72">
        <f t="shared" si="23"/>
        <v>37384.557293244747</v>
      </c>
      <c r="AT33" s="72">
        <f t="shared" si="24"/>
        <v>21162.347892652811</v>
      </c>
      <c r="AU33" s="78">
        <f t="shared" ref="AU33:AU38" si="77">AT33/10.764</f>
        <v>1966.0300903616512</v>
      </c>
      <c r="AV33" s="79">
        <f t="shared" si="26"/>
        <v>1.5977499235566166E-2</v>
      </c>
      <c r="AW33" s="80">
        <f t="shared" si="27"/>
        <v>666.76247115090098</v>
      </c>
      <c r="AX33" s="81">
        <f t="shared" si="28"/>
        <v>1299.2676192107499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74.721392000000009</v>
      </c>
      <c r="I109" s="87">
        <f>SUM(I8:I108)</f>
        <v>49</v>
      </c>
      <c r="J109" s="88">
        <f>SUM(J8:J108)</f>
        <v>110.56548799999997</v>
      </c>
      <c r="K109" s="89">
        <f>SUM(K8:K108)</f>
        <v>1190.1269128319998</v>
      </c>
      <c r="L109" s="88">
        <f>SUM(L8:L8)</f>
        <v>0</v>
      </c>
      <c r="M109" s="88"/>
      <c r="N109" s="88"/>
      <c r="O109" s="88"/>
      <c r="P109" s="87">
        <f>SUM(P8:P108)</f>
        <v>788255.98</v>
      </c>
      <c r="Q109" s="88">
        <f t="shared" ref="Q109:AE109" si="156">SUM(Q8:Q108)</f>
        <v>78825.597999999998</v>
      </c>
      <c r="R109" s="88">
        <f t="shared" si="156"/>
        <v>95378.973579999991</v>
      </c>
      <c r="S109" s="88">
        <f t="shared" si="156"/>
        <v>4812.3027579</v>
      </c>
      <c r="T109" s="88">
        <f t="shared" si="156"/>
        <v>9672.7285433789984</v>
      </c>
      <c r="U109" s="88">
        <f t="shared" si="156"/>
        <v>976945.58288127917</v>
      </c>
      <c r="V109" s="88">
        <f t="shared" si="156"/>
        <v>14654.183743219179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151391.06125600004</v>
      </c>
      <c r="AE109" s="88">
        <f t="shared" si="156"/>
        <v>22595.409836065566</v>
      </c>
      <c r="AF109" s="407">
        <f>SUM(AF8:AG108)</f>
        <v>23155.775999999998</v>
      </c>
      <c r="AG109" s="408"/>
      <c r="AH109" s="88">
        <f t="shared" ref="AH109:AQ109" si="157">SUM(AH8:AH108)</f>
        <v>826.9920000000003</v>
      </c>
      <c r="AI109" s="88">
        <f t="shared" si="157"/>
        <v>2756.64</v>
      </c>
      <c r="AJ109" s="88">
        <f t="shared" ref="AJ109" si="158">SUM(AJ8:AJ108)</f>
        <v>43869.564647999992</v>
      </c>
      <c r="AK109" s="88">
        <f t="shared" si="157"/>
        <v>78316.302167999995</v>
      </c>
      <c r="AL109" s="88">
        <f t="shared" si="157"/>
        <v>119012.69128319997</v>
      </c>
      <c r="AM109" s="88">
        <f t="shared" si="157"/>
        <v>0</v>
      </c>
      <c r="AN109" s="88">
        <f t="shared" si="157"/>
        <v>95210.153026559972</v>
      </c>
      <c r="AO109" s="88">
        <f t="shared" si="157"/>
        <v>1040934.5844605638</v>
      </c>
      <c r="AP109" s="88">
        <f t="shared" si="157"/>
        <v>1301168.2305757047</v>
      </c>
      <c r="AQ109" s="88">
        <f t="shared" si="157"/>
        <v>0</v>
      </c>
      <c r="AR109" s="88"/>
      <c r="AS109" s="87">
        <f>SUM(AS8:AS108)</f>
        <v>2829902.5874180282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23155.775999999998</v>
      </c>
      <c r="AW110" s="84"/>
    </row>
    <row r="111" spans="2:54">
      <c r="AF111" s="174"/>
      <c r="AG111" s="174"/>
      <c r="AH111" s="174">
        <f>SUM(AE109:AI109,AC109)</f>
        <v>49334.817836065558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M9" sqref="M9:N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ABPL-DE-19.20-2172-OP-1</v>
      </c>
      <c r="N6" s="448"/>
    </row>
    <row r="7" spans="2:15" ht="24.95" customHeight="1">
      <c r="B7" s="427" t="s">
        <v>126</v>
      </c>
      <c r="C7" s="428"/>
      <c r="D7" s="428"/>
      <c r="E7" s="428"/>
      <c r="F7" s="460" t="str">
        <f>'BD Team'!E2</f>
        <v>Mr. Shilpi</v>
      </c>
      <c r="G7" s="460"/>
      <c r="H7" s="460"/>
      <c r="I7" s="460"/>
      <c r="J7" s="461"/>
      <c r="K7" s="436" t="s">
        <v>104</v>
      </c>
      <c r="L7" s="428"/>
      <c r="M7" s="433">
        <f>'BD Team'!J3</f>
        <v>43704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2" t="s">
        <v>179</v>
      </c>
      <c r="H8" s="463"/>
      <c r="I8" s="460" t="str">
        <f>'BD Team'!G3</f>
        <v>1.5Kpa</v>
      </c>
      <c r="J8" s="461"/>
      <c r="K8" s="436" t="s">
        <v>105</v>
      </c>
      <c r="L8" s="428"/>
      <c r="M8" s="178" t="s">
        <v>364</v>
      </c>
      <c r="N8" s="179">
        <v>43704</v>
      </c>
    </row>
    <row r="9" spans="2:15" ht="24.95" customHeight="1">
      <c r="B9" s="427" t="s">
        <v>168</v>
      </c>
      <c r="C9" s="428"/>
      <c r="D9" s="428"/>
      <c r="E9" s="428"/>
      <c r="F9" s="460" t="str">
        <f>'BD Team'!E4</f>
        <v>Mr. Anamol Anand : 7702300826</v>
      </c>
      <c r="G9" s="460"/>
      <c r="H9" s="460"/>
      <c r="I9" s="460"/>
      <c r="J9" s="461"/>
      <c r="K9" s="436" t="s">
        <v>178</v>
      </c>
      <c r="L9" s="428"/>
      <c r="M9" s="449" t="str">
        <f>'BD Team'!J4</f>
        <v>Bal Kumari</v>
      </c>
      <c r="N9" s="450"/>
    </row>
    <row r="10" spans="2:15" ht="27.75" customHeight="1" thickBot="1">
      <c r="B10" s="429" t="s">
        <v>176</v>
      </c>
      <c r="C10" s="430"/>
      <c r="D10" s="430"/>
      <c r="E10" s="430"/>
      <c r="F10" s="217" t="str">
        <f>'BD Team'!E5</f>
        <v>Anodized</v>
      </c>
      <c r="G10" s="441" t="s">
        <v>177</v>
      </c>
      <c r="H10" s="442"/>
      <c r="I10" s="439" t="str">
        <f>'BD Team'!G5</f>
        <v>Silver</v>
      </c>
      <c r="J10" s="440"/>
      <c r="K10" s="437" t="s">
        <v>373</v>
      </c>
      <c r="L10" s="438"/>
      <c r="M10" s="431">
        <f>'BD Team'!J5</f>
        <v>0</v>
      </c>
      <c r="N10" s="432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5" t="s">
        <v>170</v>
      </c>
      <c r="E13" s="435" t="s">
        <v>171</v>
      </c>
      <c r="F13" s="435" t="s">
        <v>37</v>
      </c>
      <c r="G13" s="443" t="s">
        <v>63</v>
      </c>
      <c r="H13" s="443" t="s">
        <v>209</v>
      </c>
      <c r="I13" s="443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5"/>
      <c r="E14" s="435"/>
      <c r="F14" s="435"/>
      <c r="G14" s="443"/>
      <c r="H14" s="443"/>
      <c r="I14" s="443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5"/>
      <c r="E15" s="435"/>
      <c r="F15" s="435"/>
      <c r="G15" s="443"/>
      <c r="H15" s="443"/>
      <c r="I15" s="443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8MM</v>
      </c>
      <c r="H16" s="187" t="str">
        <f>Pricing!F4</f>
        <v>GF - LIVING</v>
      </c>
      <c r="I16" s="216" t="str">
        <f>Pricing!E4</f>
        <v>SS</v>
      </c>
      <c r="J16" s="216">
        <f>Pricing!G4</f>
        <v>3048</v>
      </c>
      <c r="K16" s="216">
        <f>Pricing!H4</f>
        <v>1754</v>
      </c>
      <c r="L16" s="216">
        <f>Pricing!I4</f>
        <v>1</v>
      </c>
      <c r="M16" s="188">
        <f t="shared" ref="M16:M24" si="0">J16*K16*L16/1000000</f>
        <v>5.3461920000000003</v>
      </c>
      <c r="N16" s="189">
        <f>'Cost Calculation'!AS8</f>
        <v>143785.19809941563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W1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8MM</v>
      </c>
      <c r="H17" s="187" t="str">
        <f>Pricing!F5</f>
        <v>GF - LIVING, DINING</v>
      </c>
      <c r="I17" s="216" t="str">
        <f>Pricing!E5</f>
        <v>SS</v>
      </c>
      <c r="J17" s="216">
        <f>Pricing!G5</f>
        <v>1524</v>
      </c>
      <c r="K17" s="216">
        <f>Pricing!H5</f>
        <v>1754</v>
      </c>
      <c r="L17" s="216">
        <f>Pricing!I5</f>
        <v>4</v>
      </c>
      <c r="M17" s="188">
        <f t="shared" si="0"/>
        <v>10.692384000000001</v>
      </c>
      <c r="N17" s="189">
        <f>'Cost Calculation'!AS9</f>
        <v>184688.59386233758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8MM</v>
      </c>
      <c r="H18" s="187" t="str">
        <f>Pricing!F6</f>
        <v>GF - DINING</v>
      </c>
      <c r="I18" s="216" t="str">
        <f>Pricing!E6</f>
        <v>SS</v>
      </c>
      <c r="J18" s="216">
        <f>Pricing!G6</f>
        <v>1220</v>
      </c>
      <c r="K18" s="216">
        <f>Pricing!H6</f>
        <v>1754</v>
      </c>
      <c r="L18" s="216">
        <f>Pricing!I6</f>
        <v>6</v>
      </c>
      <c r="M18" s="188">
        <f t="shared" si="0"/>
        <v>12.83928</v>
      </c>
      <c r="N18" s="189">
        <f>'Cost Calculation'!AS10</f>
        <v>252701.30475805158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8MM</v>
      </c>
      <c r="H19" s="187" t="str">
        <f>Pricing!F7</f>
        <v>GF - BR, SERVANT ROOM</v>
      </c>
      <c r="I19" s="216" t="str">
        <f>Pricing!E7</f>
        <v>SS</v>
      </c>
      <c r="J19" s="216">
        <f>Pricing!G7</f>
        <v>1220</v>
      </c>
      <c r="K19" s="216">
        <f>Pricing!H7</f>
        <v>1448</v>
      </c>
      <c r="L19" s="216">
        <f>Pricing!I7</f>
        <v>2</v>
      </c>
      <c r="M19" s="188">
        <f t="shared" si="0"/>
        <v>3.5331199999999998</v>
      </c>
      <c r="N19" s="189">
        <f>'Cost Calculation'!AS11</f>
        <v>74769.114586489493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FD</v>
      </c>
      <c r="E20" s="187" t="str">
        <f>Pricing!C8</f>
        <v>M9800</v>
      </c>
      <c r="F20" s="187" t="str">
        <f>Pricing!D8</f>
        <v>4 LEAF SLIDE &amp; FOLD DOOR</v>
      </c>
      <c r="G20" s="187" t="str">
        <f>Pricing!N8</f>
        <v>8MM</v>
      </c>
      <c r="H20" s="187" t="str">
        <f>Pricing!F8</f>
        <v>GF - LIVING</v>
      </c>
      <c r="I20" s="216" t="str">
        <f>Pricing!E8</f>
        <v>RETRACTABLE</v>
      </c>
      <c r="J20" s="216">
        <f>Pricing!G8</f>
        <v>3658</v>
      </c>
      <c r="K20" s="216">
        <f>Pricing!H8</f>
        <v>2210</v>
      </c>
      <c r="L20" s="216">
        <f>Pricing!I8</f>
        <v>1</v>
      </c>
      <c r="M20" s="188">
        <f t="shared" si="0"/>
        <v>8.0841799999999999</v>
      </c>
      <c r="N20" s="189">
        <f>'Cost Calculation'!AS12</f>
        <v>346328.89668116986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FG</v>
      </c>
      <c r="E21" s="187" t="str">
        <f>Pricing!C9</f>
        <v>M15000</v>
      </c>
      <c r="F21" s="187" t="str">
        <f>Pricing!D9</f>
        <v>FIXED GLASS 2 NO'S</v>
      </c>
      <c r="G21" s="187" t="str">
        <f>Pricing!N9</f>
        <v>8MM</v>
      </c>
      <c r="H21" s="187" t="str">
        <f>Pricing!F9</f>
        <v>GF - DRAWING</v>
      </c>
      <c r="I21" s="216" t="str">
        <f>Pricing!E9</f>
        <v>NO</v>
      </c>
      <c r="J21" s="216">
        <f>Pricing!G9</f>
        <v>3658</v>
      </c>
      <c r="K21" s="216">
        <f>Pricing!H9</f>
        <v>1448</v>
      </c>
      <c r="L21" s="216">
        <f>Pricing!I9</f>
        <v>1</v>
      </c>
      <c r="M21" s="188">
        <f t="shared" si="0"/>
        <v>5.2967839999999997</v>
      </c>
      <c r="N21" s="189">
        <f>'Cost Calculation'!AS13</f>
        <v>63755.274207982999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KW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8MM</v>
      </c>
      <c r="H22" s="187" t="str">
        <f>Pricing!F10</f>
        <v>GF - KITCHEN</v>
      </c>
      <c r="I22" s="216" t="str">
        <f>Pricing!E10</f>
        <v>SS</v>
      </c>
      <c r="J22" s="216">
        <f>Pricing!G10</f>
        <v>1220</v>
      </c>
      <c r="K22" s="216">
        <f>Pricing!H10</f>
        <v>1144</v>
      </c>
      <c r="L22" s="216">
        <f>Pricing!I10</f>
        <v>1</v>
      </c>
      <c r="M22" s="188">
        <f t="shared" si="0"/>
        <v>1.39568</v>
      </c>
      <c r="N22" s="189">
        <f>'Cost Calculation'!AS14</f>
        <v>31634.134877666285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KW1</v>
      </c>
      <c r="E23" s="187" t="str">
        <f>Pricing!C11</f>
        <v>M15000</v>
      </c>
      <c r="F23" s="187" t="str">
        <f>Pricing!D11</f>
        <v>TOP HUNG WINDOW</v>
      </c>
      <c r="G23" s="187" t="str">
        <f>Pricing!N11</f>
        <v>8MM</v>
      </c>
      <c r="H23" s="187" t="str">
        <f>Pricing!F11</f>
        <v>GF - KITCHEN &amp; ANTI KITCHEN</v>
      </c>
      <c r="I23" s="216" t="str">
        <f>Pricing!E11</f>
        <v>NO</v>
      </c>
      <c r="J23" s="216">
        <f>Pricing!G11</f>
        <v>610</v>
      </c>
      <c r="K23" s="216">
        <f>Pricing!H11</f>
        <v>1144</v>
      </c>
      <c r="L23" s="216">
        <f>Pricing!I11</f>
        <v>2</v>
      </c>
      <c r="M23" s="188">
        <f t="shared" si="0"/>
        <v>1.39568</v>
      </c>
      <c r="N23" s="189">
        <f>'Cost Calculation'!AS15</f>
        <v>83081.443870713978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V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8MM (F)</v>
      </c>
      <c r="H24" s="187" t="str">
        <f>Pricing!F12</f>
        <v>GF - TOILET</v>
      </c>
      <c r="I24" s="216" t="str">
        <f>Pricing!E12</f>
        <v>NO</v>
      </c>
      <c r="J24" s="216">
        <f>Pricing!G12</f>
        <v>916</v>
      </c>
      <c r="K24" s="216">
        <f>Pricing!H12</f>
        <v>610</v>
      </c>
      <c r="L24" s="216">
        <f>Pricing!I12</f>
        <v>2</v>
      </c>
      <c r="M24" s="188">
        <f t="shared" si="0"/>
        <v>1.1175200000000001</v>
      </c>
      <c r="N24" s="189">
        <f>'Cost Calculation'!AS16</f>
        <v>71669.670712679319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V1</v>
      </c>
      <c r="E25" s="187" t="str">
        <f>Pricing!C13</f>
        <v>M15000</v>
      </c>
      <c r="F25" s="187" t="str">
        <f>Pricing!D13</f>
        <v>TOP HUNG WINDOW</v>
      </c>
      <c r="G25" s="187" t="str">
        <f>Pricing!N13</f>
        <v>8MM (F)</v>
      </c>
      <c r="H25" s="187" t="str">
        <f>Pricing!F13</f>
        <v>GF - TOILET</v>
      </c>
      <c r="I25" s="216" t="str">
        <f>Pricing!E13</f>
        <v>NO</v>
      </c>
      <c r="J25" s="216">
        <f>Pricing!G13</f>
        <v>610</v>
      </c>
      <c r="K25" s="216">
        <f>Pricing!H13</f>
        <v>610</v>
      </c>
      <c r="L25" s="216">
        <f>Pricing!I13</f>
        <v>3</v>
      </c>
      <c r="M25" s="188">
        <f t="shared" ref="M25:M42" si="1">J25*K25*L25/1000000</f>
        <v>1.1163000000000001</v>
      </c>
      <c r="N25" s="189">
        <f>'Cost Calculation'!AS17</f>
        <v>95745.32252050651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W6</v>
      </c>
      <c r="E26" s="187" t="str">
        <f>Pricing!C14</f>
        <v>M15000</v>
      </c>
      <c r="F26" s="187" t="str">
        <f>Pricing!D14</f>
        <v>TOP HUNG WINDOW</v>
      </c>
      <c r="G26" s="187" t="str">
        <f>Pricing!N14</f>
        <v>8MM</v>
      </c>
      <c r="H26" s="187" t="str">
        <f>Pricing!F14</f>
        <v>GF - BEDROOM</v>
      </c>
      <c r="I26" s="216" t="str">
        <f>Pricing!E14</f>
        <v>NO</v>
      </c>
      <c r="J26" s="216">
        <f>Pricing!G14</f>
        <v>610</v>
      </c>
      <c r="K26" s="216">
        <f>Pricing!H14</f>
        <v>1448</v>
      </c>
      <c r="L26" s="216">
        <f>Pricing!I14</f>
        <v>1</v>
      </c>
      <c r="M26" s="188">
        <f t="shared" si="1"/>
        <v>0.88327999999999995</v>
      </c>
      <c r="N26" s="189">
        <f>'Cost Calculation'!AS18</f>
        <v>45213.79633125868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W2</v>
      </c>
      <c r="E27" s="187" t="str">
        <f>Pricing!C15</f>
        <v>M900</v>
      </c>
      <c r="F27" s="187" t="str">
        <f>Pricing!D15</f>
        <v>3 TRACK 2 SHUTTER SLIDING WINDOW</v>
      </c>
      <c r="G27" s="187" t="str">
        <f>Pricing!N15</f>
        <v>8MM</v>
      </c>
      <c r="H27" s="187" t="str">
        <f>Pricing!F15</f>
        <v>FF - LIVING</v>
      </c>
      <c r="I27" s="216" t="str">
        <f>Pricing!E15</f>
        <v>SS</v>
      </c>
      <c r="J27" s="216">
        <f>Pricing!G15</f>
        <v>1524</v>
      </c>
      <c r="K27" s="216">
        <f>Pricing!H15</f>
        <v>1448</v>
      </c>
      <c r="L27" s="216">
        <f>Pricing!I15</f>
        <v>3</v>
      </c>
      <c r="M27" s="188">
        <f t="shared" si="1"/>
        <v>6.6202560000000004</v>
      </c>
      <c r="N27" s="189">
        <f>'Cost Calculation'!AS19</f>
        <v>123266.67534000654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W3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8MM</v>
      </c>
      <c r="H28" s="187" t="str">
        <f>Pricing!F16</f>
        <v>FF - LOUNGE</v>
      </c>
      <c r="I28" s="216" t="str">
        <f>Pricing!E16</f>
        <v>SS</v>
      </c>
      <c r="J28" s="216">
        <f>Pricing!G16</f>
        <v>1220</v>
      </c>
      <c r="K28" s="216">
        <f>Pricing!H16</f>
        <v>1754</v>
      </c>
      <c r="L28" s="216">
        <f>Pricing!I16</f>
        <v>3</v>
      </c>
      <c r="M28" s="188">
        <f t="shared" si="1"/>
        <v>6.4196400000000002</v>
      </c>
      <c r="N28" s="189">
        <f>'Cost Calculation'!AS20</f>
        <v>126350.65237902579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W4</v>
      </c>
      <c r="E29" s="187" t="str">
        <f>Pricing!C17</f>
        <v>M900</v>
      </c>
      <c r="F29" s="187" t="str">
        <f>Pricing!D17</f>
        <v>3 TRACK 2 SHUTTER SLIDING WINDOW</v>
      </c>
      <c r="G29" s="187" t="str">
        <f>Pricing!N17</f>
        <v>8MM</v>
      </c>
      <c r="H29" s="187" t="str">
        <f>Pricing!F17</f>
        <v>FF - BEDROOM</v>
      </c>
      <c r="I29" s="216" t="str">
        <f>Pricing!E17</f>
        <v>SS</v>
      </c>
      <c r="J29" s="216">
        <f>Pricing!G17</f>
        <v>1220</v>
      </c>
      <c r="K29" s="216">
        <f>Pricing!H17</f>
        <v>1448</v>
      </c>
      <c r="L29" s="216">
        <f>Pricing!I17</f>
        <v>1</v>
      </c>
      <c r="M29" s="188">
        <f t="shared" si="1"/>
        <v>1.7665599999999999</v>
      </c>
      <c r="N29" s="189">
        <f>'Cost Calculation'!AS21</f>
        <v>37384.557293244747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W5</v>
      </c>
      <c r="E30" s="187" t="str">
        <f>Pricing!C18</f>
        <v>M900</v>
      </c>
      <c r="F30" s="187" t="str">
        <f>Pricing!D18</f>
        <v>3 TRACK 2 SHUTTER SLIDING WINDOW</v>
      </c>
      <c r="G30" s="187" t="str">
        <f>Pricing!N18</f>
        <v>8MM</v>
      </c>
      <c r="H30" s="187" t="str">
        <f>Pricing!F18</f>
        <v>FF - BEDROOM</v>
      </c>
      <c r="I30" s="216" t="str">
        <f>Pricing!E18</f>
        <v>SS</v>
      </c>
      <c r="J30" s="216">
        <f>Pricing!G18</f>
        <v>1068</v>
      </c>
      <c r="K30" s="216">
        <f>Pricing!H18</f>
        <v>1448</v>
      </c>
      <c r="L30" s="216">
        <f>Pricing!I18</f>
        <v>2</v>
      </c>
      <c r="M30" s="188">
        <f t="shared" si="1"/>
        <v>3.0929280000000001</v>
      </c>
      <c r="N30" s="189">
        <f>'Cost Calculation'!AS22</f>
        <v>71067.129352527045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W6</v>
      </c>
      <c r="E31" s="187" t="str">
        <f>Pricing!C19</f>
        <v>M15000</v>
      </c>
      <c r="F31" s="187" t="str">
        <f>Pricing!D19</f>
        <v>TOP HUNG WINDOW</v>
      </c>
      <c r="G31" s="187" t="str">
        <f>Pricing!N19</f>
        <v>8MM</v>
      </c>
      <c r="H31" s="187" t="str">
        <f>Pricing!F19</f>
        <v>FF - BEDROOM &amp; LIVING</v>
      </c>
      <c r="I31" s="216" t="str">
        <f>Pricing!E19</f>
        <v>NO</v>
      </c>
      <c r="J31" s="216">
        <f>Pricing!G19</f>
        <v>610</v>
      </c>
      <c r="K31" s="216">
        <f>Pricing!H19</f>
        <v>1448</v>
      </c>
      <c r="L31" s="216">
        <f>Pricing!I19</f>
        <v>2</v>
      </c>
      <c r="M31" s="188">
        <f t="shared" si="1"/>
        <v>1.7665599999999999</v>
      </c>
      <c r="N31" s="189">
        <f>'Cost Calculation'!AS23</f>
        <v>90427.59266251736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SD</v>
      </c>
      <c r="E32" s="187" t="str">
        <f>Pricing!C20</f>
        <v>M14600</v>
      </c>
      <c r="F32" s="187" t="str">
        <f>Pricing!D20</f>
        <v>3 TRACK 2 SHUTTER SLIDING DOOR WITH 2 FIXED</v>
      </c>
      <c r="G32" s="187" t="str">
        <f>Pricing!N20</f>
        <v>8MM</v>
      </c>
      <c r="H32" s="187" t="str">
        <f>Pricing!F20</f>
        <v>FF - LOUNGE</v>
      </c>
      <c r="I32" s="216" t="str">
        <f>Pricing!E20</f>
        <v>SS</v>
      </c>
      <c r="J32" s="216">
        <f>Pricing!G20</f>
        <v>4572</v>
      </c>
      <c r="K32" s="216">
        <f>Pricing!H20</f>
        <v>2210</v>
      </c>
      <c r="L32" s="216">
        <f>Pricing!I20</f>
        <v>1</v>
      </c>
      <c r="M32" s="188">
        <f t="shared" si="1"/>
        <v>10.10412</v>
      </c>
      <c r="N32" s="189">
        <f>'Cost Calculation'!AS24</f>
        <v>281015.08116418828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D/W</v>
      </c>
      <c r="E33" s="187" t="str">
        <f>Pricing!C21</f>
        <v>M14600</v>
      </c>
      <c r="F33" s="187" t="str">
        <f>Pricing!D21</f>
        <v>3 TRACK 2 SHUTTER SLIDING DOOR WITH 2 FIXED</v>
      </c>
      <c r="G33" s="187" t="str">
        <f>Pricing!N21</f>
        <v>8MM</v>
      </c>
      <c r="H33" s="187" t="str">
        <f>Pricing!F21</f>
        <v>FF - BEDROOM</v>
      </c>
      <c r="I33" s="216" t="str">
        <f>Pricing!E21</f>
        <v>SS</v>
      </c>
      <c r="J33" s="216">
        <f>Pricing!G21</f>
        <v>4572</v>
      </c>
      <c r="K33" s="216">
        <f>Pricing!H21</f>
        <v>2210</v>
      </c>
      <c r="L33" s="216">
        <f>Pricing!I21</f>
        <v>1</v>
      </c>
      <c r="M33" s="188">
        <f t="shared" si="1"/>
        <v>10.10412</v>
      </c>
      <c r="N33" s="189">
        <f>'Cost Calculation'!AS25</f>
        <v>281015.08116418828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D/W 1</v>
      </c>
      <c r="E34" s="187" t="str">
        <f>Pricing!C22</f>
        <v>M14600</v>
      </c>
      <c r="F34" s="187" t="str">
        <f>Pricing!D22</f>
        <v>3 TRACK 2 SHUTTER SLIDING DOOR</v>
      </c>
      <c r="G34" s="187" t="str">
        <f>Pricing!N22</f>
        <v>8MM</v>
      </c>
      <c r="H34" s="187" t="str">
        <f>Pricing!F22</f>
        <v>FF - LIVING</v>
      </c>
      <c r="I34" s="216" t="str">
        <f>Pricing!E22</f>
        <v>SS</v>
      </c>
      <c r="J34" s="216">
        <f>Pricing!G22</f>
        <v>2744</v>
      </c>
      <c r="K34" s="216">
        <f>Pricing!H22</f>
        <v>2210</v>
      </c>
      <c r="L34" s="216">
        <f>Pricing!I22</f>
        <v>1</v>
      </c>
      <c r="M34" s="188">
        <f t="shared" si="1"/>
        <v>6.0642399999999999</v>
      </c>
      <c r="N34" s="189">
        <f>'Cost Calculation'!AS26</f>
        <v>152545.27695590479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V1</v>
      </c>
      <c r="E35" s="187" t="str">
        <f>Pricing!C23</f>
        <v>M14600</v>
      </c>
      <c r="F35" s="187" t="str">
        <f>Pricing!D23</f>
        <v>TOP HUNG WINDOW</v>
      </c>
      <c r="G35" s="187" t="str">
        <f>Pricing!N23</f>
        <v>8MM (F)</v>
      </c>
      <c r="H35" s="187" t="str">
        <f>Pricing!F23</f>
        <v>FF - TOILET</v>
      </c>
      <c r="I35" s="216" t="str">
        <f>Pricing!E23</f>
        <v>NO</v>
      </c>
      <c r="J35" s="216">
        <f>Pricing!G23</f>
        <v>610</v>
      </c>
      <c r="K35" s="216">
        <f>Pricing!H23</f>
        <v>610</v>
      </c>
      <c r="L35" s="216">
        <f>Pricing!I23</f>
        <v>1</v>
      </c>
      <c r="M35" s="188">
        <f t="shared" si="1"/>
        <v>0.37209999999999999</v>
      </c>
      <c r="N35" s="189">
        <f>'Cost Calculation'!AS27</f>
        <v>31915.107506835513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V2</v>
      </c>
      <c r="E36" s="187" t="str">
        <f>Pricing!C24</f>
        <v>M15000</v>
      </c>
      <c r="F36" s="187" t="str">
        <f>Pricing!D24</f>
        <v>FIXED GLASS WITH GLASS LOUVERS</v>
      </c>
      <c r="G36" s="187" t="str">
        <f>Pricing!N24</f>
        <v>8MM (F) &amp; 6MM (A&amp;F)</v>
      </c>
      <c r="H36" s="187" t="str">
        <f>Pricing!F24</f>
        <v>FF - TOILET</v>
      </c>
      <c r="I36" s="216" t="str">
        <f>Pricing!E24</f>
        <v>NO</v>
      </c>
      <c r="J36" s="216">
        <f>Pricing!G24</f>
        <v>458</v>
      </c>
      <c r="K36" s="216">
        <f>Pricing!H24</f>
        <v>1220</v>
      </c>
      <c r="L36" s="216">
        <f>Pricing!I24</f>
        <v>4</v>
      </c>
      <c r="M36" s="188">
        <f t="shared" si="1"/>
        <v>2.2350400000000001</v>
      </c>
      <c r="N36" s="189">
        <f>'Cost Calculation'!AS28</f>
        <v>48148.62788667337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AW4</v>
      </c>
      <c r="E37" s="187" t="str">
        <f>Pricing!C25</f>
        <v>M900</v>
      </c>
      <c r="F37" s="187" t="str">
        <f>Pricing!D25</f>
        <v>3 TRACK 2 SHUTTER SLIDING WINDOW</v>
      </c>
      <c r="G37" s="187" t="str">
        <f>Pricing!N25</f>
        <v>8MM</v>
      </c>
      <c r="H37" s="187" t="str">
        <f>Pricing!F25</f>
        <v>FF - BEDROOM BALCONY</v>
      </c>
      <c r="I37" s="216" t="str">
        <f>Pricing!E25</f>
        <v>SS</v>
      </c>
      <c r="J37" s="216">
        <f>Pricing!G25</f>
        <v>1220</v>
      </c>
      <c r="K37" s="216">
        <f>Pricing!H25</f>
        <v>1448</v>
      </c>
      <c r="L37" s="216">
        <f>Pricing!I25</f>
        <v>1</v>
      </c>
      <c r="M37" s="188">
        <f t="shared" si="1"/>
        <v>1.7665599999999999</v>
      </c>
      <c r="N37" s="189">
        <f>'Cost Calculation'!AS29</f>
        <v>37384.557293244747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V1</v>
      </c>
      <c r="E38" s="187" t="str">
        <f>Pricing!C26</f>
        <v>M15000</v>
      </c>
      <c r="F38" s="187" t="str">
        <f>Pricing!D26</f>
        <v>TOP HUNG WINDOW</v>
      </c>
      <c r="G38" s="187" t="str">
        <f>Pricing!N26</f>
        <v>8MM (F)</v>
      </c>
      <c r="H38" s="187" t="str">
        <f>Pricing!F26</f>
        <v>SF - TOILET</v>
      </c>
      <c r="I38" s="216" t="str">
        <f>Pricing!E26</f>
        <v>NO</v>
      </c>
      <c r="J38" s="216">
        <f>Pricing!G26</f>
        <v>610</v>
      </c>
      <c r="K38" s="216">
        <f>Pricing!H26</f>
        <v>610</v>
      </c>
      <c r="L38" s="216">
        <f>Pricing!I26</f>
        <v>1</v>
      </c>
      <c r="M38" s="188">
        <f t="shared" si="1"/>
        <v>0.37209999999999999</v>
      </c>
      <c r="N38" s="189">
        <f>'Cost Calculation'!AS30</f>
        <v>31915.107506835513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V2</v>
      </c>
      <c r="E39" s="187" t="str">
        <f>Pricing!C27</f>
        <v>M15000</v>
      </c>
      <c r="F39" s="187" t="str">
        <f>Pricing!D27</f>
        <v>FIXED GLASS WITH GLASS LOUVERS</v>
      </c>
      <c r="G39" s="187" t="str">
        <f>Pricing!N27</f>
        <v>8MM (F) &amp; 6MM (A&amp;F)</v>
      </c>
      <c r="H39" s="187" t="str">
        <f>Pricing!F27</f>
        <v>SF - TOILET</v>
      </c>
      <c r="I39" s="216" t="str">
        <f>Pricing!E27</f>
        <v>NO</v>
      </c>
      <c r="J39" s="216">
        <f>Pricing!G27</f>
        <v>458</v>
      </c>
      <c r="K39" s="216">
        <f>Pricing!H27</f>
        <v>1220</v>
      </c>
      <c r="L39" s="216">
        <f>Pricing!I27</f>
        <v>2</v>
      </c>
      <c r="M39" s="188">
        <f t="shared" si="1"/>
        <v>1.1175200000000001</v>
      </c>
      <c r="N39" s="189">
        <f>'Cost Calculation'!AS31</f>
        <v>22954.558903336685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SW</v>
      </c>
      <c r="E40" s="187" t="str">
        <f>Pricing!C28</f>
        <v>M15000</v>
      </c>
      <c r="F40" s="187" t="str">
        <f>Pricing!D28</f>
        <v>FIXED GLASS 2 NO'S</v>
      </c>
      <c r="G40" s="187" t="str">
        <f>Pricing!N28</f>
        <v>8MM</v>
      </c>
      <c r="H40" s="187" t="str">
        <f>Pricing!F28</f>
        <v>SF - PARTY ROOM</v>
      </c>
      <c r="I40" s="216" t="str">
        <f>Pricing!E28</f>
        <v>NO</v>
      </c>
      <c r="J40" s="216">
        <f>Pricing!G28</f>
        <v>3658</v>
      </c>
      <c r="K40" s="216">
        <f>Pricing!H28</f>
        <v>1448</v>
      </c>
      <c r="L40" s="216">
        <f>Pricing!I28</f>
        <v>1</v>
      </c>
      <c r="M40" s="188">
        <f t="shared" si="1"/>
        <v>5.2967839999999997</v>
      </c>
      <c r="N40" s="189">
        <f>'Cost Calculation'!AS32</f>
        <v>63755.274207982999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W4</v>
      </c>
      <c r="E41" s="187" t="str">
        <f>Pricing!C29</f>
        <v>M900</v>
      </c>
      <c r="F41" s="187" t="str">
        <f>Pricing!D29</f>
        <v>3 TRACK 2 SHUTTER SLIDING WINDOW</v>
      </c>
      <c r="G41" s="187" t="str">
        <f>Pricing!N29</f>
        <v>8MM</v>
      </c>
      <c r="H41" s="187" t="str">
        <f>Pricing!F29</f>
        <v>SF - PARTY ROOM</v>
      </c>
      <c r="I41" s="216" t="str">
        <f>Pricing!E29</f>
        <v>SS</v>
      </c>
      <c r="J41" s="216">
        <f>Pricing!G29</f>
        <v>1220</v>
      </c>
      <c r="K41" s="216">
        <f>Pricing!H29</f>
        <v>1448</v>
      </c>
      <c r="L41" s="216">
        <f>Pricing!I29</f>
        <v>1</v>
      </c>
      <c r="M41" s="188">
        <f t="shared" si="1"/>
        <v>1.7665599999999999</v>
      </c>
      <c r="N41" s="189">
        <f>'Cost Calculation'!AS33</f>
        <v>37384.557293244747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49</v>
      </c>
      <c r="M116" s="191">
        <f>SUM(M16:M115)</f>
        <v>110.56548799999997</v>
      </c>
      <c r="N116" s="186"/>
      <c r="O116" s="95"/>
    </row>
    <row r="117" spans="2:15" s="94" customFormat="1" ht="30" customHeight="1" thickTop="1" thickBot="1">
      <c r="B117" s="421" t="s">
        <v>180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2829903</v>
      </c>
      <c r="O117" s="95">
        <f>N117/SUM(M116)</f>
        <v>25594.813093937602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509383</v>
      </c>
      <c r="O118" s="95">
        <f>N118/SUM(M116)</f>
        <v>4607.0705173390106</v>
      </c>
    </row>
    <row r="119" spans="2:15" s="94" customFormat="1" ht="30" customHeight="1" thickTop="1" thickBot="1">
      <c r="B119" s="421" t="s">
        <v>181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3339286</v>
      </c>
      <c r="O119" s="95">
        <f>N119/SUM(M116)</f>
        <v>30201.883611276611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2377.8161551409889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4" t="s">
        <v>206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12">
        <v>1</v>
      </c>
      <c r="C125" s="413"/>
      <c r="D125" s="410" t="s">
        <v>477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478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479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4" t="s">
        <v>140</v>
      </c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6"/>
      <c r="O128" s="138"/>
    </row>
    <row r="129" spans="2:14" s="93" customFormat="1" ht="24.95" customHeight="1">
      <c r="B129" s="412">
        <v>1</v>
      </c>
      <c r="C129" s="413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2">
        <v>3</v>
      </c>
      <c r="C131" s="413"/>
      <c r="D131" s="414" t="s">
        <v>404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4</v>
      </c>
      <c r="C132" s="413"/>
      <c r="D132" s="414" t="s">
        <v>405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2">
        <v>1</v>
      </c>
      <c r="C134" s="413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2">
        <v>2</v>
      </c>
      <c r="C135" s="413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93" customFormat="1" ht="24.95" customHeight="1">
      <c r="B136" s="412">
        <v>3</v>
      </c>
      <c r="C136" s="413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2">
        <v>1</v>
      </c>
      <c r="C139" s="413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2</v>
      </c>
      <c r="C140" s="413"/>
      <c r="D140" s="410" t="s">
        <v>401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3</v>
      </c>
      <c r="C141" s="413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4</v>
      </c>
      <c r="C142" s="413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2">
        <v>5</v>
      </c>
      <c r="C143" s="413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93" customFormat="1" ht="24.95" customHeight="1">
      <c r="B144" s="412">
        <v>6</v>
      </c>
      <c r="C144" s="413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2">
        <v>1</v>
      </c>
      <c r="C146" s="413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2">
        <v>2</v>
      </c>
      <c r="C147" s="413"/>
      <c r="D147" s="499" t="s">
        <v>422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2">
        <v>3</v>
      </c>
      <c r="C148" s="413"/>
      <c r="D148" s="410" t="s">
        <v>154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2">
        <v>4</v>
      </c>
      <c r="C149" s="413"/>
      <c r="D149" s="410" t="s">
        <v>155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96" t="s">
        <v>156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2">
        <v>1</v>
      </c>
      <c r="C151" s="413"/>
      <c r="D151" s="410" t="s">
        <v>157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2">
        <v>2</v>
      </c>
      <c r="C152" s="413"/>
      <c r="D152" s="499" t="s">
        <v>158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159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2">
        <v>1</v>
      </c>
      <c r="C154" s="413"/>
      <c r="D154" s="474" t="s">
        <v>160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2">
        <v>2</v>
      </c>
      <c r="C155" s="413"/>
      <c r="D155" s="474" t="s">
        <v>161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2">
        <v>3</v>
      </c>
      <c r="C156" s="413"/>
      <c r="D156" s="493" t="s">
        <v>162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2">
        <v>4</v>
      </c>
      <c r="C157" s="413"/>
      <c r="D157" s="474" t="s">
        <v>163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164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2">
        <v>1</v>
      </c>
      <c r="C159" s="413"/>
      <c r="D159" s="474" t="s">
        <v>165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2">
        <v>2</v>
      </c>
      <c r="C160" s="413"/>
      <c r="D160" s="474" t="s">
        <v>166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2">
        <v>3</v>
      </c>
      <c r="C161" s="413"/>
      <c r="D161" s="474" t="s">
        <v>167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2">
        <v>4</v>
      </c>
      <c r="C162" s="413"/>
      <c r="D162" s="474" t="s">
        <v>400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239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240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204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D125:N125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43704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Shilpi</v>
      </c>
      <c r="E3" s="519"/>
      <c r="F3" s="522" t="s">
        <v>245</v>
      </c>
      <c r="G3" s="523">
        <f>QUOTATION!N8</f>
        <v>43704</v>
      </c>
    </row>
    <row r="4" spans="3:13">
      <c r="C4" s="297" t="s">
        <v>242</v>
      </c>
      <c r="D4" s="520" t="str">
        <f>QUOTATION!M6</f>
        <v>ABPL-DE-19.20-2172-OP-1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Mr. Anamol Anand : 7702300826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243</v>
      </c>
      <c r="D12" s="521">
        <f>QUOTATION!M7</f>
        <v>43704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9497.0600000000013</v>
      </c>
      <c r="F14" s="205"/>
      <c r="G14" s="206">
        <f>E14</f>
        <v>9497.0600000000013</v>
      </c>
    </row>
    <row r="15" spans="3:13">
      <c r="C15" s="194" t="s">
        <v>234</v>
      </c>
      <c r="D15" s="296">
        <f>'Changable Values'!D4</f>
        <v>83</v>
      </c>
      <c r="E15" s="199">
        <f>E14*D15</f>
        <v>788255.9800000001</v>
      </c>
      <c r="F15" s="205"/>
      <c r="G15" s="207">
        <f>E15</f>
        <v>788255.9800000001</v>
      </c>
    </row>
    <row r="16" spans="3:13">
      <c r="C16" s="195" t="s">
        <v>97</v>
      </c>
      <c r="D16" s="200">
        <f>'Changable Values'!D5</f>
        <v>0.1</v>
      </c>
      <c r="E16" s="199">
        <f>E15*D16</f>
        <v>78825.598000000013</v>
      </c>
      <c r="F16" s="208">
        <f>'Changable Values'!D5</f>
        <v>0.1</v>
      </c>
      <c r="G16" s="207">
        <f>G15*F16</f>
        <v>78825.598000000013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95378.973580000005</v>
      </c>
      <c r="F17" s="208">
        <f>'Changable Values'!D6</f>
        <v>0.11</v>
      </c>
      <c r="G17" s="207">
        <f>SUM(G15:G16)*F17</f>
        <v>95378.973580000005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4812.3027579000009</v>
      </c>
      <c r="F18" s="208">
        <f>'Changable Values'!D7</f>
        <v>5.0000000000000001E-3</v>
      </c>
      <c r="G18" s="207">
        <f>SUM(G15:G17)*F18</f>
        <v>4812.3027579000009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9672.7285433790003</v>
      </c>
      <c r="F19" s="208">
        <f>'Changable Values'!D8</f>
        <v>0.01</v>
      </c>
      <c r="G19" s="207">
        <f>SUM(G15:G18)*F19</f>
        <v>9672.7285433790003</v>
      </c>
    </row>
    <row r="20" spans="3:7">
      <c r="C20" s="195" t="s">
        <v>99</v>
      </c>
      <c r="D20" s="201"/>
      <c r="E20" s="199">
        <f>SUM(E15:E19)</f>
        <v>976945.58288127906</v>
      </c>
      <c r="F20" s="208"/>
      <c r="G20" s="207">
        <f>SUM(G15:G19)</f>
        <v>976945.58288127906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14654.183743219186</v>
      </c>
      <c r="F21" s="208">
        <f>'Changable Values'!D9</f>
        <v>1.4999999999999999E-2</v>
      </c>
      <c r="G21" s="207">
        <f>G20*F21</f>
        <v>14654.183743219186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151391.06125600004</v>
      </c>
      <c r="F23" s="209"/>
      <c r="G23" s="207">
        <f t="shared" si="0"/>
        <v>151391.06125600004</v>
      </c>
    </row>
    <row r="24" spans="3:7">
      <c r="C24" s="195" t="s">
        <v>229</v>
      </c>
      <c r="D24" s="198"/>
      <c r="E24" s="199">
        <f>'Cost Calculation'!AH111</f>
        <v>49334.817836065558</v>
      </c>
      <c r="F24" s="209"/>
      <c r="G24" s="207">
        <f t="shared" si="0"/>
        <v>49334.817836065558</v>
      </c>
    </row>
    <row r="25" spans="3:7">
      <c r="C25" s="196" t="s">
        <v>237</v>
      </c>
      <c r="D25" s="198"/>
      <c r="E25" s="199">
        <f>'Cost Calculation'!AJ109</f>
        <v>43869.564647999992</v>
      </c>
      <c r="F25" s="209"/>
      <c r="G25" s="207">
        <f t="shared" si="0"/>
        <v>43869.564647999992</v>
      </c>
    </row>
    <row r="26" spans="3:7">
      <c r="C26" s="196" t="s">
        <v>238</v>
      </c>
      <c r="D26" s="198"/>
      <c r="E26" s="199">
        <f>'Cost Calculation'!AK109</f>
        <v>78316.302167999995</v>
      </c>
      <c r="F26" s="209"/>
      <c r="G26" s="207">
        <f t="shared" si="0"/>
        <v>78316.302167999995</v>
      </c>
    </row>
    <row r="27" spans="3:7">
      <c r="C27" s="195" t="s">
        <v>86</v>
      </c>
      <c r="D27" s="198"/>
      <c r="E27" s="199">
        <f>'Cost Calculation'!AL109</f>
        <v>119012.69128319997</v>
      </c>
      <c r="F27" s="209"/>
      <c r="G27" s="207">
        <f t="shared" si="0"/>
        <v>119012.69128319997</v>
      </c>
    </row>
    <row r="28" spans="3:7">
      <c r="C28" s="195" t="s">
        <v>88</v>
      </c>
      <c r="D28" s="198"/>
      <c r="E28" s="199">
        <f>'Cost Calculation'!AN109</f>
        <v>95210.153026559972</v>
      </c>
      <c r="F28" s="209"/>
      <c r="G28" s="207">
        <f t="shared" si="0"/>
        <v>95210.153026559972</v>
      </c>
    </row>
    <row r="29" spans="3:7">
      <c r="C29" s="293" t="s">
        <v>378</v>
      </c>
      <c r="D29" s="294"/>
      <c r="E29" s="295">
        <f>SUM(E20:E28)</f>
        <v>1528734.3568423237</v>
      </c>
      <c r="F29" s="209"/>
      <c r="G29" s="207">
        <f>SUM(G20:G21,G24)</f>
        <v>1040934.5844605638</v>
      </c>
    </row>
    <row r="30" spans="3:7">
      <c r="C30" s="293" t="s">
        <v>379</v>
      </c>
      <c r="D30" s="294"/>
      <c r="E30" s="295">
        <f>E29/E33</f>
        <v>1284.5137273675973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1301168.2305757047</v>
      </c>
      <c r="F31" s="214">
        <f>'Changable Values'!D23</f>
        <v>1.25</v>
      </c>
      <c r="G31" s="207">
        <f>G29*F31</f>
        <v>1301168.2305757047</v>
      </c>
    </row>
    <row r="32" spans="3:7">
      <c r="C32" s="290" t="s">
        <v>5</v>
      </c>
      <c r="D32" s="291"/>
      <c r="E32" s="292">
        <f>E31+E29</f>
        <v>2829902.5874180282</v>
      </c>
      <c r="F32" s="205"/>
      <c r="G32" s="207">
        <f>SUM(G25:G31,G22:G23)</f>
        <v>2829902.5874180282</v>
      </c>
    </row>
    <row r="33" spans="3:7">
      <c r="C33" s="300" t="s">
        <v>230</v>
      </c>
      <c r="D33" s="301"/>
      <c r="E33" s="308">
        <f>'Cost Calculation'!K109</f>
        <v>1190.1269128319998</v>
      </c>
      <c r="F33" s="210"/>
      <c r="G33" s="211">
        <f>E33</f>
        <v>1190.1269128319998</v>
      </c>
    </row>
    <row r="34" spans="3:7">
      <c r="C34" s="302" t="s">
        <v>9</v>
      </c>
      <c r="D34" s="303"/>
      <c r="E34" s="304">
        <f>QUOTATION!L116</f>
        <v>49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2377.8158084704214</v>
      </c>
      <c r="F35" s="212"/>
      <c r="G35" s="213">
        <f>G32/(G33)</f>
        <v>2377.8158084704214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2019-08-27T05:16:19Z</cp:lastPrinted>
  <dcterms:created xsi:type="dcterms:W3CDTF">2010-12-18T06:34:46Z</dcterms:created>
  <dcterms:modified xsi:type="dcterms:W3CDTF">2019-08-28T10:30:36Z</dcterms:modified>
</cp:coreProperties>
</file>