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6675" yWindow="165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Drawings!$C$2:$O$403</definedName>
    <definedName name="_xlnm.Print_Area" localSheetId="6">QUOTATION!$B$1:$N$173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E37" i="165" l="1"/>
  <c r="E34" i="165"/>
  <c r="E33" i="165"/>
  <c r="Q35" i="158" l="1"/>
  <c r="Q34" i="158"/>
  <c r="Q32" i="158"/>
  <c r="Q31" i="158"/>
  <c r="Q26" i="158"/>
  <c r="Q22" i="158"/>
  <c r="Q19" i="158"/>
  <c r="Q18" i="158"/>
  <c r="Q17" i="158"/>
  <c r="Q15" i="158"/>
  <c r="Q14" i="158"/>
  <c r="Q13" i="158"/>
  <c r="Q10" i="158"/>
  <c r="Q9" i="158"/>
  <c r="Q7" i="158"/>
  <c r="Q5" i="158"/>
  <c r="K12" i="161"/>
  <c r="K40" i="161"/>
  <c r="K39" i="161"/>
  <c r="K37" i="161"/>
  <c r="K36" i="161"/>
  <c r="K15" i="161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31" i="169"/>
  <c r="U32" i="169"/>
  <c r="U33" i="169"/>
  <c r="U34" i="169"/>
  <c r="U35" i="169"/>
  <c r="U36" i="169"/>
  <c r="U37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31" i="169"/>
  <c r="T32" i="169"/>
  <c r="T33" i="169"/>
  <c r="T34" i="169"/>
  <c r="T35" i="169"/>
  <c r="T36" i="169"/>
  <c r="T37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S31" i="169"/>
  <c r="S32" i="169"/>
  <c r="S33" i="169"/>
  <c r="S34" i="169"/>
  <c r="S35" i="169"/>
  <c r="S36" i="169"/>
  <c r="S37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R31" i="169"/>
  <c r="R32" i="169"/>
  <c r="R33" i="169"/>
  <c r="R34" i="169"/>
  <c r="R35" i="169"/>
  <c r="R36" i="169"/>
  <c r="R37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31" i="169"/>
  <c r="Q32" i="169"/>
  <c r="Q33" i="169"/>
  <c r="Q34" i="169"/>
  <c r="Q35" i="169"/>
  <c r="Q36" i="169"/>
  <c r="Q37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31" i="169"/>
  <c r="P32" i="169"/>
  <c r="P33" i="169"/>
  <c r="P34" i="169"/>
  <c r="P35" i="169"/>
  <c r="P36" i="169"/>
  <c r="P37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O31" i="169"/>
  <c r="O32" i="169"/>
  <c r="O33" i="169"/>
  <c r="O34" i="169"/>
  <c r="O35" i="169"/>
  <c r="O36" i="169"/>
  <c r="O37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31" i="169"/>
  <c r="M32" i="169"/>
  <c r="M33" i="169"/>
  <c r="M34" i="169"/>
  <c r="M35" i="169"/>
  <c r="M36" i="169"/>
  <c r="M37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31" i="169"/>
  <c r="L32" i="169"/>
  <c r="L33" i="169"/>
  <c r="L34" i="169"/>
  <c r="L35" i="169"/>
  <c r="L36" i="169"/>
  <c r="L37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K31" i="169"/>
  <c r="K32" i="169"/>
  <c r="K33" i="169"/>
  <c r="K34" i="169"/>
  <c r="K35" i="169"/>
  <c r="K36" i="169"/>
  <c r="K37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31" i="169"/>
  <c r="J32" i="169"/>
  <c r="J33" i="169"/>
  <c r="J34" i="169"/>
  <c r="J35" i="169"/>
  <c r="J36" i="169"/>
  <c r="J37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31" i="169"/>
  <c r="I32" i="169"/>
  <c r="I33" i="169"/>
  <c r="I34" i="169"/>
  <c r="I35" i="169"/>
  <c r="I36" i="169"/>
  <c r="I37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31" i="169"/>
  <c r="F32" i="169"/>
  <c r="F33" i="169"/>
  <c r="F34" i="169"/>
  <c r="F35" i="169"/>
  <c r="F36" i="169"/>
  <c r="F37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B31" i="169"/>
  <c r="C31" i="169"/>
  <c r="D31" i="169"/>
  <c r="B32" i="169"/>
  <c r="C32" i="169"/>
  <c r="D32" i="169"/>
  <c r="B33" i="169"/>
  <c r="C33" i="169"/>
  <c r="D33" i="169"/>
  <c r="B34" i="169"/>
  <c r="C34" i="169"/>
  <c r="D34" i="169"/>
  <c r="B35" i="169"/>
  <c r="C35" i="169"/>
  <c r="D35" i="169"/>
  <c r="B36" i="169"/>
  <c r="C36" i="169"/>
  <c r="D36" i="169"/>
  <c r="B37" i="169"/>
  <c r="C37" i="169"/>
  <c r="D37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31" i="169"/>
  <c r="A32" i="169"/>
  <c r="A33" i="169"/>
  <c r="A34" i="169"/>
  <c r="A35" i="169"/>
  <c r="A36" i="169"/>
  <c r="A37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8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9" i="160" l="1"/>
  <c r="M43" i="160"/>
  <c r="M47" i="160"/>
  <c r="M52" i="160"/>
  <c r="AH51" i="159"/>
  <c r="M41" i="160"/>
  <c r="M35" i="160"/>
  <c r="AH10" i="159"/>
  <c r="AH22" i="159"/>
  <c r="AH46" i="159"/>
  <c r="AH54" i="159"/>
  <c r="AH57" i="159"/>
  <c r="AH49" i="159"/>
  <c r="AH18" i="159"/>
  <c r="AH56" i="159"/>
  <c r="AH13" i="159"/>
  <c r="AH32" i="159"/>
  <c r="AH45" i="159"/>
  <c r="AH50" i="159"/>
  <c r="AH53" i="159"/>
  <c r="AH15" i="159"/>
  <c r="AH48" i="159"/>
  <c r="AH44" i="159"/>
  <c r="M31" i="160"/>
  <c r="M51" i="160"/>
  <c r="AH52" i="159"/>
  <c r="AH55" i="159"/>
  <c r="AH47" i="159"/>
  <c r="AH16" i="159"/>
  <c r="AH43" i="159"/>
  <c r="AH42" i="159"/>
  <c r="M50" i="160"/>
  <c r="AH41" i="159"/>
  <c r="AH40" i="159"/>
  <c r="AH39" i="159"/>
  <c r="AH38" i="159"/>
  <c r="AH37" i="159"/>
  <c r="AH36" i="159"/>
  <c r="AH35" i="159"/>
  <c r="AH34" i="159"/>
  <c r="M42" i="160"/>
  <c r="AH33" i="159"/>
  <c r="AH31" i="159"/>
  <c r="AH30" i="159"/>
  <c r="M38" i="160"/>
  <c r="AH29" i="159"/>
  <c r="M37" i="160"/>
  <c r="AH28" i="159"/>
  <c r="M36" i="160"/>
  <c r="AH27" i="159"/>
  <c r="AH26" i="159"/>
  <c r="AH25" i="159"/>
  <c r="AH24" i="159"/>
  <c r="AH23" i="159"/>
  <c r="M30" i="160"/>
  <c r="AH21" i="159"/>
  <c r="AH20" i="159"/>
  <c r="AH19" i="159"/>
  <c r="M26" i="160"/>
  <c r="AH17" i="159"/>
  <c r="AH14" i="159"/>
  <c r="AH12" i="159"/>
  <c r="AH11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6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N120" i="160" s="1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9" i="159" l="1"/>
  <c r="AT107" i="159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S11" i="159" l="1"/>
  <c r="AT11" i="159" s="1"/>
  <c r="AT30" i="159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5" i="165" l="1"/>
  <c r="G35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0" i="165"/>
  <c r="G22" i="165"/>
  <c r="Q109" i="159"/>
  <c r="T109" i="159"/>
  <c r="R109" i="159"/>
  <c r="U8" i="159"/>
  <c r="G32" i="165" l="1"/>
  <c r="G37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N118" i="160" l="1"/>
  <c r="N119" i="160" s="1"/>
  <c r="N121" i="160" s="1"/>
  <c r="AT8" i="159"/>
  <c r="AU8" i="159" s="1"/>
  <c r="AZ8" i="159" s="1"/>
  <c r="AS109" i="159"/>
  <c r="O120" i="160" l="1"/>
  <c r="O117" i="160"/>
  <c r="O122" i="160" s="1"/>
  <c r="O121" i="160" l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<sst xmlns="http://schemas.openxmlformats.org/spreadsheetml/2006/main" count="2143" uniqueCount="521">
  <si>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</si>
  <si>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</si>
  <si>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</si>
  <si>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</si>
  <si>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</si>
  <si>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</si>
  <si>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</si>
  <si>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</si>
  <si>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</si>
  <si>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</si>
  <si>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</si>
  <si>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</si>
  <si>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</si>
  <si>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</si>
  <si>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</si>
  <si>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</si>
  <si>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</si>
  <si>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</si>
  <si>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</si>
  <si>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</si>
  <si>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</si>
  <si>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</si>
  <si>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</si>
  <si>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</si>
  <si>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</si>
  <si>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</si>
  <si>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</si>
  <si>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</si>
  <si>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</si>
  <si>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</si>
  <si>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</si>
  <si>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</si>
  <si>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</si>
  <si>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</si>
  <si>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</si>
  <si>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</si>
  <si>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</si>
  <si>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</si>
  <si>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</si>
  <si>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</si>
  <si>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</si>
  <si>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</si>
  <si>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</si>
  <si>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</si>
  <si>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</si>
  <si>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</si>
  <si>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</si>
  <si>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</si>
  <si>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</si>
  <si>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</si>
  <si>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</si>
  <si>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</si>
  <si>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</si>
  <si>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</si>
  <si>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</si>
  <si>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</si>
  <si>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</si>
  <si>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</si>
  <si>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</si>
  <si>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</si>
  <si>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</si>
  <si>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</si>
  <si>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</si>
  <si>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</si>
  <si>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</si>
  <si>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</si>
  <si>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</si>
  <si>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</si>
  <si>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</si>
  <si>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</si>
  <si>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</si>
  <si>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</si>
  <si>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</si>
  <si>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</si>
  <si>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</si>
  <si>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</si>
  <si>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</si>
  <si>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</si>
  <si>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</si>
  <si>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</si>
  <si>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</si>
  <si>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</si>
  <si>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</si>
  <si>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</si>
  <si>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</si>
  <si>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</si>
  <si>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</si>
  <si>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</si>
  <si>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</si>
  <si>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</si>
  <si>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</si>
  <si>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</si>
  <si>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</si>
  <si>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</si>
  <si>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</si>
  <si>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</si>
  <si>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</si>
  <si>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</si>
  <si>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</si>
  <si>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</si>
  <si>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</si>
  <si>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</si>
  <si>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</si>
  <si>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</si>
  <si>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</si>
  <si>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</si>
  <si>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</si>
  <si>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</si>
  <si>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</si>
  <si>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</si>
  <si>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</si>
  <si>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</si>
  <si>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</si>
  <si>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</si>
  <si>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</si>
  <si>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</si>
  <si>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</si>
  <si>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</si>
  <si>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</si>
  <si>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</si>
  <si>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</si>
  <si>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</si>
  <si>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</si>
  <si>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</si>
  <si>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</si>
  <si>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</si>
  <si>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</si>
  <si>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</si>
  <si>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</si>
  <si>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</si>
  <si>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</si>
  <si>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</si>
  <si>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</si>
  <si>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</si>
  <si>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</si>
  <si>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</si>
  <si>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</si>
  <si>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</si>
  <si>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</si>
  <si>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</si>
  <si>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</si>
  <si>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</si>
  <si>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</si>
  <si>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</si>
  <si>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</si>
  <si>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</si>
  <si>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</si>
  <si>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</si>
  <si>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</si>
  <si>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</si>
  <si>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</si>
  <si>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</si>
  <si>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</si>
  <si>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</si>
  <si>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</si>
  <si>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</si>
  <si>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</si>
  <si>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</si>
  <si>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</si>
  <si>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</si>
  <si>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</si>
  <si>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</si>
  <si>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</si>
  <si>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</si>
  <si>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</si>
  <si>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</si>
  <si>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</si>
  <si>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</si>
  <si>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</si>
  <si>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</si>
  <si>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</si>
  <si>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</si>
  <si>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</si>
  <si>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</si>
  <si>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</si>
  <si>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</si>
  <si>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</si>
  <si>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</si>
  <si>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</si>
  <si>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</si>
  <si>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</si>
  <si>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</si>
  <si>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</si>
  <si>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</si>
  <si>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</si>
  <si>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</si>
  <si>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</si>
  <si>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</si>
  <si>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</si>
  <si>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</si>
  <si>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</si>
  <si>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</si>
  <si>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</si>
  <si>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</si>
  <si>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</si>
  <si>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</si>
  <si>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</si>
  <si>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</si>
  <si>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</si>
  <si>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</si>
  <si>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</si>
  <si>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</si>
  <si>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</si>
  <si>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</si>
  <si>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</si>
  <si>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</si>
  <si>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</si>
  <si>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</si>
  <si>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</si>
  <si>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</si>
  <si>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</si>
  <si>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</si>
  <si>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</si>
  <si>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</si>
  <si>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</si>
  <si>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</si>
  <si>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</si>
  <si>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</si>
  <si>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</si>
  <si>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</si>
  <si>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</si>
  <si>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</si>
  <si>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</si>
  <si>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</si>
  <si>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</si>
  <si>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</si>
  <si>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</si>
  <si>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</si>
  <si>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</si>
  <si>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</si>
  <si>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</si>
  <si>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</si>
  <si>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</si>
  <si>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</si>
  <si>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</si>
  <si>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</si>
  <si>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</si>
  <si>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</si>
  <si>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</si>
  <si>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</si>
  <si>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</si>
  <si>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</si>
  <si>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</si>
  <si>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</si>
  <si>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</si>
  <si>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</si>
  <si>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</si>
  <si>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</si>
  <si>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</si>
  <si>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</si>
  <si>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</si>
  <si>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</si>
  <si>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</si>
  <si>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</si>
  <si>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</si>
  <si>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</si>
  <si>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</si>
  <si>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</si>
  <si>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</si>
  <si>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</si>
  <si>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</si>
  <si>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</si>
  <si>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</si>
  <si>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</si>
  <si>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</si>
  <si>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</si>
  <si>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</si>
  <si>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</si>
  <si>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</si>
  <si>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</si>
  <si>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</si>
  <si>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</si>
  <si>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</si>
  <si>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</si>
  <si>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</si>
  <si>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</si>
  <si>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</si>
  <si>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</si>
  <si>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</si>
  <si>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</si>
  <si>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</si>
  <si>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</si>
  <si>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</si>
  <si>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</si>
  <si>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</si>
  <si>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</si>
  <si>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</si>
  <si>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</si>
  <si>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</si>
  <si>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</si>
  <si>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</si>
  <si>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</si>
  <si>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</si>
  <si>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</si>
  <si>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</si>
  <si>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</si>
  <si>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</si>
  <si>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</si>
  <si>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</si>
  <si>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</si>
  <si>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</si>
  <si>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</si>
  <si>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</si>
  <si>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</si>
  <si>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</si>
  <si>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</si>
  <si>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</si>
  <si>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</si>
  <si>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</si>
  <si>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</si>
  <si>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</si>
  <si>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</si>
  <si>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</si>
  <si>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</si>
  <si>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</si>
  <si>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</si>
  <si>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</si>
  <si>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</si>
  <si>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</si>
  <si>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</si>
  <si>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</si>
  <si>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</si>
  <si>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</si>
  <si>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</si>
  <si>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</si>
  <si>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</si>
  <si>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</si>
  <si>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</si>
  <si>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</si>
  <si>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</si>
  <si>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</si>
  <si>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</si>
  <si>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</si>
  <si>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</si>
  <si>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</si>
  <si>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</si>
  <si>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</si>
  <si>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</si>
  <si>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</si>
  <si>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</si>
  <si>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</si>
  <si>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</si>
  <si>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</si>
  <si>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</si>
  <si>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</si>
  <si>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</si>
  <si>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</si>
  <si>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</si>
  <si>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</si>
  <si>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</si>
  <si>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</si>
  <si>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</si>
  <si>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</si>
  <si>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</si>
  <si>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</si>
  <si>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</si>
  <si>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</si>
  <si>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</si>
  <si>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</si>
  <si>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</si>
  <si>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</si>
  <si>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</si>
  <si>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</si>
  <si>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</si>
  <si>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</si>
  <si>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</si>
  <si>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</si>
  <si>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</si>
  <si>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</si>
  <si>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</si>
  <si>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</si>
  <si>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</si>
  <si>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</si>
  <si>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</si>
  <si>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</si>
  <si>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</si>
  <si>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</si>
  <si>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</si>
  <si>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</si>
  <si>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</si>
  <si>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</si>
  <si>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</si>
  <si>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</si>
  <si>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</si>
  <si>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</si>
  <si>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</si>
  <si>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</si>
  <si>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</si>
  <si>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</si>
  <si>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</si>
  <si>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</si>
  <si>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</si>
  <si>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</si>
  <si>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</si>
  <si>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</si>
  <si>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</si>
  <si>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</si>
  <si>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</si>
  <si>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</si>
  <si>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</si>
  <si>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</si>
  <si>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</si>
  <si>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</si>
  <si>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</si>
  <si>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</si>
  <si>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</si>
  <si>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</si>
  <si>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</si>
  <si>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</si>
  <si>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</si>
  <si>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</si>
  <si>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</si>
  <si>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</si>
  <si>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</si>
  <si>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</si>
  <si>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</si>
  <si>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</si>
  <si>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Mr. Kishore</t>
  </si>
  <si>
    <t>Orissa</t>
  </si>
  <si>
    <t>Anodized</t>
  </si>
  <si>
    <t>2Kpa</t>
  </si>
  <si>
    <t>ABPL-DE-19.20-2174</t>
  </si>
  <si>
    <t>Design Concepts</t>
  </si>
  <si>
    <t>G2G</t>
  </si>
  <si>
    <t>M940</t>
  </si>
  <si>
    <t>CORNOR WINDOW FIXED GLASS</t>
  </si>
  <si>
    <t>13.52MM (ST-167)</t>
  </si>
  <si>
    <t>NO</t>
  </si>
  <si>
    <t>GF - VISITORS ROOM</t>
  </si>
  <si>
    <t>SW1</t>
  </si>
  <si>
    <t>M14600</t>
  </si>
  <si>
    <t>3 TRACK 2 SHUTTER SLIDING WINDOW</t>
  </si>
  <si>
    <t>SS</t>
  </si>
  <si>
    <t>CW1</t>
  </si>
  <si>
    <t>FIXED GLASS</t>
  </si>
  <si>
    <t>SW2</t>
  </si>
  <si>
    <t>M900</t>
  </si>
  <si>
    <t>6MM (ST-167)</t>
  </si>
  <si>
    <t>GF - POOJA ROOM</t>
  </si>
  <si>
    <t>12MM (ST-167)</t>
  </si>
  <si>
    <t>GF - LIVING</t>
  </si>
  <si>
    <t>SD1</t>
  </si>
  <si>
    <t>3 TRACK 4 SHUTTER SLIDING DOOR</t>
  </si>
  <si>
    <t>8MM (ST-167)</t>
  </si>
  <si>
    <t>SW3</t>
  </si>
  <si>
    <t>GF - KITCHEN</t>
  </si>
  <si>
    <t>CW2</t>
  </si>
  <si>
    <t>SIDE HUNG WINDOW</t>
  </si>
  <si>
    <t>CW3</t>
  </si>
  <si>
    <t>TOP HUNG WINDOW</t>
  </si>
  <si>
    <t>GF - STORE</t>
  </si>
  <si>
    <t>SD2</t>
  </si>
  <si>
    <t>3 TRACK 2 SHUTTER SLIDING DOOR</t>
  </si>
  <si>
    <t>GF - DINING &amp; 1F - BALCONY</t>
  </si>
  <si>
    <t>SW4</t>
  </si>
  <si>
    <t>GF - MASTER BEDROOM</t>
  </si>
  <si>
    <t>SW5</t>
  </si>
  <si>
    <t>GF &amp; 1F - MASTER BEDROOM</t>
  </si>
  <si>
    <t>V</t>
  </si>
  <si>
    <t>TOP HUNG WINDOW WITH FIXED GLASS</t>
  </si>
  <si>
    <t>6MM (F)</t>
  </si>
  <si>
    <t>TOILET</t>
  </si>
  <si>
    <t>SW6</t>
  </si>
  <si>
    <t>GUEST BEDROOM &amp; GYM</t>
  </si>
  <si>
    <t>SW7</t>
  </si>
  <si>
    <t>GUEST BEDROOM</t>
  </si>
  <si>
    <t>SW8</t>
  </si>
  <si>
    <t>CBR &amp; MBR</t>
  </si>
  <si>
    <t>GSG 3</t>
  </si>
  <si>
    <t>G2G 2</t>
  </si>
  <si>
    <t>CBR</t>
  </si>
  <si>
    <t>SIDE HUNG WINDOW WITH TOP FIXED</t>
  </si>
  <si>
    <t>SD3</t>
  </si>
  <si>
    <t>BALCONY NORTH</t>
  </si>
  <si>
    <t>CW5</t>
  </si>
  <si>
    <t>FIXED GLASS 2 NO'S</t>
  </si>
  <si>
    <t>GYM</t>
  </si>
  <si>
    <t>V1</t>
  </si>
  <si>
    <t>TOP HUNG WINDOW WITH BOTTOM FIXED</t>
  </si>
  <si>
    <t>GYM TOILET</t>
  </si>
  <si>
    <t>CW6</t>
  </si>
  <si>
    <t>18.28MM (ST-167)</t>
  </si>
  <si>
    <t>SW9</t>
  </si>
  <si>
    <t>POOL</t>
  </si>
  <si>
    <t>CW7</t>
  </si>
  <si>
    <t>CW8</t>
  </si>
  <si>
    <t>CW9</t>
  </si>
  <si>
    <t>POOL &amp; BAR</t>
  </si>
  <si>
    <t>CW10</t>
  </si>
  <si>
    <t>FRENCH CASEMENT WINDOW</t>
  </si>
  <si>
    <t>HOME THEATER</t>
  </si>
  <si>
    <t>SW10</t>
  </si>
  <si>
    <t>STAIRCASE</t>
  </si>
  <si>
    <t>SW11</t>
  </si>
  <si>
    <t>DOG ROOM</t>
  </si>
  <si>
    <t>V2</t>
  </si>
  <si>
    <t>TOILET CELLAR</t>
  </si>
  <si>
    <t>SW12</t>
  </si>
  <si>
    <t>OFFICE</t>
  </si>
  <si>
    <t>SW13</t>
  </si>
  <si>
    <t>6MM</t>
  </si>
  <si>
    <t>DRIVER / SERVANT</t>
  </si>
  <si>
    <t>CW12</t>
  </si>
  <si>
    <t>SERVANT HALL</t>
  </si>
  <si>
    <t>CW13</t>
  </si>
  <si>
    <t>SERVANT KITCHEN</t>
  </si>
  <si>
    <t>CW14</t>
  </si>
  <si>
    <t>V4</t>
  </si>
  <si>
    <t>6mm :- 6mm Clear Toughened Glass</t>
  </si>
  <si>
    <t>6mm (F) :- 6mm Frosted Toughened Glass</t>
  </si>
  <si>
    <t>6mm (ST-167) :- 6mm ST-167 Toughened Glass</t>
  </si>
  <si>
    <t>8mm (ST-167) :- 8mm ST-167 Toughened Glass</t>
  </si>
  <si>
    <t>12mm (ST-167) :- 12mm ST-167 Toughened Glass</t>
  </si>
  <si>
    <t>13.52mm (ST-167) :- 6mm ST-167 Toughened Glass + 1.52mm Clear PVB + 6mm Clear Toughened Glass</t>
  </si>
  <si>
    <t>18.28mm (ST-167) :- 8mm ST-167 Toughened Glass + (1.52+0.76)mm Clear PVB + 8mm Clear Toughened Glass</t>
  </si>
  <si>
    <t>DISCOUNT</t>
  </si>
  <si>
    <t>AFTER DISCOUNT</t>
  </si>
  <si>
    <t>INSTALLATION CHARGES</t>
  </si>
  <si>
    <t>GST &amp; TRANSPORTATION EXTRA</t>
  </si>
  <si>
    <t>R2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</si>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</sst>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24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9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2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27" fillId="59" borderId="0" xfId="312" applyFont="1" applyFill="1" applyBorder="1" applyAlignment="1">
      <alignment horizontal="center" vertical="center"/>
    </xf>
    <xf numFmtId="1" fontId="128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4" fillId="0" borderId="1" xfId="0" applyNumberFormat="1" applyFont="1" applyBorder="1" applyAlignment="1">
      <alignment horizontal="right" vertical="center"/>
    </xf>
    <xf numFmtId="199" fontId="0" fillId="0" borderId="0" xfId="0" applyNumberFormat="1"/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29" fillId="2" borderId="57" xfId="132" applyFont="1" applyFill="1" applyBorder="1" applyAlignment="1">
      <alignment horizontal="center" vertical="center"/>
    </xf>
    <xf numFmtId="199" fontId="129" fillId="2" borderId="58" xfId="132" applyFont="1" applyFill="1" applyBorder="1" applyAlignment="1">
      <alignment horizontal="center" vertical="center"/>
    </xf>
    <xf numFmtId="199" fontId="129" fillId="2" borderId="59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5" fillId="0" borderId="12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4" fillId="0" borderId="87" xfId="0" applyNumberFormat="1" applyFont="1" applyBorder="1" applyAlignment="1">
      <alignment horizontal="left" vertical="center"/>
    </xf>
    <xf numFmtId="0" fontId="14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  <xf numFmtId="199" fontId="0" fillId="8" borderId="129" xfId="0" applyFill="1" applyBorder="1"/>
    <xf numFmtId="199" fontId="0" fillId="8" borderId="131" xfId="0" applyFill="1" applyBorder="1" applyAlignment="1">
      <alignment horizontal="center" vertical="center"/>
    </xf>
    <xf numFmtId="202" fontId="0" fillId="8" borderId="132" xfId="0" applyNumberFormat="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34" Type="http://schemas.openxmlformats.org/officeDocument/2006/relationships/image" Target="../media/image36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33" Type="http://schemas.openxmlformats.org/officeDocument/2006/relationships/image" Target="../media/image35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32" Type="http://schemas.openxmlformats.org/officeDocument/2006/relationships/image" Target="../media/image34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36" Type="http://schemas.openxmlformats.org/officeDocument/2006/relationships/image" Target="../media/image38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31" Type="http://schemas.openxmlformats.org/officeDocument/2006/relationships/image" Target="../media/image33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Relationship Id="rId35" Type="http://schemas.openxmlformats.org/officeDocument/2006/relationships/image" Target="../media/image37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1562099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167</xdr:row>
      <xdr:rowOff>119150</xdr:rowOff>
    </xdr:from>
    <xdr:to>
      <xdr:col>13</xdr:col>
      <xdr:colOff>1478973</xdr:colOff>
      <xdr:row>170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455543</xdr:colOff>
      <xdr:row>8</xdr:row>
      <xdr:rowOff>140805</xdr:rowOff>
    </xdr:from>
    <xdr:to>
      <xdr:col>8</xdr:col>
      <xdr:colOff>299469</xdr:colOff>
      <xdr:row>16</xdr:row>
      <xdr:rowOff>82827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7804" y="1615109"/>
          <a:ext cx="3173535" cy="24599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173933</xdr:colOff>
      <xdr:row>19</xdr:row>
      <xdr:rowOff>240196</xdr:rowOff>
    </xdr:from>
    <xdr:to>
      <xdr:col>8</xdr:col>
      <xdr:colOff>306455</xdr:colOff>
      <xdr:row>27</xdr:row>
      <xdr:rowOff>51394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6194" y="5027544"/>
          <a:ext cx="3462131" cy="23291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430695</xdr:colOff>
      <xdr:row>30</xdr:row>
      <xdr:rowOff>91109</xdr:rowOff>
    </xdr:from>
    <xdr:to>
      <xdr:col>5</xdr:col>
      <xdr:colOff>1871869</xdr:colOff>
      <xdr:row>38</xdr:row>
      <xdr:rowOff>240375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695" y="8191500"/>
          <a:ext cx="1441174" cy="2667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82826</xdr:colOff>
      <xdr:row>42</xdr:row>
      <xdr:rowOff>298174</xdr:rowOff>
    </xdr:from>
    <xdr:to>
      <xdr:col>6</xdr:col>
      <xdr:colOff>215349</xdr:colOff>
      <xdr:row>47</xdr:row>
      <xdr:rowOff>276535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6" y="12026348"/>
          <a:ext cx="2112066" cy="15520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149087</xdr:colOff>
      <xdr:row>52</xdr:row>
      <xdr:rowOff>74544</xdr:rowOff>
    </xdr:from>
    <xdr:to>
      <xdr:col>7</xdr:col>
      <xdr:colOff>190501</xdr:colOff>
      <xdr:row>60</xdr:row>
      <xdr:rowOff>205547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1348" y="14801022"/>
          <a:ext cx="3105979" cy="26489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381000</xdr:colOff>
      <xdr:row>63</xdr:row>
      <xdr:rowOff>82826</xdr:rowOff>
    </xdr:from>
    <xdr:to>
      <xdr:col>7</xdr:col>
      <xdr:colOff>157370</xdr:colOff>
      <xdr:row>71</xdr:row>
      <xdr:rowOff>261216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261" y="18122348"/>
          <a:ext cx="2840935" cy="26963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215347</xdr:colOff>
      <xdr:row>75</xdr:row>
      <xdr:rowOff>306457</xdr:rowOff>
    </xdr:from>
    <xdr:to>
      <xdr:col>6</xdr:col>
      <xdr:colOff>66261</xdr:colOff>
      <xdr:row>80</xdr:row>
      <xdr:rowOff>144417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3347" y="21973761"/>
          <a:ext cx="1830457" cy="14116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347870</xdr:colOff>
      <xdr:row>86</xdr:row>
      <xdr:rowOff>82826</xdr:rowOff>
    </xdr:from>
    <xdr:to>
      <xdr:col>5</xdr:col>
      <xdr:colOff>1598544</xdr:colOff>
      <xdr:row>92</xdr:row>
      <xdr:rowOff>6008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5870" y="25063174"/>
          <a:ext cx="1250674" cy="18116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165652</xdr:colOff>
      <xdr:row>97</xdr:row>
      <xdr:rowOff>132521</xdr:rowOff>
    </xdr:from>
    <xdr:to>
      <xdr:col>5</xdr:col>
      <xdr:colOff>1560500</xdr:colOff>
      <xdr:row>102</xdr:row>
      <xdr:rowOff>149086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652" y="28425912"/>
          <a:ext cx="1394848" cy="1590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521804</xdr:colOff>
      <xdr:row>107</xdr:row>
      <xdr:rowOff>91109</xdr:rowOff>
    </xdr:from>
    <xdr:to>
      <xdr:col>6</xdr:col>
      <xdr:colOff>298175</xdr:colOff>
      <xdr:row>115</xdr:row>
      <xdr:rowOff>210621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065" y="31382805"/>
          <a:ext cx="2451653" cy="263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49694</xdr:colOff>
      <xdr:row>118</xdr:row>
      <xdr:rowOff>115956</xdr:rowOff>
    </xdr:from>
    <xdr:to>
      <xdr:col>5</xdr:col>
      <xdr:colOff>1938129</xdr:colOff>
      <xdr:row>126</xdr:row>
      <xdr:rowOff>221000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7694" y="34720695"/>
          <a:ext cx="1888435" cy="26229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223628</xdr:colOff>
      <xdr:row>129</xdr:row>
      <xdr:rowOff>198782</xdr:rowOff>
    </xdr:from>
    <xdr:to>
      <xdr:col>6</xdr:col>
      <xdr:colOff>165651</xdr:colOff>
      <xdr:row>137</xdr:row>
      <xdr:rowOff>149849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889" y="38116565"/>
          <a:ext cx="2617305" cy="2468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505239</xdr:colOff>
      <xdr:row>141</xdr:row>
      <xdr:rowOff>248478</xdr:rowOff>
    </xdr:from>
    <xdr:to>
      <xdr:col>5</xdr:col>
      <xdr:colOff>1792993</xdr:colOff>
      <xdr:row>146</xdr:row>
      <xdr:rowOff>82826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41794043"/>
          <a:ext cx="1983493" cy="1408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662608</xdr:colOff>
      <xdr:row>151</xdr:row>
      <xdr:rowOff>157368</xdr:rowOff>
    </xdr:from>
    <xdr:to>
      <xdr:col>6</xdr:col>
      <xdr:colOff>16566</xdr:colOff>
      <xdr:row>159</xdr:row>
      <xdr:rowOff>95422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4869" y="44701238"/>
          <a:ext cx="2029240" cy="24559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165651</xdr:colOff>
      <xdr:row>163</xdr:row>
      <xdr:rowOff>157370</xdr:rowOff>
    </xdr:from>
    <xdr:to>
      <xdr:col>6</xdr:col>
      <xdr:colOff>278779</xdr:colOff>
      <xdr:row>168</xdr:row>
      <xdr:rowOff>273326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912" y="48329022"/>
          <a:ext cx="2788410" cy="16896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66261</xdr:colOff>
      <xdr:row>173</xdr:row>
      <xdr:rowOff>165652</xdr:rowOff>
    </xdr:from>
    <xdr:to>
      <xdr:col>5</xdr:col>
      <xdr:colOff>1581979</xdr:colOff>
      <xdr:row>181</xdr:row>
      <xdr:rowOff>240634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261" y="51335609"/>
          <a:ext cx="1515718" cy="25928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</xdr:colOff>
      <xdr:row>184</xdr:row>
      <xdr:rowOff>91110</xdr:rowOff>
    </xdr:from>
    <xdr:to>
      <xdr:col>8</xdr:col>
      <xdr:colOff>124238</xdr:colOff>
      <xdr:row>192</xdr:row>
      <xdr:rowOff>201945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8521" y="54574110"/>
          <a:ext cx="3387587" cy="26287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438978</xdr:colOff>
      <xdr:row>195</xdr:row>
      <xdr:rowOff>107673</xdr:rowOff>
    </xdr:from>
    <xdr:to>
      <xdr:col>5</xdr:col>
      <xdr:colOff>1581978</xdr:colOff>
      <xdr:row>203</xdr:row>
      <xdr:rowOff>68628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978" y="57903716"/>
          <a:ext cx="1143000" cy="24788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604630</xdr:colOff>
      <xdr:row>206</xdr:row>
      <xdr:rowOff>41411</xdr:rowOff>
    </xdr:from>
    <xdr:to>
      <xdr:col>5</xdr:col>
      <xdr:colOff>1830457</xdr:colOff>
      <xdr:row>214</xdr:row>
      <xdr:rowOff>280133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6891" y="61150498"/>
          <a:ext cx="1921566" cy="27566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455543</xdr:colOff>
      <xdr:row>217</xdr:row>
      <xdr:rowOff>74544</xdr:rowOff>
    </xdr:from>
    <xdr:to>
      <xdr:col>8</xdr:col>
      <xdr:colOff>381000</xdr:colOff>
      <xdr:row>225</xdr:row>
      <xdr:rowOff>204695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739" y="64496674"/>
          <a:ext cx="3843131" cy="2648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347869</xdr:colOff>
      <xdr:row>228</xdr:row>
      <xdr:rowOff>240195</xdr:rowOff>
    </xdr:from>
    <xdr:to>
      <xdr:col>5</xdr:col>
      <xdr:colOff>1681369</xdr:colOff>
      <xdr:row>235</xdr:row>
      <xdr:rowOff>232464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5869" y="67975369"/>
          <a:ext cx="1333500" cy="2195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538369</xdr:colOff>
      <xdr:row>239</xdr:row>
      <xdr:rowOff>74888</xdr:rowOff>
    </xdr:from>
    <xdr:to>
      <xdr:col>7</xdr:col>
      <xdr:colOff>82826</xdr:colOff>
      <xdr:row>247</xdr:row>
      <xdr:rowOff>278375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2565" y="71123105"/>
          <a:ext cx="3197087" cy="2721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</xdr:colOff>
      <xdr:row>250</xdr:row>
      <xdr:rowOff>132522</xdr:rowOff>
    </xdr:from>
    <xdr:to>
      <xdr:col>5</xdr:col>
      <xdr:colOff>1499152</xdr:colOff>
      <xdr:row>258</xdr:row>
      <xdr:rowOff>145825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978" y="74493783"/>
          <a:ext cx="1441174" cy="25312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422412</xdr:colOff>
      <xdr:row>261</xdr:row>
      <xdr:rowOff>99390</xdr:rowOff>
    </xdr:from>
    <xdr:to>
      <xdr:col>6</xdr:col>
      <xdr:colOff>265044</xdr:colOff>
      <xdr:row>269</xdr:row>
      <xdr:rowOff>188581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4673" y="77773694"/>
          <a:ext cx="2517914" cy="26071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157369</xdr:colOff>
      <xdr:row>272</xdr:row>
      <xdr:rowOff>74543</xdr:rowOff>
    </xdr:from>
    <xdr:to>
      <xdr:col>7</xdr:col>
      <xdr:colOff>107674</xdr:colOff>
      <xdr:row>280</xdr:row>
      <xdr:rowOff>223993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9630" y="81061891"/>
          <a:ext cx="3014870" cy="2667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306456</xdr:colOff>
      <xdr:row>283</xdr:row>
      <xdr:rowOff>115957</xdr:rowOff>
    </xdr:from>
    <xdr:to>
      <xdr:col>6</xdr:col>
      <xdr:colOff>240196</xdr:colOff>
      <xdr:row>291</xdr:row>
      <xdr:rowOff>240448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717" y="84416348"/>
          <a:ext cx="2609022" cy="2642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646043</xdr:colOff>
      <xdr:row>295</xdr:row>
      <xdr:rowOff>173935</xdr:rowOff>
    </xdr:from>
    <xdr:to>
      <xdr:col>5</xdr:col>
      <xdr:colOff>1847022</xdr:colOff>
      <xdr:row>301</xdr:row>
      <xdr:rowOff>183717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304" y="88102109"/>
          <a:ext cx="1896718" cy="1898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231912</xdr:colOff>
      <xdr:row>306</xdr:row>
      <xdr:rowOff>173934</xdr:rowOff>
    </xdr:from>
    <xdr:to>
      <xdr:col>6</xdr:col>
      <xdr:colOff>381000</xdr:colOff>
      <xdr:row>312</xdr:row>
      <xdr:rowOff>306564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4173" y="91415151"/>
          <a:ext cx="2824370" cy="2021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223628</xdr:colOff>
      <xdr:row>316</xdr:row>
      <xdr:rowOff>256760</xdr:rowOff>
    </xdr:from>
    <xdr:to>
      <xdr:col>5</xdr:col>
      <xdr:colOff>1618943</xdr:colOff>
      <xdr:row>324</xdr:row>
      <xdr:rowOff>24847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628" y="94496282"/>
          <a:ext cx="1395315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49695</xdr:colOff>
      <xdr:row>328</xdr:row>
      <xdr:rowOff>149087</xdr:rowOff>
    </xdr:from>
    <xdr:to>
      <xdr:col>5</xdr:col>
      <xdr:colOff>1573695</xdr:colOff>
      <xdr:row>333</xdr:row>
      <xdr:rowOff>301660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7695" y="98016391"/>
          <a:ext cx="1524000" cy="1726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579782</xdr:colOff>
      <xdr:row>338</xdr:row>
      <xdr:rowOff>248479</xdr:rowOff>
    </xdr:from>
    <xdr:to>
      <xdr:col>5</xdr:col>
      <xdr:colOff>1598543</xdr:colOff>
      <xdr:row>346</xdr:row>
      <xdr:rowOff>133576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043" y="101114088"/>
          <a:ext cx="1714500" cy="24030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629478</xdr:colOff>
      <xdr:row>349</xdr:row>
      <xdr:rowOff>149087</xdr:rowOff>
    </xdr:from>
    <xdr:to>
      <xdr:col>5</xdr:col>
      <xdr:colOff>1697935</xdr:colOff>
      <xdr:row>357</xdr:row>
      <xdr:rowOff>103837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739" y="104327739"/>
          <a:ext cx="1764196" cy="2472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289891</xdr:colOff>
      <xdr:row>360</xdr:row>
      <xdr:rowOff>198782</xdr:rowOff>
    </xdr:from>
    <xdr:to>
      <xdr:col>6</xdr:col>
      <xdr:colOff>16566</xdr:colOff>
      <xdr:row>368</xdr:row>
      <xdr:rowOff>9215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1" y="107690478"/>
          <a:ext cx="1706218" cy="2328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579780</xdr:colOff>
      <xdr:row>371</xdr:row>
      <xdr:rowOff>289891</xdr:rowOff>
    </xdr:from>
    <xdr:to>
      <xdr:col>5</xdr:col>
      <xdr:colOff>1826238</xdr:colOff>
      <xdr:row>378</xdr:row>
      <xdr:rowOff>165652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780" y="111094630"/>
          <a:ext cx="1246458" cy="20789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521804</xdr:colOff>
      <xdr:row>383</xdr:row>
      <xdr:rowOff>149088</xdr:rowOff>
    </xdr:from>
    <xdr:to>
      <xdr:col>5</xdr:col>
      <xdr:colOff>1689652</xdr:colOff>
      <xdr:row>389</xdr:row>
      <xdr:rowOff>46275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9804" y="114581610"/>
          <a:ext cx="1167848" cy="17856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331304</xdr:colOff>
      <xdr:row>394</xdr:row>
      <xdr:rowOff>157369</xdr:rowOff>
    </xdr:from>
    <xdr:to>
      <xdr:col>5</xdr:col>
      <xdr:colOff>1871870</xdr:colOff>
      <xdr:row>399</xdr:row>
      <xdr:rowOff>126001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9304" y="117902934"/>
          <a:ext cx="1540566" cy="15423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P1" sqref="P1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217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134</v>
      </c>
      <c r="D6" s="176">
        <v>0.11</v>
      </c>
    </row>
    <row r="7" spans="3:6">
      <c r="C7" s="175" t="s">
        <v>136</v>
      </c>
      <c r="D7" s="176">
        <v>5.0000000000000001E-3</v>
      </c>
    </row>
    <row r="8" spans="3:6">
      <c r="C8" s="175" t="s">
        <v>135</v>
      </c>
      <c r="D8" s="176">
        <v>0.01</v>
      </c>
    </row>
    <row r="9" spans="3:6">
      <c r="C9" s="175" t="s">
        <v>133</v>
      </c>
      <c r="D9" s="176">
        <v>1.4999999999999999E-2</v>
      </c>
    </row>
    <row r="12" spans="3:6">
      <c r="C12" s="175"/>
      <c r="D12" s="175"/>
      <c r="E12" s="317" t="s">
        <v>222</v>
      </c>
      <c r="F12" s="317"/>
    </row>
    <row r="13" spans="3:6">
      <c r="C13" s="175" t="s">
        <v>218</v>
      </c>
      <c r="D13" s="175">
        <v>25</v>
      </c>
      <c r="E13" s="175" t="s">
        <v>113</v>
      </c>
      <c r="F13" s="175" t="s">
        <v>221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219</v>
      </c>
      <c r="D15" s="175">
        <v>0.75</v>
      </c>
      <c r="E15" s="175"/>
      <c r="F15" s="175"/>
    </row>
    <row r="16" spans="3:6">
      <c r="C16" s="175" t="s">
        <v>220</v>
      </c>
      <c r="D16" s="175">
        <v>5</v>
      </c>
      <c r="E16" s="175"/>
      <c r="F16" s="175"/>
    </row>
    <row r="19" spans="3:5">
      <c r="C19" s="175"/>
      <c r="D19" s="175" t="s">
        <v>223</v>
      </c>
      <c r="E19" s="175" t="s">
        <v>224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361" sqref="C361:K369"/>
    </sheetView>
  </sheetViews>
  <sheetFormatPr defaultColWidth="8.85546875" defaultRowHeight="12.75"/>
  <cols>
    <col min="1" max="2" width="8.85546875" style="159"/>
    <col min="3" max="4" width="8.85546875" style="215"/>
    <col min="5" max="5" width="10.42578125" style="223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15" bestFit="1" customWidth="1"/>
    <col min="14" max="14" width="13.7109375" style="223" customWidth="1"/>
    <col min="15" max="15" width="16.28515625" style="159" customWidth="1"/>
    <col min="16" max="16384" width="8.85546875" style="159"/>
  </cols>
  <sheetData>
    <row r="1" spans="2:16"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79" t="s">
        <v>103</v>
      </c>
      <c r="N2" s="540" t="str">
        <f>QUOTATION!M6</f>
        <v>ABPL-DE-19.20-2174</v>
      </c>
      <c r="O2" s="540"/>
      <c r="P2" s="214" t="s">
        <v>254</v>
      </c>
    </row>
    <row r="3" spans="2:16">
      <c r="B3" s="213"/>
      <c r="C3" s="538" t="s">
        <v>125</v>
      </c>
      <c r="D3" s="538"/>
      <c r="E3" s="538"/>
      <c r="F3" s="540" t="str">
        <f>QUOTATION!F7</f>
        <v>Mr. Kishore</v>
      </c>
      <c r="G3" s="540"/>
      <c r="H3" s="540"/>
      <c r="I3" s="540"/>
      <c r="J3" s="540"/>
      <c r="K3" s="540"/>
      <c r="L3" s="540"/>
      <c r="M3" s="279" t="s">
        <v>104</v>
      </c>
      <c r="N3" s="545">
        <f>QUOTATION!M7</f>
        <v>43704</v>
      </c>
      <c r="O3" s="546"/>
      <c r="P3" s="214" t="s">
        <v>253</v>
      </c>
    </row>
    <row r="4" spans="2:16">
      <c r="B4" s="213"/>
      <c r="C4" s="538" t="s">
        <v>126</v>
      </c>
      <c r="D4" s="538"/>
      <c r="E4" s="538"/>
      <c r="F4" s="280" t="str">
        <f>QUOTATION!F8</f>
        <v>Orissa</v>
      </c>
      <c r="G4" s="538"/>
      <c r="H4" s="538"/>
      <c r="I4" s="541" t="s">
        <v>177</v>
      </c>
      <c r="J4" s="541"/>
      <c r="K4" s="540" t="str">
        <f>QUOTATION!I8</f>
        <v>2Kpa</v>
      </c>
      <c r="L4" s="540"/>
      <c r="M4" s="279" t="s">
        <v>105</v>
      </c>
      <c r="N4" s="281" t="str">
        <f>QUOTATION!M8</f>
        <v>R2</v>
      </c>
      <c r="O4" s="282">
        <f>QUOTATION!N8</f>
        <v>43712</v>
      </c>
    </row>
    <row r="5" spans="2:16">
      <c r="B5" s="213"/>
      <c r="C5" s="538" t="s">
        <v>166</v>
      </c>
      <c r="D5" s="538"/>
      <c r="E5" s="538"/>
      <c r="F5" s="540" t="str">
        <f>QUOTATION!F9</f>
        <v>Mr. Srinivas : 9949077279</v>
      </c>
      <c r="G5" s="540"/>
      <c r="H5" s="540"/>
      <c r="I5" s="540"/>
      <c r="J5" s="540"/>
      <c r="K5" s="540"/>
      <c r="L5" s="540"/>
      <c r="M5" s="279" t="s">
        <v>176</v>
      </c>
      <c r="N5" s="540" t="str">
        <f>QUOTATION!M9</f>
        <v>Mahesh</v>
      </c>
      <c r="O5" s="540"/>
    </row>
    <row r="6" spans="2:16">
      <c r="B6" s="213"/>
      <c r="C6" s="538" t="s">
        <v>174</v>
      </c>
      <c r="D6" s="538"/>
      <c r="E6" s="538"/>
      <c r="F6" s="280" t="str">
        <f>QUOTATION!F10</f>
        <v>Anodized</v>
      </c>
      <c r="G6" s="538"/>
      <c r="H6" s="538"/>
      <c r="I6" s="541" t="s">
        <v>175</v>
      </c>
      <c r="J6" s="541"/>
      <c r="K6" s="540" t="str">
        <f>QUOTATION!I10</f>
        <v>Silver</v>
      </c>
      <c r="L6" s="540"/>
      <c r="M6" s="315" t="s">
        <v>370</v>
      </c>
      <c r="N6" s="547" t="str">
        <f>'BD Team'!J5</f>
        <v>Design Concepts</v>
      </c>
      <c r="O6" s="548"/>
    </row>
    <row r="7" spans="2:16"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6"/>
    </row>
    <row r="8" spans="2:16" ht="25.15" customHeight="1">
      <c r="C8" s="537" t="s">
        <v>251</v>
      </c>
      <c r="D8" s="538"/>
      <c r="E8" s="281" t="str">
        <f>'BD Team'!B9</f>
        <v>G2G</v>
      </c>
      <c r="F8" s="283" t="s">
        <v>252</v>
      </c>
      <c r="G8" s="540" t="str">
        <f>'BD Team'!D9</f>
        <v>CORNOR WINDOW FIXED GLASS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7" t="s">
        <v>126</v>
      </c>
      <c r="M9" s="538"/>
      <c r="N9" s="543" t="str">
        <f>'BD Team'!G9</f>
        <v>GF - VISITORS ROOM</v>
      </c>
      <c r="O9" s="543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7" t="s">
        <v>244</v>
      </c>
      <c r="M10" s="538"/>
      <c r="N10" s="540" t="str">
        <f>$F$6</f>
        <v>Anodized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7" t="s">
        <v>175</v>
      </c>
      <c r="M11" s="538"/>
      <c r="N11" s="540" t="str">
        <f>$K$6</f>
        <v>Silver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7" t="s">
        <v>245</v>
      </c>
      <c r="M12" s="538"/>
      <c r="N12" s="549" t="s">
        <v>253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7" t="s">
        <v>246</v>
      </c>
      <c r="M13" s="538"/>
      <c r="N13" s="540" t="str">
        <f>CONCATENATE('BD Team'!H9," X ",'BD Team'!I9)</f>
        <v>2430 X 1450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7" t="s">
        <v>247</v>
      </c>
      <c r="M14" s="538"/>
      <c r="N14" s="539">
        <f>'BD Team'!J9</f>
        <v>2</v>
      </c>
      <c r="O14" s="539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7" t="s">
        <v>248</v>
      </c>
      <c r="M15" s="538"/>
      <c r="N15" s="540" t="str">
        <f>'BD Team'!C9</f>
        <v>M940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7" t="s">
        <v>249</v>
      </c>
      <c r="M16" s="538"/>
      <c r="N16" s="540" t="str">
        <f>'BD Team'!E9</f>
        <v>13.52MM (ST-167)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7" t="s">
        <v>250</v>
      </c>
      <c r="M17" s="538"/>
      <c r="N17" s="540" t="str">
        <f>'BD Team'!F9</f>
        <v>NO</v>
      </c>
      <c r="O17" s="540"/>
    </row>
    <row r="18" spans="3:15"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</row>
    <row r="19" spans="3:15" ht="25.15" customHeight="1">
      <c r="C19" s="537" t="s">
        <v>251</v>
      </c>
      <c r="D19" s="538"/>
      <c r="E19" s="281" t="str">
        <f>'BD Team'!B10</f>
        <v>SW1</v>
      </c>
      <c r="F19" s="283" t="s">
        <v>252</v>
      </c>
      <c r="G19" s="540" t="str">
        <f>'BD Team'!D10</f>
        <v>3 TRACK 2 SHUTTER SLIDING WINDOW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7" t="s">
        <v>126</v>
      </c>
      <c r="M20" s="538"/>
      <c r="N20" s="543" t="str">
        <f>'BD Team'!G10</f>
        <v>GF - VISITORS ROOM</v>
      </c>
      <c r="O20" s="543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7" t="s">
        <v>244</v>
      </c>
      <c r="M21" s="538"/>
      <c r="N21" s="540" t="str">
        <f>$F$6</f>
        <v>Anodized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7" t="s">
        <v>175</v>
      </c>
      <c r="M22" s="538"/>
      <c r="N22" s="540" t="str">
        <f>$K$6</f>
        <v>Silver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7" t="s">
        <v>245</v>
      </c>
      <c r="M23" s="538"/>
      <c r="N23" s="543" t="s">
        <v>253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7" t="s">
        <v>246</v>
      </c>
      <c r="M24" s="538"/>
      <c r="N24" s="540" t="str">
        <f>CONCATENATE('BD Team'!H10," X ",'BD Team'!I10)</f>
        <v>3130 X 1450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7" t="s">
        <v>247</v>
      </c>
      <c r="M25" s="538"/>
      <c r="N25" s="539">
        <f>'BD Team'!J10</f>
        <v>1</v>
      </c>
      <c r="O25" s="539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7" t="s">
        <v>248</v>
      </c>
      <c r="M26" s="538"/>
      <c r="N26" s="540" t="str">
        <f>'BD Team'!C10</f>
        <v>M14600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7" t="s">
        <v>249</v>
      </c>
      <c r="M27" s="538"/>
      <c r="N27" s="540" t="str">
        <f>'BD Team'!E10</f>
        <v>13.52MM (ST-167)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7" t="s">
        <v>250</v>
      </c>
      <c r="M28" s="538"/>
      <c r="N28" s="540" t="str">
        <f>'BD Team'!F10</f>
        <v>SS</v>
      </c>
      <c r="O28" s="540"/>
    </row>
    <row r="29" spans="3:15">
      <c r="C29" s="536"/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</row>
    <row r="30" spans="3:15" ht="25.15" customHeight="1">
      <c r="C30" s="537" t="s">
        <v>251</v>
      </c>
      <c r="D30" s="538"/>
      <c r="E30" s="281" t="str">
        <f>'BD Team'!B11</f>
        <v>CW1</v>
      </c>
      <c r="F30" s="283" t="s">
        <v>252</v>
      </c>
      <c r="G30" s="540" t="str">
        <f>'BD Team'!D11</f>
        <v>FIXED GLASS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7" t="s">
        <v>126</v>
      </c>
      <c r="M31" s="538"/>
      <c r="N31" s="543" t="str">
        <f>'BD Team'!G11</f>
        <v>GF - VISITORS ROOM</v>
      </c>
      <c r="O31" s="543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7" t="s">
        <v>244</v>
      </c>
      <c r="M32" s="538"/>
      <c r="N32" s="540" t="str">
        <f>$F$6</f>
        <v>Anodized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7" t="s">
        <v>175</v>
      </c>
      <c r="M33" s="538"/>
      <c r="N33" s="540" t="str">
        <f>$K$6</f>
        <v>Silver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7" t="s">
        <v>245</v>
      </c>
      <c r="M34" s="538"/>
      <c r="N34" s="543" t="s">
        <v>253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7" t="s">
        <v>246</v>
      </c>
      <c r="M35" s="538"/>
      <c r="N35" s="540" t="str">
        <f>CONCATENATE('BD Team'!H11," X ",'BD Team'!I11)</f>
        <v>1160 X 2360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7" t="s">
        <v>247</v>
      </c>
      <c r="M36" s="538"/>
      <c r="N36" s="539">
        <f>'BD Team'!J11</f>
        <v>1</v>
      </c>
      <c r="O36" s="539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7" t="s">
        <v>248</v>
      </c>
      <c r="M37" s="538"/>
      <c r="N37" s="540" t="str">
        <f>'BD Team'!C11</f>
        <v>M940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7" t="s">
        <v>249</v>
      </c>
      <c r="M38" s="538"/>
      <c r="N38" s="540" t="str">
        <f>'BD Team'!E11</f>
        <v>13.52MM (ST-167)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7" t="s">
        <v>250</v>
      </c>
      <c r="M39" s="538"/>
      <c r="N39" s="540" t="str">
        <f>'BD Team'!F11</f>
        <v>NO</v>
      </c>
      <c r="O39" s="540"/>
    </row>
    <row r="40" spans="3:15"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</row>
    <row r="41" spans="3:15" ht="25.15" customHeight="1">
      <c r="C41" s="537" t="s">
        <v>251</v>
      </c>
      <c r="D41" s="538"/>
      <c r="E41" s="281" t="str">
        <f>'BD Team'!B12</f>
        <v>SW2</v>
      </c>
      <c r="F41" s="283" t="s">
        <v>252</v>
      </c>
      <c r="G41" s="540" t="str">
        <f>'BD Team'!D12</f>
        <v>3 TRACK 2 SHUTTER SLIDING WINDOW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7" t="s">
        <v>126</v>
      </c>
      <c r="M42" s="538"/>
      <c r="N42" s="543" t="str">
        <f>'BD Team'!G12</f>
        <v>GF - POOJA ROOM</v>
      </c>
      <c r="O42" s="543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7" t="s">
        <v>244</v>
      </c>
      <c r="M43" s="538"/>
      <c r="N43" s="540" t="str">
        <f>$F$6</f>
        <v>Anodized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7" t="s">
        <v>175</v>
      </c>
      <c r="M44" s="538"/>
      <c r="N44" s="540" t="str">
        <f>$K$6</f>
        <v>Silver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7" t="s">
        <v>245</v>
      </c>
      <c r="M45" s="538"/>
      <c r="N45" s="543" t="s">
        <v>253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7" t="s">
        <v>246</v>
      </c>
      <c r="M46" s="538"/>
      <c r="N46" s="540" t="str">
        <f>CONCATENATE('BD Team'!H12," X ",'BD Team'!I12)</f>
        <v>1524 X 610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7" t="s">
        <v>247</v>
      </c>
      <c r="M47" s="538"/>
      <c r="N47" s="539">
        <f>'BD Team'!J12</f>
        <v>1</v>
      </c>
      <c r="O47" s="539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7" t="s">
        <v>248</v>
      </c>
      <c r="M48" s="538"/>
      <c r="N48" s="540" t="str">
        <f>'BD Team'!C12</f>
        <v>M900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7" t="s">
        <v>249</v>
      </c>
      <c r="M49" s="538"/>
      <c r="N49" s="540" t="str">
        <f>'BD Team'!E12</f>
        <v>6MM (ST-167)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7" t="s">
        <v>250</v>
      </c>
      <c r="M50" s="538"/>
      <c r="N50" s="540" t="str">
        <f>'BD Team'!F12</f>
        <v>SS</v>
      </c>
      <c r="O50" s="540"/>
    </row>
    <row r="51" spans="3:15"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</row>
    <row r="52" spans="3:15" ht="25.15" customHeight="1">
      <c r="C52" s="537" t="s">
        <v>251</v>
      </c>
      <c r="D52" s="538"/>
      <c r="E52" s="281" t="str">
        <f>'BD Team'!B13</f>
        <v>G2G 2</v>
      </c>
      <c r="F52" s="283" t="s">
        <v>252</v>
      </c>
      <c r="G52" s="540" t="str">
        <f>'BD Team'!D13</f>
        <v>CORNOR WINDOW FIXED GLASS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7" t="s">
        <v>126</v>
      </c>
      <c r="M53" s="538"/>
      <c r="N53" s="543" t="str">
        <f>'BD Team'!G13</f>
        <v>GF - LIVING</v>
      </c>
      <c r="O53" s="543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7" t="s">
        <v>244</v>
      </c>
      <c r="M54" s="538"/>
      <c r="N54" s="540" t="str">
        <f>$F$6</f>
        <v>Anodized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7" t="s">
        <v>175</v>
      </c>
      <c r="M55" s="538"/>
      <c r="N55" s="540" t="str">
        <f>$K$6</f>
        <v>Silver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7" t="s">
        <v>245</v>
      </c>
      <c r="M56" s="538"/>
      <c r="N56" s="543" t="s">
        <v>253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7" t="s">
        <v>246</v>
      </c>
      <c r="M57" s="538"/>
      <c r="N57" s="540" t="str">
        <f>CONCATENATE('BD Team'!H13," X ",'BD Team'!I13)</f>
        <v>3270 X 2360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7" t="s">
        <v>247</v>
      </c>
      <c r="M58" s="538"/>
      <c r="N58" s="539">
        <f>'BD Team'!J13</f>
        <v>1</v>
      </c>
      <c r="O58" s="539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7" t="s">
        <v>248</v>
      </c>
      <c r="M59" s="538"/>
      <c r="N59" s="540" t="str">
        <f>'BD Team'!C13</f>
        <v>M900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7" t="s">
        <v>249</v>
      </c>
      <c r="M60" s="538"/>
      <c r="N60" s="540" t="str">
        <f>'BD Team'!E13</f>
        <v>12MM (ST-167)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7" t="s">
        <v>250</v>
      </c>
      <c r="M61" s="538"/>
      <c r="N61" s="540" t="str">
        <f>'BD Team'!F13</f>
        <v>NO</v>
      </c>
      <c r="O61" s="540"/>
    </row>
    <row r="62" spans="3:15">
      <c r="C62" s="536"/>
      <c r="D62" s="536"/>
      <c r="E62" s="536"/>
      <c r="F62" s="536"/>
      <c r="G62" s="536"/>
      <c r="H62" s="536"/>
      <c r="I62" s="536"/>
      <c r="J62" s="536"/>
      <c r="K62" s="536"/>
      <c r="L62" s="536"/>
      <c r="M62" s="536"/>
      <c r="N62" s="536"/>
      <c r="O62" s="536"/>
    </row>
    <row r="63" spans="3:15" ht="25.15" customHeight="1">
      <c r="C63" s="537" t="s">
        <v>251</v>
      </c>
      <c r="D63" s="538"/>
      <c r="E63" s="281" t="str">
        <f>'BD Team'!B14</f>
        <v>SD1</v>
      </c>
      <c r="F63" s="283" t="s">
        <v>252</v>
      </c>
      <c r="G63" s="540" t="str">
        <f>'BD Team'!D14</f>
        <v>3 TRACK 4 SHUTTER SLIDING DOOR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7" t="s">
        <v>126</v>
      </c>
      <c r="M64" s="538"/>
      <c r="N64" s="543" t="str">
        <f>'BD Team'!G14</f>
        <v>GF - LIVING</v>
      </c>
      <c r="O64" s="543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7" t="s">
        <v>244</v>
      </c>
      <c r="M65" s="538"/>
      <c r="N65" s="540" t="str">
        <f>$F$6</f>
        <v>Anodized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7" t="s">
        <v>175</v>
      </c>
      <c r="M66" s="538"/>
      <c r="N66" s="540" t="str">
        <f>$K$6</f>
        <v>Silver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7" t="s">
        <v>245</v>
      </c>
      <c r="M67" s="538"/>
      <c r="N67" s="543" t="s">
        <v>253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7" t="s">
        <v>246</v>
      </c>
      <c r="M68" s="538"/>
      <c r="N68" s="540" t="str">
        <f>CONCATENATE('BD Team'!H14," X ",'BD Team'!I14)</f>
        <v>3585 X 2800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7" t="s">
        <v>247</v>
      </c>
      <c r="M69" s="538"/>
      <c r="N69" s="539">
        <f>'BD Team'!J14</f>
        <v>1</v>
      </c>
      <c r="O69" s="539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7" t="s">
        <v>248</v>
      </c>
      <c r="M70" s="538"/>
      <c r="N70" s="540" t="str">
        <f>'BD Team'!C14</f>
        <v>M14600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7" t="s">
        <v>249</v>
      </c>
      <c r="M71" s="538"/>
      <c r="N71" s="540" t="str">
        <f>'BD Team'!E14</f>
        <v>8MM (ST-167)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7" t="s">
        <v>250</v>
      </c>
      <c r="M72" s="538"/>
      <c r="N72" s="540" t="str">
        <f>'BD Team'!F14</f>
        <v>SS</v>
      </c>
      <c r="O72" s="540"/>
    </row>
    <row r="73" spans="3:15">
      <c r="C73" s="536"/>
      <c r="D73" s="536"/>
      <c r="E73" s="536"/>
      <c r="F73" s="536"/>
      <c r="G73" s="536"/>
      <c r="H73" s="536"/>
      <c r="I73" s="536"/>
      <c r="J73" s="536"/>
      <c r="K73" s="536"/>
      <c r="L73" s="536"/>
      <c r="M73" s="536"/>
      <c r="N73" s="536"/>
      <c r="O73" s="536"/>
    </row>
    <row r="74" spans="3:15" ht="25.15" customHeight="1">
      <c r="C74" s="537" t="s">
        <v>251</v>
      </c>
      <c r="D74" s="538"/>
      <c r="E74" s="281" t="str">
        <f>'BD Team'!B15</f>
        <v>SW3</v>
      </c>
      <c r="F74" s="283" t="s">
        <v>252</v>
      </c>
      <c r="G74" s="540" t="str">
        <f>'BD Team'!D15</f>
        <v>3 TRACK 2 SHUTTER SLIDING WINDOW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7" t="s">
        <v>126</v>
      </c>
      <c r="M75" s="538"/>
      <c r="N75" s="543" t="str">
        <f>'BD Team'!G15</f>
        <v>GF - KITCHEN</v>
      </c>
      <c r="O75" s="543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7" t="s">
        <v>244</v>
      </c>
      <c r="M76" s="538"/>
      <c r="N76" s="540" t="str">
        <f>$F$6</f>
        <v>Anodized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7" t="s">
        <v>175</v>
      </c>
      <c r="M77" s="538"/>
      <c r="N77" s="540" t="str">
        <f>$K$6</f>
        <v>Silver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7" t="s">
        <v>245</v>
      </c>
      <c r="M78" s="538"/>
      <c r="N78" s="543" t="s">
        <v>253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7" t="s">
        <v>246</v>
      </c>
      <c r="M79" s="538"/>
      <c r="N79" s="540" t="str">
        <f>CONCATENATE('BD Team'!H15," X ",'BD Team'!I15)</f>
        <v>1380 X 550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7" t="s">
        <v>247</v>
      </c>
      <c r="M80" s="538"/>
      <c r="N80" s="539">
        <f>'BD Team'!J15</f>
        <v>1</v>
      </c>
      <c r="O80" s="539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7" t="s">
        <v>248</v>
      </c>
      <c r="M81" s="538"/>
      <c r="N81" s="540" t="str">
        <f>'BD Team'!C15</f>
        <v>M900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7" t="s">
        <v>249</v>
      </c>
      <c r="M82" s="538"/>
      <c r="N82" s="540" t="str">
        <f>'BD Team'!E15</f>
        <v>6MM (ST-167)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7" t="s">
        <v>250</v>
      </c>
      <c r="M83" s="538"/>
      <c r="N83" s="540" t="str">
        <f>'BD Team'!F15</f>
        <v>SS</v>
      </c>
      <c r="O83" s="540"/>
    </row>
    <row r="84" spans="3:15">
      <c r="C84" s="536"/>
      <c r="D84" s="536"/>
      <c r="E84" s="536"/>
      <c r="F84" s="536"/>
      <c r="G84" s="536"/>
      <c r="H84" s="536"/>
      <c r="I84" s="536"/>
      <c r="J84" s="536"/>
      <c r="K84" s="536"/>
      <c r="L84" s="536"/>
      <c r="M84" s="536"/>
      <c r="N84" s="536"/>
      <c r="O84" s="536"/>
    </row>
    <row r="85" spans="3:15" ht="25.15" customHeight="1">
      <c r="C85" s="537" t="s">
        <v>251</v>
      </c>
      <c r="D85" s="538"/>
      <c r="E85" s="281" t="str">
        <f>'BD Team'!B16</f>
        <v>CW2</v>
      </c>
      <c r="F85" s="283" t="s">
        <v>252</v>
      </c>
      <c r="G85" s="540" t="str">
        <f>'BD Team'!D16</f>
        <v>SIDE HUNG WINDOW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7" t="s">
        <v>126</v>
      </c>
      <c r="M86" s="538"/>
      <c r="N86" s="543" t="str">
        <f>'BD Team'!G16</f>
        <v>GF - KITCHEN</v>
      </c>
      <c r="O86" s="543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7" t="s">
        <v>244</v>
      </c>
      <c r="M87" s="538"/>
      <c r="N87" s="540" t="str">
        <f>$F$6</f>
        <v>Anodized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7" t="s">
        <v>175</v>
      </c>
      <c r="M88" s="538"/>
      <c r="N88" s="540" t="str">
        <f>$K$6</f>
        <v>Silver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7" t="s">
        <v>245</v>
      </c>
      <c r="M89" s="538"/>
      <c r="N89" s="543" t="s">
        <v>253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7" t="s">
        <v>246</v>
      </c>
      <c r="M90" s="538"/>
      <c r="N90" s="540" t="str">
        <f>CONCATENATE('BD Team'!H16," X ",'BD Team'!I16)</f>
        <v>760 X 1220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7" t="s">
        <v>247</v>
      </c>
      <c r="M91" s="538"/>
      <c r="N91" s="539">
        <f>'BD Team'!J16</f>
        <v>2</v>
      </c>
      <c r="O91" s="539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7" t="s">
        <v>248</v>
      </c>
      <c r="M92" s="538"/>
      <c r="N92" s="540" t="str">
        <f>'BD Team'!C16</f>
        <v>M940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7" t="s">
        <v>249</v>
      </c>
      <c r="M93" s="538"/>
      <c r="N93" s="540" t="str">
        <f>'BD Team'!E16</f>
        <v>6MM (ST-167)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7" t="s">
        <v>250</v>
      </c>
      <c r="M94" s="538"/>
      <c r="N94" s="540" t="str">
        <f>'BD Team'!F16</f>
        <v>NO</v>
      </c>
      <c r="O94" s="540"/>
    </row>
    <row r="95" spans="3:15">
      <c r="C95" s="536"/>
      <c r="D95" s="536"/>
      <c r="E95" s="536"/>
      <c r="F95" s="536"/>
      <c r="G95" s="536"/>
      <c r="H95" s="536"/>
      <c r="I95" s="536"/>
      <c r="J95" s="536"/>
      <c r="K95" s="536"/>
      <c r="L95" s="536"/>
      <c r="M95" s="536"/>
      <c r="N95" s="536"/>
      <c r="O95" s="536"/>
    </row>
    <row r="96" spans="3:15" ht="25.15" customHeight="1">
      <c r="C96" s="537" t="s">
        <v>251</v>
      </c>
      <c r="D96" s="538"/>
      <c r="E96" s="281" t="str">
        <f>'BD Team'!B17</f>
        <v>CW3</v>
      </c>
      <c r="F96" s="283" t="s">
        <v>252</v>
      </c>
      <c r="G96" s="540" t="str">
        <f>'BD Team'!D17</f>
        <v>TOP HUNG WINDOW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7" t="s">
        <v>126</v>
      </c>
      <c r="M97" s="538"/>
      <c r="N97" s="543" t="str">
        <f>'BD Team'!G17</f>
        <v>GF - STORE</v>
      </c>
      <c r="O97" s="543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7" t="s">
        <v>244</v>
      </c>
      <c r="M98" s="538"/>
      <c r="N98" s="540" t="str">
        <f>$F$6</f>
        <v>Anodized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7" t="s">
        <v>175</v>
      </c>
      <c r="M99" s="538"/>
      <c r="N99" s="540" t="str">
        <f>$K$6</f>
        <v>Silver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7" t="s">
        <v>245</v>
      </c>
      <c r="M100" s="538"/>
      <c r="N100" s="543" t="s">
        <v>253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7" t="s">
        <v>246</v>
      </c>
      <c r="M101" s="538"/>
      <c r="N101" s="540" t="str">
        <f>CONCATENATE('BD Team'!H17," X ",'BD Team'!I17)</f>
        <v>720 X 840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7" t="s">
        <v>247</v>
      </c>
      <c r="M102" s="538"/>
      <c r="N102" s="539">
        <f>'BD Team'!J17</f>
        <v>1</v>
      </c>
      <c r="O102" s="539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7" t="s">
        <v>248</v>
      </c>
      <c r="M103" s="538"/>
      <c r="N103" s="540" t="str">
        <f>'BD Team'!C17</f>
        <v>M940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7" t="s">
        <v>249</v>
      </c>
      <c r="M104" s="538"/>
      <c r="N104" s="540" t="str">
        <f>'BD Team'!E17</f>
        <v>6MM (ST-167)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7" t="s">
        <v>250</v>
      </c>
      <c r="M105" s="538"/>
      <c r="N105" s="540" t="str">
        <f>'BD Team'!F17</f>
        <v>NO</v>
      </c>
      <c r="O105" s="540"/>
    </row>
    <row r="106" spans="3:15">
      <c r="C106" s="536"/>
      <c r="D106" s="536"/>
      <c r="E106" s="536"/>
      <c r="F106" s="536"/>
      <c r="G106" s="536"/>
      <c r="H106" s="536"/>
      <c r="I106" s="536"/>
      <c r="J106" s="536"/>
      <c r="K106" s="536"/>
      <c r="L106" s="536"/>
      <c r="M106" s="536"/>
      <c r="N106" s="536"/>
      <c r="O106" s="536"/>
    </row>
    <row r="107" spans="3:15" ht="25.15" customHeight="1">
      <c r="C107" s="537" t="s">
        <v>251</v>
      </c>
      <c r="D107" s="538"/>
      <c r="E107" s="281" t="str">
        <f>'BD Team'!B18</f>
        <v>SD2</v>
      </c>
      <c r="F107" s="283" t="s">
        <v>252</v>
      </c>
      <c r="G107" s="540" t="str">
        <f>'BD Team'!D18</f>
        <v>3 TRACK 2 SHUTTER SLIDING DOOR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7" t="s">
        <v>126</v>
      </c>
      <c r="M108" s="538"/>
      <c r="N108" s="543" t="str">
        <f>'BD Team'!G18</f>
        <v>GF - DINING &amp; 1F - BALCONY</v>
      </c>
      <c r="O108" s="543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7" t="s">
        <v>244</v>
      </c>
      <c r="M109" s="538"/>
      <c r="N109" s="540" t="str">
        <f>$F$6</f>
        <v>Anodized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7" t="s">
        <v>175</v>
      </c>
      <c r="M110" s="538"/>
      <c r="N110" s="540" t="str">
        <f>$K$6</f>
        <v>Silver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7" t="s">
        <v>245</v>
      </c>
      <c r="M111" s="538"/>
      <c r="N111" s="543" t="s">
        <v>253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7" t="s">
        <v>246</v>
      </c>
      <c r="M112" s="538"/>
      <c r="N112" s="540" t="str">
        <f>CONCATENATE('BD Team'!H18," X ",'BD Team'!I18)</f>
        <v>2700 X 2350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7" t="s">
        <v>247</v>
      </c>
      <c r="M113" s="538"/>
      <c r="N113" s="539">
        <f>'BD Team'!J18</f>
        <v>2</v>
      </c>
      <c r="O113" s="539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7" t="s">
        <v>248</v>
      </c>
      <c r="M114" s="538"/>
      <c r="N114" s="540" t="str">
        <f>'BD Team'!C18</f>
        <v>M14600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7" t="s">
        <v>249</v>
      </c>
      <c r="M115" s="538"/>
      <c r="N115" s="540" t="str">
        <f>'BD Team'!E18</f>
        <v>8MM (ST-167)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7" t="s">
        <v>250</v>
      </c>
      <c r="M116" s="538"/>
      <c r="N116" s="540" t="str">
        <f>'BD Team'!F18</f>
        <v>SS</v>
      </c>
      <c r="O116" s="540"/>
    </row>
    <row r="117" spans="3:15">
      <c r="C117" s="536"/>
      <c r="D117" s="536"/>
      <c r="E117" s="536"/>
      <c r="F117" s="536"/>
      <c r="G117" s="536"/>
      <c r="H117" s="536"/>
      <c r="I117" s="536"/>
      <c r="J117" s="536"/>
      <c r="K117" s="536"/>
      <c r="L117" s="536"/>
      <c r="M117" s="536"/>
      <c r="N117" s="536"/>
      <c r="O117" s="536"/>
    </row>
    <row r="118" spans="3:15" ht="25.15" customHeight="1">
      <c r="C118" s="537" t="s">
        <v>251</v>
      </c>
      <c r="D118" s="538"/>
      <c r="E118" s="281" t="str">
        <f>'BD Team'!B19</f>
        <v>SW4</v>
      </c>
      <c r="F118" s="283" t="s">
        <v>252</v>
      </c>
      <c r="G118" s="540" t="str">
        <f>'BD Team'!D19</f>
        <v>3 TRACK 2 SHUTTER SLIDING WINDOW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7" t="s">
        <v>126</v>
      </c>
      <c r="M119" s="538"/>
      <c r="N119" s="543" t="str">
        <f>'BD Team'!G19</f>
        <v>GF - MASTER BEDROOM</v>
      </c>
      <c r="O119" s="543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7" t="s">
        <v>244</v>
      </c>
      <c r="M120" s="538"/>
      <c r="N120" s="540" t="str">
        <f>$F$6</f>
        <v>Anodized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7" t="s">
        <v>175</v>
      </c>
      <c r="M121" s="538"/>
      <c r="N121" s="540" t="str">
        <f>$K$6</f>
        <v>Silver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7" t="s">
        <v>245</v>
      </c>
      <c r="M122" s="538"/>
      <c r="N122" s="543" t="s">
        <v>253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7" t="s">
        <v>246</v>
      </c>
      <c r="M123" s="538"/>
      <c r="N123" s="540" t="str">
        <f>CONCATENATE('BD Team'!H19," X ",'BD Team'!I19)</f>
        <v>1575 X 1700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7" t="s">
        <v>247</v>
      </c>
      <c r="M124" s="538"/>
      <c r="N124" s="539">
        <f>'BD Team'!J19</f>
        <v>1</v>
      </c>
      <c r="O124" s="539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7" t="s">
        <v>248</v>
      </c>
      <c r="M125" s="538"/>
      <c r="N125" s="540" t="str">
        <f>'BD Team'!C19</f>
        <v>M14600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7" t="s">
        <v>249</v>
      </c>
      <c r="M126" s="538"/>
      <c r="N126" s="540" t="str">
        <f>'BD Team'!E19</f>
        <v>6MM (ST-167)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7" t="s">
        <v>250</v>
      </c>
      <c r="M127" s="538"/>
      <c r="N127" s="540" t="str">
        <f>'BD Team'!F19</f>
        <v>SS</v>
      </c>
      <c r="O127" s="540"/>
    </row>
    <row r="128" spans="3:15">
      <c r="C128" s="536"/>
      <c r="D128" s="536"/>
      <c r="E128" s="536"/>
      <c r="F128" s="536"/>
      <c r="G128" s="536"/>
      <c r="H128" s="536"/>
      <c r="I128" s="536"/>
      <c r="J128" s="536"/>
      <c r="K128" s="536"/>
      <c r="L128" s="536"/>
      <c r="M128" s="536"/>
      <c r="N128" s="536"/>
      <c r="O128" s="536"/>
    </row>
    <row r="129" spans="3:15" ht="25.15" customHeight="1">
      <c r="C129" s="537" t="s">
        <v>251</v>
      </c>
      <c r="D129" s="538"/>
      <c r="E129" s="281" t="str">
        <f>'BD Team'!B20</f>
        <v>SW5</v>
      </c>
      <c r="F129" s="283" t="s">
        <v>252</v>
      </c>
      <c r="G129" s="540" t="str">
        <f>'BD Team'!D20</f>
        <v>3 TRACK 2 SHUTTER SLIDING WINDOW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7" t="s">
        <v>126</v>
      </c>
      <c r="M130" s="538"/>
      <c r="N130" s="543" t="str">
        <f>'BD Team'!G20</f>
        <v>GF &amp; 1F - MASTER BEDROOM</v>
      </c>
      <c r="O130" s="543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7" t="s">
        <v>244</v>
      </c>
      <c r="M131" s="538"/>
      <c r="N131" s="540" t="str">
        <f>$F$6</f>
        <v>Anodized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7" t="s">
        <v>175</v>
      </c>
      <c r="M132" s="538"/>
      <c r="N132" s="540" t="str">
        <f>$K$6</f>
        <v>Silver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7" t="s">
        <v>245</v>
      </c>
      <c r="M133" s="538"/>
      <c r="N133" s="543" t="s">
        <v>253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7" t="s">
        <v>246</v>
      </c>
      <c r="M134" s="538"/>
      <c r="N134" s="540" t="str">
        <f>CONCATENATE('BD Team'!H20," X ",'BD Team'!I20)</f>
        <v>2400 X 1700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7" t="s">
        <v>247</v>
      </c>
      <c r="M135" s="538"/>
      <c r="N135" s="539">
        <f>'BD Team'!J20</f>
        <v>2</v>
      </c>
      <c r="O135" s="539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7" t="s">
        <v>248</v>
      </c>
      <c r="M136" s="538"/>
      <c r="N136" s="540" t="str">
        <f>'BD Team'!C20</f>
        <v>M14600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7" t="s">
        <v>249</v>
      </c>
      <c r="M137" s="538"/>
      <c r="N137" s="540" t="str">
        <f>'BD Team'!E20</f>
        <v>6MM (ST-167)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7" t="s">
        <v>250</v>
      </c>
      <c r="M138" s="538"/>
      <c r="N138" s="540" t="str">
        <f>'BD Team'!F20</f>
        <v>SS</v>
      </c>
      <c r="O138" s="540"/>
    </row>
    <row r="139" spans="3:15">
      <c r="C139" s="536"/>
      <c r="D139" s="536"/>
      <c r="E139" s="536"/>
      <c r="F139" s="536"/>
      <c r="G139" s="536"/>
      <c r="H139" s="536"/>
      <c r="I139" s="536"/>
      <c r="J139" s="536"/>
      <c r="K139" s="536"/>
      <c r="L139" s="536"/>
      <c r="M139" s="536"/>
      <c r="N139" s="536"/>
      <c r="O139" s="536"/>
    </row>
    <row r="140" spans="3:15" ht="25.15" customHeight="1">
      <c r="C140" s="537" t="s">
        <v>251</v>
      </c>
      <c r="D140" s="538"/>
      <c r="E140" s="281" t="str">
        <f>'BD Team'!B21</f>
        <v>V</v>
      </c>
      <c r="F140" s="283" t="s">
        <v>252</v>
      </c>
      <c r="G140" s="540" t="str">
        <f>'BD Team'!D21</f>
        <v>TOP HUNG WINDOW WITH FIXED GLASS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7" t="s">
        <v>126</v>
      </c>
      <c r="M141" s="538"/>
      <c r="N141" s="543" t="str">
        <f>'BD Team'!G21</f>
        <v>TOILET</v>
      </c>
      <c r="O141" s="543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7" t="s">
        <v>244</v>
      </c>
      <c r="M142" s="538"/>
      <c r="N142" s="540" t="str">
        <f>$F$6</f>
        <v>Anodized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7" t="s">
        <v>175</v>
      </c>
      <c r="M143" s="538"/>
      <c r="N143" s="540" t="str">
        <f>$K$6</f>
        <v>Silver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7" t="s">
        <v>245</v>
      </c>
      <c r="M144" s="538"/>
      <c r="N144" s="543" t="s">
        <v>253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7" t="s">
        <v>246</v>
      </c>
      <c r="M145" s="538"/>
      <c r="N145" s="540" t="str">
        <f>CONCATENATE('BD Team'!H21," X ",'BD Team'!I21)</f>
        <v>1220 X 610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7" t="s">
        <v>247</v>
      </c>
      <c r="M146" s="538"/>
      <c r="N146" s="539">
        <f>'BD Team'!J21</f>
        <v>1</v>
      </c>
      <c r="O146" s="539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7" t="s">
        <v>248</v>
      </c>
      <c r="M147" s="538"/>
      <c r="N147" s="540" t="str">
        <f>'BD Team'!C21</f>
        <v>M940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7" t="s">
        <v>249</v>
      </c>
      <c r="M148" s="538"/>
      <c r="N148" s="540" t="str">
        <f>'BD Team'!E21</f>
        <v>6MM (F)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7" t="s">
        <v>250</v>
      </c>
      <c r="M149" s="538"/>
      <c r="N149" s="540" t="str">
        <f>'BD Team'!F21</f>
        <v>NO</v>
      </c>
      <c r="O149" s="540"/>
    </row>
    <row r="150" spans="3:15">
      <c r="C150" s="536"/>
      <c r="D150" s="536"/>
      <c r="E150" s="536"/>
      <c r="F150" s="536"/>
      <c r="G150" s="536"/>
      <c r="H150" s="536"/>
      <c r="I150" s="536"/>
      <c r="J150" s="536"/>
      <c r="K150" s="536"/>
      <c r="L150" s="536"/>
      <c r="M150" s="536"/>
      <c r="N150" s="536"/>
      <c r="O150" s="536"/>
    </row>
    <row r="151" spans="3:15" ht="25.15" customHeight="1">
      <c r="C151" s="537" t="s">
        <v>251</v>
      </c>
      <c r="D151" s="538"/>
      <c r="E151" s="281" t="str">
        <f>'BD Team'!B22</f>
        <v>SW6</v>
      </c>
      <c r="F151" s="283" t="s">
        <v>252</v>
      </c>
      <c r="G151" s="540" t="str">
        <f>'BD Team'!D22</f>
        <v>3 TRACK 2 SHUTTER SLIDING WINDOW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7" t="s">
        <v>126</v>
      </c>
      <c r="M152" s="538"/>
      <c r="N152" s="543" t="str">
        <f>'BD Team'!G22</f>
        <v>GUEST BEDROOM &amp; GYM</v>
      </c>
      <c r="O152" s="543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7" t="s">
        <v>244</v>
      </c>
      <c r="M153" s="538"/>
      <c r="N153" s="540" t="str">
        <f>$F$6</f>
        <v>Anodized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7" t="s">
        <v>175</v>
      </c>
      <c r="M154" s="538"/>
      <c r="N154" s="540" t="str">
        <f>$K$6</f>
        <v>Silver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7" t="s">
        <v>245</v>
      </c>
      <c r="M155" s="538"/>
      <c r="N155" s="543" t="s">
        <v>253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7" t="s">
        <v>246</v>
      </c>
      <c r="M156" s="538"/>
      <c r="N156" s="540" t="str">
        <f>CONCATENATE('BD Team'!H22," X ",'BD Team'!I22)</f>
        <v>1830 X 1700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7" t="s">
        <v>247</v>
      </c>
      <c r="M157" s="538"/>
      <c r="N157" s="539">
        <f>'BD Team'!J22</f>
        <v>2</v>
      </c>
      <c r="O157" s="539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7" t="s">
        <v>248</v>
      </c>
      <c r="M158" s="538"/>
      <c r="N158" s="540" t="str">
        <f>'BD Team'!C22</f>
        <v>M14600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7" t="s">
        <v>249</v>
      </c>
      <c r="M159" s="538"/>
      <c r="N159" s="540" t="str">
        <f>'BD Team'!E22</f>
        <v>6MM (ST-167)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7" t="s">
        <v>250</v>
      </c>
      <c r="M160" s="538"/>
      <c r="N160" s="540" t="str">
        <f>'BD Team'!F22</f>
        <v>SS</v>
      </c>
      <c r="O160" s="540"/>
    </row>
    <row r="161" spans="3:15"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6"/>
      <c r="N161" s="536"/>
      <c r="O161" s="536"/>
    </row>
    <row r="162" spans="3:15" ht="25.15" customHeight="1">
      <c r="C162" s="537" t="s">
        <v>251</v>
      </c>
      <c r="D162" s="538"/>
      <c r="E162" s="281" t="str">
        <f>'BD Team'!B23</f>
        <v>SW7</v>
      </c>
      <c r="F162" s="283" t="s">
        <v>252</v>
      </c>
      <c r="G162" s="540" t="str">
        <f>'BD Team'!D23</f>
        <v>3 TRACK 2 SHUTTER SLIDING WINDOW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7" t="s">
        <v>126</v>
      </c>
      <c r="M163" s="538"/>
      <c r="N163" s="543" t="str">
        <f>'BD Team'!G23</f>
        <v>GUEST BEDROOM</v>
      </c>
      <c r="O163" s="543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7" t="s">
        <v>244</v>
      </c>
      <c r="M164" s="538"/>
      <c r="N164" s="540" t="str">
        <f>$F$6</f>
        <v>Anodized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7" t="s">
        <v>175</v>
      </c>
      <c r="M165" s="538"/>
      <c r="N165" s="540" t="str">
        <f>$K$6</f>
        <v>Silver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7" t="s">
        <v>245</v>
      </c>
      <c r="M166" s="538"/>
      <c r="N166" s="543" t="s">
        <v>253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7" t="s">
        <v>246</v>
      </c>
      <c r="M167" s="538"/>
      <c r="N167" s="540" t="str">
        <f>CONCATENATE('BD Team'!H23," X ",'BD Team'!I23)</f>
        <v>2440 X 830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7" t="s">
        <v>247</v>
      </c>
      <c r="M168" s="538"/>
      <c r="N168" s="539">
        <f>'BD Team'!J23</f>
        <v>2</v>
      </c>
      <c r="O168" s="539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7" t="s">
        <v>248</v>
      </c>
      <c r="M169" s="538"/>
      <c r="N169" s="540" t="str">
        <f>'BD Team'!C23</f>
        <v>M14600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7" t="s">
        <v>249</v>
      </c>
      <c r="M170" s="538"/>
      <c r="N170" s="540" t="str">
        <f>'BD Team'!E23</f>
        <v>13.52MM (ST-167)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7" t="s">
        <v>250</v>
      </c>
      <c r="M171" s="538"/>
      <c r="N171" s="540" t="str">
        <f>'BD Team'!F23</f>
        <v>SS</v>
      </c>
      <c r="O171" s="540"/>
    </row>
    <row r="172" spans="3:15">
      <c r="C172" s="536"/>
      <c r="D172" s="536"/>
      <c r="E172" s="536"/>
      <c r="F172" s="536"/>
      <c r="G172" s="536"/>
      <c r="H172" s="536"/>
      <c r="I172" s="536"/>
      <c r="J172" s="536"/>
      <c r="K172" s="536"/>
      <c r="L172" s="536"/>
      <c r="M172" s="536"/>
      <c r="N172" s="536"/>
      <c r="O172" s="536"/>
    </row>
    <row r="173" spans="3:15" ht="25.15" customHeight="1">
      <c r="C173" s="537" t="s">
        <v>251</v>
      </c>
      <c r="D173" s="538"/>
      <c r="E173" s="281" t="str">
        <f>'BD Team'!B24</f>
        <v>SW8</v>
      </c>
      <c r="F173" s="283" t="s">
        <v>252</v>
      </c>
      <c r="G173" s="540" t="str">
        <f>'BD Team'!D24</f>
        <v>3 TRACK 2 SHUTTER SLIDING WINDOW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7" t="s">
        <v>126</v>
      </c>
      <c r="M174" s="538"/>
      <c r="N174" s="543" t="str">
        <f>'BD Team'!G24</f>
        <v>CBR &amp; MBR</v>
      </c>
      <c r="O174" s="543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7" t="s">
        <v>244</v>
      </c>
      <c r="M175" s="538"/>
      <c r="N175" s="540" t="str">
        <f>$F$6</f>
        <v>Anodized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7" t="s">
        <v>175</v>
      </c>
      <c r="M176" s="538"/>
      <c r="N176" s="540" t="str">
        <f>$K$6</f>
        <v>Silver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7" t="s">
        <v>245</v>
      </c>
      <c r="M177" s="538"/>
      <c r="N177" s="543" t="s">
        <v>253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7" t="s">
        <v>246</v>
      </c>
      <c r="M178" s="538"/>
      <c r="N178" s="540" t="str">
        <f>CONCATENATE('BD Team'!H24," X ",'BD Team'!I24)</f>
        <v>1220 X 1700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7" t="s">
        <v>247</v>
      </c>
      <c r="M179" s="538"/>
      <c r="N179" s="539">
        <f>'BD Team'!J24</f>
        <v>4</v>
      </c>
      <c r="O179" s="539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7" t="s">
        <v>248</v>
      </c>
      <c r="M180" s="538"/>
      <c r="N180" s="540" t="str">
        <f>'BD Team'!C24</f>
        <v>M14600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7" t="s">
        <v>249</v>
      </c>
      <c r="M181" s="538"/>
      <c r="N181" s="540" t="str">
        <f>'BD Team'!E24</f>
        <v>6MM (ST-167)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7" t="s">
        <v>250</v>
      </c>
      <c r="M182" s="538"/>
      <c r="N182" s="540" t="str">
        <f>'BD Team'!F24</f>
        <v>SS</v>
      </c>
      <c r="O182" s="540"/>
    </row>
    <row r="183" spans="3:15">
      <c r="C183" s="536"/>
      <c r="D183" s="536"/>
      <c r="E183" s="536"/>
      <c r="F183" s="536"/>
      <c r="G183" s="536"/>
      <c r="H183" s="536"/>
      <c r="I183" s="536"/>
      <c r="J183" s="536"/>
      <c r="K183" s="536"/>
      <c r="L183" s="536"/>
      <c r="M183" s="536"/>
      <c r="N183" s="536"/>
      <c r="O183" s="536"/>
    </row>
    <row r="184" spans="3:15" ht="25.15" customHeight="1">
      <c r="C184" s="537" t="s">
        <v>251</v>
      </c>
      <c r="D184" s="538"/>
      <c r="E184" s="281" t="str">
        <f>'BD Team'!B25</f>
        <v>GSG 3</v>
      </c>
      <c r="F184" s="283" t="s">
        <v>252</v>
      </c>
      <c r="G184" s="540" t="str">
        <f>'BD Team'!D25</f>
        <v>CORNOR WINDOW FIXED GLASS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7" t="s">
        <v>126</v>
      </c>
      <c r="M185" s="538"/>
      <c r="N185" s="543" t="str">
        <f>'BD Team'!G25</f>
        <v>CBR</v>
      </c>
      <c r="O185" s="543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7" t="s">
        <v>244</v>
      </c>
      <c r="M186" s="538"/>
      <c r="N186" s="540" t="str">
        <f>$F$6</f>
        <v>Anodized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7" t="s">
        <v>175</v>
      </c>
      <c r="M187" s="538"/>
      <c r="N187" s="540" t="str">
        <f>$K$6</f>
        <v>Silver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7" t="s">
        <v>245</v>
      </c>
      <c r="M188" s="538"/>
      <c r="N188" s="543" t="s">
        <v>253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7" t="s">
        <v>246</v>
      </c>
      <c r="M189" s="538"/>
      <c r="N189" s="540" t="str">
        <f>CONCATENATE('BD Team'!H25," X ",'BD Team'!I25)</f>
        <v>3375 X 2170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7" t="s">
        <v>247</v>
      </c>
      <c r="M190" s="538"/>
      <c r="N190" s="539">
        <f>'BD Team'!J25</f>
        <v>1</v>
      </c>
      <c r="O190" s="539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7" t="s">
        <v>248</v>
      </c>
      <c r="M191" s="538"/>
      <c r="N191" s="540" t="str">
        <f>'BD Team'!C25</f>
        <v>M900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7" t="s">
        <v>249</v>
      </c>
      <c r="M192" s="538"/>
      <c r="N192" s="540" t="str">
        <f>'BD Team'!E25</f>
        <v>12MM (ST-167)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7" t="s">
        <v>250</v>
      </c>
      <c r="M193" s="538"/>
      <c r="N193" s="540" t="str">
        <f>'BD Team'!F25</f>
        <v>NO</v>
      </c>
      <c r="O193" s="540"/>
    </row>
    <row r="194" spans="3:15">
      <c r="C194" s="536"/>
      <c r="D194" s="536"/>
      <c r="E194" s="536"/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</row>
    <row r="195" spans="3:15" ht="25.15" customHeight="1">
      <c r="C195" s="537" t="s">
        <v>251</v>
      </c>
      <c r="D195" s="538"/>
      <c r="E195" s="281" t="str">
        <f>'BD Team'!B26</f>
        <v>CW3</v>
      </c>
      <c r="F195" s="283" t="s">
        <v>252</v>
      </c>
      <c r="G195" s="540" t="str">
        <f>'BD Team'!D26</f>
        <v>SIDE HUNG WINDOW WITH TOP FIXED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7" t="s">
        <v>126</v>
      </c>
      <c r="M196" s="538"/>
      <c r="N196" s="543" t="str">
        <f>'BD Team'!G26</f>
        <v>CBR</v>
      </c>
      <c r="O196" s="543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7" t="s">
        <v>244</v>
      </c>
      <c r="M197" s="538"/>
      <c r="N197" s="540" t="str">
        <f>$F$6</f>
        <v>Anodized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7" t="s">
        <v>175</v>
      </c>
      <c r="M198" s="538"/>
      <c r="N198" s="540" t="str">
        <f>$K$6</f>
        <v>Silver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7" t="s">
        <v>245</v>
      </c>
      <c r="M199" s="538"/>
      <c r="N199" s="543" t="s">
        <v>253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7" t="s">
        <v>246</v>
      </c>
      <c r="M200" s="538"/>
      <c r="N200" s="540" t="str">
        <f>CONCATENATE('BD Team'!H26," X ",'BD Team'!I26)</f>
        <v>700 X 2170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7" t="s">
        <v>247</v>
      </c>
      <c r="M201" s="538"/>
      <c r="N201" s="539">
        <f>'BD Team'!J26</f>
        <v>1</v>
      </c>
      <c r="O201" s="539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7" t="s">
        <v>248</v>
      </c>
      <c r="M202" s="538"/>
      <c r="N202" s="540" t="str">
        <f>'BD Team'!C26</f>
        <v>M940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7" t="s">
        <v>249</v>
      </c>
      <c r="M203" s="538"/>
      <c r="N203" s="540" t="str">
        <f>'BD Team'!E26</f>
        <v>6MM (ST-167)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7" t="s">
        <v>250</v>
      </c>
      <c r="M204" s="538"/>
      <c r="N204" s="540" t="str">
        <f>'BD Team'!F26</f>
        <v>NO</v>
      </c>
      <c r="O204" s="540"/>
    </row>
    <row r="205" spans="3:15">
      <c r="C205" s="536"/>
      <c r="D205" s="536"/>
      <c r="E205" s="536"/>
      <c r="F205" s="536"/>
      <c r="G205" s="536"/>
      <c r="H205" s="536"/>
      <c r="I205" s="536"/>
      <c r="J205" s="536"/>
      <c r="K205" s="536"/>
      <c r="L205" s="536"/>
      <c r="M205" s="536"/>
      <c r="N205" s="536"/>
      <c r="O205" s="536"/>
    </row>
    <row r="206" spans="3:15" ht="25.15" customHeight="1">
      <c r="C206" s="537" t="s">
        <v>251</v>
      </c>
      <c r="D206" s="538"/>
      <c r="E206" s="281" t="str">
        <f>'BD Team'!B27</f>
        <v>SD3</v>
      </c>
      <c r="F206" s="283" t="s">
        <v>252</v>
      </c>
      <c r="G206" s="540" t="str">
        <f>'BD Team'!D27</f>
        <v>3 TRACK 2 SHUTTER SLIDING DOOR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7" t="s">
        <v>126</v>
      </c>
      <c r="M207" s="538"/>
      <c r="N207" s="543" t="str">
        <f>'BD Team'!G27</f>
        <v>BALCONY NORTH</v>
      </c>
      <c r="O207" s="543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7" t="s">
        <v>244</v>
      </c>
      <c r="M208" s="538"/>
      <c r="N208" s="540" t="str">
        <f>$F$6</f>
        <v>Anodized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7" t="s">
        <v>175</v>
      </c>
      <c r="M209" s="538"/>
      <c r="N209" s="540" t="str">
        <f>$K$6</f>
        <v>Silver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7" t="s">
        <v>245</v>
      </c>
      <c r="M210" s="538"/>
      <c r="N210" s="543" t="s">
        <v>253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7" t="s">
        <v>246</v>
      </c>
      <c r="M211" s="538"/>
      <c r="N211" s="540" t="str">
        <f>CONCATENATE('BD Team'!H27," X ",'BD Team'!I27)</f>
        <v>2000 X 2400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7" t="s">
        <v>247</v>
      </c>
      <c r="M212" s="538"/>
      <c r="N212" s="539">
        <f>'BD Team'!J27</f>
        <v>1</v>
      </c>
      <c r="O212" s="539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7" t="s">
        <v>248</v>
      </c>
      <c r="M213" s="538"/>
      <c r="N213" s="540" t="str">
        <f>'BD Team'!C27</f>
        <v>M14600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7" t="s">
        <v>249</v>
      </c>
      <c r="M214" s="538"/>
      <c r="N214" s="540" t="str">
        <f>'BD Team'!E27</f>
        <v>13.52MM (ST-167)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7" t="s">
        <v>250</v>
      </c>
      <c r="M215" s="538"/>
      <c r="N215" s="540" t="str">
        <f>'BD Team'!F27</f>
        <v>SS</v>
      </c>
      <c r="O215" s="540"/>
    </row>
    <row r="216" spans="3:15">
      <c r="C216" s="536"/>
      <c r="D216" s="536"/>
      <c r="E216" s="536"/>
      <c r="F216" s="536"/>
      <c r="G216" s="536"/>
      <c r="H216" s="536"/>
      <c r="I216" s="536"/>
      <c r="J216" s="536"/>
      <c r="K216" s="536"/>
      <c r="L216" s="536"/>
      <c r="M216" s="536"/>
      <c r="N216" s="536"/>
      <c r="O216" s="536"/>
    </row>
    <row r="217" spans="3:15" ht="25.15" customHeight="1">
      <c r="C217" s="537" t="s">
        <v>251</v>
      </c>
      <c r="D217" s="538"/>
      <c r="E217" s="281" t="str">
        <f>'BD Team'!B28</f>
        <v>CW5</v>
      </c>
      <c r="F217" s="283" t="s">
        <v>252</v>
      </c>
      <c r="G217" s="540" t="str">
        <f>'BD Team'!D28</f>
        <v>FIXED GLASS 2 NO'S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7" t="s">
        <v>126</v>
      </c>
      <c r="M218" s="538"/>
      <c r="N218" s="543" t="str">
        <f>'BD Team'!G28</f>
        <v>GYM</v>
      </c>
      <c r="O218" s="543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7" t="s">
        <v>244</v>
      </c>
      <c r="M219" s="538"/>
      <c r="N219" s="540" t="str">
        <f>$F$6</f>
        <v>Anodized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7" t="s">
        <v>175</v>
      </c>
      <c r="M220" s="538"/>
      <c r="N220" s="540" t="str">
        <f>$K$6</f>
        <v>Silver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7" t="s">
        <v>245</v>
      </c>
      <c r="M221" s="538"/>
      <c r="N221" s="543" t="s">
        <v>253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7" t="s">
        <v>246</v>
      </c>
      <c r="M222" s="538"/>
      <c r="N222" s="540" t="str">
        <f>CONCATENATE('BD Team'!H28," X ",'BD Team'!I28)</f>
        <v>3900 X 2400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7" t="s">
        <v>247</v>
      </c>
      <c r="M223" s="538"/>
      <c r="N223" s="539">
        <f>'BD Team'!J28</f>
        <v>1</v>
      </c>
      <c r="O223" s="539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7" t="s">
        <v>248</v>
      </c>
      <c r="M224" s="538"/>
      <c r="N224" s="540" t="str">
        <f>'BD Team'!C28</f>
        <v>M940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7" t="s">
        <v>249</v>
      </c>
      <c r="M225" s="538"/>
      <c r="N225" s="540" t="str">
        <f>'BD Team'!E28</f>
        <v>12MM (ST-167)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7" t="s">
        <v>250</v>
      </c>
      <c r="M226" s="538"/>
      <c r="N226" s="540" t="str">
        <f>'BD Team'!F28</f>
        <v>NO</v>
      </c>
      <c r="O226" s="540"/>
    </row>
    <row r="227" spans="3:15">
      <c r="C227" s="536"/>
      <c r="D227" s="536"/>
      <c r="E227" s="536"/>
      <c r="F227" s="536"/>
      <c r="G227" s="536"/>
      <c r="H227" s="536"/>
      <c r="I227" s="536"/>
      <c r="J227" s="536"/>
      <c r="K227" s="536"/>
      <c r="L227" s="536"/>
      <c r="M227" s="536"/>
      <c r="N227" s="536"/>
      <c r="O227" s="536"/>
    </row>
    <row r="228" spans="3:15" ht="25.15" customHeight="1">
      <c r="C228" s="537" t="s">
        <v>251</v>
      </c>
      <c r="D228" s="538"/>
      <c r="E228" s="281" t="str">
        <f>'BD Team'!B29</f>
        <v>V1</v>
      </c>
      <c r="F228" s="283" t="s">
        <v>252</v>
      </c>
      <c r="G228" s="540" t="str">
        <f>'BD Team'!D29</f>
        <v>TOP HUNG WINDOW WITH BOTTOM FIXED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7" t="s">
        <v>126</v>
      </c>
      <c r="M229" s="538"/>
      <c r="N229" s="543" t="str">
        <f>'BD Team'!G29</f>
        <v>GYM TOILET</v>
      </c>
      <c r="O229" s="543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7" t="s">
        <v>244</v>
      </c>
      <c r="M230" s="538"/>
      <c r="N230" s="540" t="str">
        <f>$F$6</f>
        <v>Anodized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7" t="s">
        <v>175</v>
      </c>
      <c r="M231" s="538"/>
      <c r="N231" s="540" t="str">
        <f>$K$6</f>
        <v>Silver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7" t="s">
        <v>245</v>
      </c>
      <c r="M232" s="538"/>
      <c r="N232" s="543" t="s">
        <v>253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7" t="s">
        <v>246</v>
      </c>
      <c r="M233" s="538"/>
      <c r="N233" s="540" t="str">
        <f>CONCATENATE('BD Team'!H29," X ",'BD Team'!I29)</f>
        <v>760 X 1720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7" t="s">
        <v>247</v>
      </c>
      <c r="M234" s="538"/>
      <c r="N234" s="539">
        <f>'BD Team'!J29</f>
        <v>1</v>
      </c>
      <c r="O234" s="539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7" t="s">
        <v>248</v>
      </c>
      <c r="M235" s="538"/>
      <c r="N235" s="540" t="str">
        <f>'BD Team'!C29</f>
        <v>M940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7" t="s">
        <v>249</v>
      </c>
      <c r="M236" s="538"/>
      <c r="N236" s="540" t="str">
        <f>'BD Team'!E29</f>
        <v>6MM (F)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7" t="s">
        <v>250</v>
      </c>
      <c r="M237" s="538"/>
      <c r="N237" s="540" t="str">
        <f>'BD Team'!F29</f>
        <v>NO</v>
      </c>
      <c r="O237" s="540"/>
    </row>
    <row r="238" spans="3:15">
      <c r="C238" s="536"/>
      <c r="D238" s="536"/>
      <c r="E238" s="536"/>
      <c r="F238" s="536"/>
      <c r="G238" s="536"/>
      <c r="H238" s="536"/>
      <c r="I238" s="536"/>
      <c r="J238" s="536"/>
      <c r="K238" s="536"/>
      <c r="L238" s="536"/>
      <c r="M238" s="536"/>
      <c r="N238" s="536"/>
      <c r="O238" s="536"/>
    </row>
    <row r="239" spans="3:15" ht="25.15" customHeight="1">
      <c r="C239" s="537" t="s">
        <v>251</v>
      </c>
      <c r="D239" s="538"/>
      <c r="E239" s="281" t="str">
        <f>'BD Team'!B30</f>
        <v>CW6</v>
      </c>
      <c r="F239" s="283" t="s">
        <v>252</v>
      </c>
      <c r="G239" s="540" t="str">
        <f>'BD Team'!D30</f>
        <v>FIXED GLASS 2 NO'S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7" t="s">
        <v>126</v>
      </c>
      <c r="M240" s="538"/>
      <c r="N240" s="543" t="str">
        <f>'BD Team'!G30</f>
        <v>GYM</v>
      </c>
      <c r="O240" s="543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7" t="s">
        <v>244</v>
      </c>
      <c r="M241" s="538"/>
      <c r="N241" s="540" t="str">
        <f>$F$6</f>
        <v>Anodized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7" t="s">
        <v>175</v>
      </c>
      <c r="M242" s="538"/>
      <c r="N242" s="540" t="str">
        <f>$K$6</f>
        <v>Silver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7" t="s">
        <v>245</v>
      </c>
      <c r="M243" s="538"/>
      <c r="N243" s="543" t="s">
        <v>253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7" t="s">
        <v>246</v>
      </c>
      <c r="M244" s="538"/>
      <c r="N244" s="540" t="str">
        <f>CONCATENATE('BD Team'!H30," X ",'BD Team'!I30)</f>
        <v>3585 X 2800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7" t="s">
        <v>247</v>
      </c>
      <c r="M245" s="538"/>
      <c r="N245" s="539">
        <f>'BD Team'!J30</f>
        <v>1</v>
      </c>
      <c r="O245" s="539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7" t="s">
        <v>248</v>
      </c>
      <c r="M246" s="538"/>
      <c r="N246" s="540" t="str">
        <f>'BD Team'!C30</f>
        <v>M940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7" t="s">
        <v>249</v>
      </c>
      <c r="M247" s="538"/>
      <c r="N247" s="540" t="str">
        <f>'BD Team'!E30</f>
        <v>18.28MM (ST-167)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7" t="s">
        <v>250</v>
      </c>
      <c r="M248" s="538"/>
      <c r="N248" s="540" t="str">
        <f>'BD Team'!F30</f>
        <v>NO</v>
      </c>
      <c r="O248" s="540"/>
    </row>
    <row r="249" spans="3:15"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6"/>
      <c r="N249" s="536"/>
      <c r="O249" s="536"/>
    </row>
    <row r="250" spans="3:15" ht="25.15" customHeight="1">
      <c r="C250" s="537" t="s">
        <v>251</v>
      </c>
      <c r="D250" s="538"/>
      <c r="E250" s="281" t="str">
        <f>'BD Team'!B31</f>
        <v>SW9</v>
      </c>
      <c r="F250" s="283" t="s">
        <v>252</v>
      </c>
      <c r="G250" s="540" t="str">
        <f>'BD Team'!D31</f>
        <v>3 TRACK 2 SHUTTER SLIDING WINDOW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7" t="s">
        <v>126</v>
      </c>
      <c r="M251" s="538"/>
      <c r="N251" s="543" t="str">
        <f>'BD Team'!G31</f>
        <v>POOL</v>
      </c>
      <c r="O251" s="543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7" t="s">
        <v>244</v>
      </c>
      <c r="M252" s="538"/>
      <c r="N252" s="540" t="str">
        <f>$F$6</f>
        <v>Anodized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7" t="s">
        <v>175</v>
      </c>
      <c r="M253" s="538"/>
      <c r="N253" s="540" t="str">
        <f>$K$6</f>
        <v>Silver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7" t="s">
        <v>245</v>
      </c>
      <c r="M254" s="538"/>
      <c r="N254" s="543" t="s">
        <v>253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7" t="s">
        <v>246</v>
      </c>
      <c r="M255" s="538"/>
      <c r="N255" s="540" t="str">
        <f>CONCATENATE('BD Team'!H31," X ",'BD Team'!I31)</f>
        <v>1160 X 1670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7" t="s">
        <v>247</v>
      </c>
      <c r="M256" s="538"/>
      <c r="N256" s="539">
        <f>'BD Team'!J31</f>
        <v>2</v>
      </c>
      <c r="O256" s="539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7" t="s">
        <v>248</v>
      </c>
      <c r="M257" s="538"/>
      <c r="N257" s="540" t="str">
        <f>'BD Team'!C31</f>
        <v>M14600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7" t="s">
        <v>249</v>
      </c>
      <c r="M258" s="538"/>
      <c r="N258" s="540" t="str">
        <f>'BD Team'!E31</f>
        <v>6MM (ST-167)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7" t="s">
        <v>250</v>
      </c>
      <c r="M259" s="538"/>
      <c r="N259" s="540" t="str">
        <f>'BD Team'!F31</f>
        <v>SS</v>
      </c>
      <c r="O259" s="540"/>
    </row>
    <row r="260" spans="3:15">
      <c r="C260" s="536"/>
      <c r="D260" s="536"/>
      <c r="E260" s="536"/>
      <c r="F260" s="536"/>
      <c r="G260" s="536"/>
      <c r="H260" s="536"/>
      <c r="I260" s="536"/>
      <c r="J260" s="536"/>
      <c r="K260" s="536"/>
      <c r="L260" s="536"/>
      <c r="M260" s="536"/>
      <c r="N260" s="536"/>
      <c r="O260" s="536"/>
    </row>
    <row r="261" spans="3:15" ht="25.15" customHeight="1">
      <c r="C261" s="537" t="s">
        <v>251</v>
      </c>
      <c r="D261" s="538"/>
      <c r="E261" s="281" t="str">
        <f>'BD Team'!B32</f>
        <v>CW7</v>
      </c>
      <c r="F261" s="283" t="s">
        <v>252</v>
      </c>
      <c r="G261" s="540" t="str">
        <f>'BD Team'!D32</f>
        <v>FIXED GLASS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7" t="s">
        <v>126</v>
      </c>
      <c r="M262" s="538"/>
      <c r="N262" s="543" t="str">
        <f>'BD Team'!G32</f>
        <v>POOL</v>
      </c>
      <c r="O262" s="543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7" t="s">
        <v>244</v>
      </c>
      <c r="M263" s="538"/>
      <c r="N263" s="540" t="str">
        <f>$F$6</f>
        <v>Anodized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7" t="s">
        <v>175</v>
      </c>
      <c r="M264" s="538"/>
      <c r="N264" s="540" t="str">
        <f>$K$6</f>
        <v>Silver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7" t="s">
        <v>245</v>
      </c>
      <c r="M265" s="538"/>
      <c r="N265" s="543" t="s">
        <v>253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7" t="s">
        <v>246</v>
      </c>
      <c r="M266" s="538"/>
      <c r="N266" s="540" t="str">
        <f>CONCATENATE('BD Team'!H32," X ",'BD Team'!I32)</f>
        <v>2300 X 2380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7" t="s">
        <v>247</v>
      </c>
      <c r="M267" s="538"/>
      <c r="N267" s="539">
        <f>'BD Team'!J32</f>
        <v>1</v>
      </c>
      <c r="O267" s="539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7" t="s">
        <v>248</v>
      </c>
      <c r="M268" s="538"/>
      <c r="N268" s="540" t="str">
        <f>'BD Team'!C32</f>
        <v>M940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7" t="s">
        <v>249</v>
      </c>
      <c r="M269" s="538"/>
      <c r="N269" s="540" t="str">
        <f>'BD Team'!E32</f>
        <v>18.28MM (ST-167)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7" t="s">
        <v>250</v>
      </c>
      <c r="M270" s="538"/>
      <c r="N270" s="540" t="str">
        <f>'BD Team'!F32</f>
        <v>NO</v>
      </c>
      <c r="O270" s="540"/>
    </row>
    <row r="271" spans="3:15">
      <c r="C271" s="536"/>
      <c r="D271" s="536"/>
      <c r="E271" s="536"/>
      <c r="F271" s="536"/>
      <c r="G271" s="536"/>
      <c r="H271" s="536"/>
      <c r="I271" s="536"/>
      <c r="J271" s="536"/>
      <c r="K271" s="536"/>
      <c r="L271" s="536"/>
      <c r="M271" s="536"/>
      <c r="N271" s="536"/>
      <c r="O271" s="536"/>
    </row>
    <row r="272" spans="3:15" ht="25.15" customHeight="1">
      <c r="C272" s="537" t="s">
        <v>251</v>
      </c>
      <c r="D272" s="538"/>
      <c r="E272" s="281" t="str">
        <f>'BD Team'!B33</f>
        <v>CW8</v>
      </c>
      <c r="F272" s="283" t="s">
        <v>252</v>
      </c>
      <c r="G272" s="540" t="str">
        <f>'BD Team'!D33</f>
        <v>FIXED GLASS 2 NO'S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7" t="s">
        <v>126</v>
      </c>
      <c r="M273" s="538"/>
      <c r="N273" s="543" t="str">
        <f>'BD Team'!G33</f>
        <v>GYM</v>
      </c>
      <c r="O273" s="543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7" t="s">
        <v>244</v>
      </c>
      <c r="M274" s="538"/>
      <c r="N274" s="540" t="str">
        <f>$F$6</f>
        <v>Anodized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7" t="s">
        <v>175</v>
      </c>
      <c r="M275" s="538"/>
      <c r="N275" s="540" t="str">
        <f>$K$6</f>
        <v>Silver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7" t="s">
        <v>245</v>
      </c>
      <c r="M276" s="538"/>
      <c r="N276" s="543" t="s">
        <v>253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7" t="s">
        <v>246</v>
      </c>
      <c r="M277" s="538"/>
      <c r="N277" s="540" t="str">
        <f>CONCATENATE('BD Team'!H33," X ",'BD Team'!I33)</f>
        <v>3060 X 2480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7" t="s">
        <v>247</v>
      </c>
      <c r="M278" s="538"/>
      <c r="N278" s="539">
        <f>'BD Team'!J33</f>
        <v>1</v>
      </c>
      <c r="O278" s="539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7" t="s">
        <v>248</v>
      </c>
      <c r="M279" s="538"/>
      <c r="N279" s="540" t="str">
        <f>'BD Team'!C33</f>
        <v>M940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7" t="s">
        <v>249</v>
      </c>
      <c r="M280" s="538"/>
      <c r="N280" s="540" t="str">
        <f>'BD Team'!E33</f>
        <v>18.28MM (ST-167)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7" t="s">
        <v>250</v>
      </c>
      <c r="M281" s="538"/>
      <c r="N281" s="540" t="str">
        <f>'BD Team'!F33</f>
        <v>NO</v>
      </c>
      <c r="O281" s="540"/>
    </row>
    <row r="282" spans="3:15">
      <c r="C282" s="536"/>
      <c r="D282" s="536"/>
      <c r="E282" s="536"/>
      <c r="F282" s="536"/>
      <c r="G282" s="536"/>
      <c r="H282" s="536"/>
      <c r="I282" s="536"/>
      <c r="J282" s="536"/>
      <c r="K282" s="536"/>
      <c r="L282" s="536"/>
      <c r="M282" s="536"/>
      <c r="N282" s="536"/>
      <c r="O282" s="536"/>
    </row>
    <row r="283" spans="3:15" ht="25.15" customHeight="1">
      <c r="C283" s="537" t="s">
        <v>251</v>
      </c>
      <c r="D283" s="538"/>
      <c r="E283" s="281" t="str">
        <f>'BD Team'!B34</f>
        <v>CW9</v>
      </c>
      <c r="F283" s="283" t="s">
        <v>252</v>
      </c>
      <c r="G283" s="540" t="str">
        <f>'BD Team'!D34</f>
        <v>FIXED GLASS 2 NO'S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7" t="s">
        <v>126</v>
      </c>
      <c r="M284" s="538"/>
      <c r="N284" s="543" t="str">
        <f>'BD Team'!G34</f>
        <v>POOL &amp; BAR</v>
      </c>
      <c r="O284" s="543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7" t="s">
        <v>244</v>
      </c>
      <c r="M285" s="538"/>
      <c r="N285" s="540" t="str">
        <f>$F$6</f>
        <v>Anodized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7" t="s">
        <v>175</v>
      </c>
      <c r="M286" s="538"/>
      <c r="N286" s="540" t="str">
        <f>$K$6</f>
        <v>Silver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7" t="s">
        <v>245</v>
      </c>
      <c r="M287" s="538"/>
      <c r="N287" s="543" t="s">
        <v>253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7" t="s">
        <v>246</v>
      </c>
      <c r="M288" s="538"/>
      <c r="N288" s="540" t="str">
        <f>CONCATENATE('BD Team'!H34," X ",'BD Team'!I34)</f>
        <v>2650 X 2480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7" t="s">
        <v>247</v>
      </c>
      <c r="M289" s="538"/>
      <c r="N289" s="539">
        <f>'BD Team'!J34</f>
        <v>2</v>
      </c>
      <c r="O289" s="539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7" t="s">
        <v>248</v>
      </c>
      <c r="M290" s="538"/>
      <c r="N290" s="540" t="str">
        <f>'BD Team'!C34</f>
        <v>M940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7" t="s">
        <v>249</v>
      </c>
      <c r="M291" s="538"/>
      <c r="N291" s="540" t="str">
        <f>'BD Team'!E34</f>
        <v>18.28MM (ST-167)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7" t="s">
        <v>250</v>
      </c>
      <c r="M292" s="538"/>
      <c r="N292" s="540" t="str">
        <f>'BD Team'!F34</f>
        <v>NO</v>
      </c>
      <c r="O292" s="540"/>
    </row>
    <row r="293" spans="3:15">
      <c r="C293" s="536"/>
      <c r="D293" s="536"/>
      <c r="E293" s="536"/>
      <c r="F293" s="536"/>
      <c r="G293" s="536"/>
      <c r="H293" s="536"/>
      <c r="I293" s="536"/>
      <c r="J293" s="536"/>
      <c r="K293" s="536"/>
      <c r="L293" s="536"/>
      <c r="M293" s="536"/>
      <c r="N293" s="536"/>
      <c r="O293" s="536"/>
    </row>
    <row r="294" spans="3:15" ht="25.15" customHeight="1">
      <c r="C294" s="537" t="s">
        <v>251</v>
      </c>
      <c r="D294" s="538"/>
      <c r="E294" s="281" t="str">
        <f>'BD Team'!B35</f>
        <v>CW10</v>
      </c>
      <c r="F294" s="283" t="s">
        <v>252</v>
      </c>
      <c r="G294" s="540" t="str">
        <f>'BD Team'!D35</f>
        <v>FRENCH CASEMENT WINDOW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7" t="s">
        <v>126</v>
      </c>
      <c r="M295" s="538"/>
      <c r="N295" s="543" t="str">
        <f>'BD Team'!G35</f>
        <v>HOME THEATER</v>
      </c>
      <c r="O295" s="543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7" t="s">
        <v>244</v>
      </c>
      <c r="M296" s="538"/>
      <c r="N296" s="540" t="str">
        <f>$F$6</f>
        <v>Anodized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7" t="s">
        <v>175</v>
      </c>
      <c r="M297" s="538"/>
      <c r="N297" s="540" t="str">
        <f>$K$6</f>
        <v>Silver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7" t="s">
        <v>245</v>
      </c>
      <c r="M298" s="538"/>
      <c r="N298" s="543" t="s">
        <v>253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7" t="s">
        <v>246</v>
      </c>
      <c r="M299" s="538"/>
      <c r="N299" s="540" t="str">
        <f>CONCATENATE('BD Team'!H35," X ",'BD Team'!I35)</f>
        <v>1220 X 1220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7" t="s">
        <v>247</v>
      </c>
      <c r="M300" s="538"/>
      <c r="N300" s="539">
        <f>'BD Team'!J35</f>
        <v>1</v>
      </c>
      <c r="O300" s="539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7" t="s">
        <v>248</v>
      </c>
      <c r="M301" s="538"/>
      <c r="N301" s="540" t="str">
        <f>'BD Team'!C35</f>
        <v>M940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7" t="s">
        <v>249</v>
      </c>
      <c r="M302" s="538"/>
      <c r="N302" s="540" t="str">
        <f>'BD Team'!E35</f>
        <v>18.28MM (ST-167)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7" t="s">
        <v>250</v>
      </c>
      <c r="M303" s="538"/>
      <c r="N303" s="540" t="str">
        <f>'BD Team'!F35</f>
        <v>NO</v>
      </c>
      <c r="O303" s="540"/>
    </row>
    <row r="304" spans="3:15"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</row>
    <row r="305" spans="3:15" ht="25.15" customHeight="1">
      <c r="C305" s="537" t="s">
        <v>251</v>
      </c>
      <c r="D305" s="538"/>
      <c r="E305" s="281" t="str">
        <f>'BD Team'!B36</f>
        <v>SW10</v>
      </c>
      <c r="F305" s="283" t="s">
        <v>252</v>
      </c>
      <c r="G305" s="540" t="str">
        <f>'BD Team'!D36</f>
        <v>3 TRACK 2 SHUTTER SLIDING WINDOW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7" t="s">
        <v>126</v>
      </c>
      <c r="M306" s="538"/>
      <c r="N306" s="543" t="str">
        <f>'BD Team'!G36</f>
        <v>STAIRCASE</v>
      </c>
      <c r="O306" s="543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7" t="s">
        <v>244</v>
      </c>
      <c r="M307" s="538"/>
      <c r="N307" s="540" t="str">
        <f>$F$6</f>
        <v>Anodized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7" t="s">
        <v>175</v>
      </c>
      <c r="M308" s="538"/>
      <c r="N308" s="540" t="str">
        <f>$K$6</f>
        <v>Silver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7" t="s">
        <v>245</v>
      </c>
      <c r="M309" s="538"/>
      <c r="N309" s="543" t="s">
        <v>253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7" t="s">
        <v>246</v>
      </c>
      <c r="M310" s="538"/>
      <c r="N310" s="540" t="str">
        <f>CONCATENATE('BD Team'!H36," X ",'BD Team'!I36)</f>
        <v>2440 X 1220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7" t="s">
        <v>247</v>
      </c>
      <c r="M311" s="538"/>
      <c r="N311" s="539">
        <f>'BD Team'!J36</f>
        <v>2</v>
      </c>
      <c r="O311" s="539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7" t="s">
        <v>248</v>
      </c>
      <c r="M312" s="538"/>
      <c r="N312" s="540" t="str">
        <f>'BD Team'!C36</f>
        <v>M900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7" t="s">
        <v>249</v>
      </c>
      <c r="M313" s="538"/>
      <c r="N313" s="540" t="str">
        <f>'BD Team'!E36</f>
        <v>6MM (ST-167)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7" t="s">
        <v>250</v>
      </c>
      <c r="M314" s="538"/>
      <c r="N314" s="540" t="str">
        <f>'BD Team'!F36</f>
        <v>SS</v>
      </c>
      <c r="O314" s="540"/>
    </row>
    <row r="315" spans="3:15"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</row>
    <row r="316" spans="3:15" ht="25.15" customHeight="1">
      <c r="C316" s="537" t="s">
        <v>251</v>
      </c>
      <c r="D316" s="538"/>
      <c r="E316" s="281" t="str">
        <f>'BD Team'!B37</f>
        <v>SW11</v>
      </c>
      <c r="F316" s="283" t="s">
        <v>252</v>
      </c>
      <c r="G316" s="540" t="str">
        <f>'BD Team'!D37</f>
        <v>3 TRACK 2 SHUTTER SLIDING WINDOW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7" t="s">
        <v>126</v>
      </c>
      <c r="M317" s="538"/>
      <c r="N317" s="543" t="str">
        <f>'BD Team'!G37</f>
        <v>DOG ROOM</v>
      </c>
      <c r="O317" s="543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7" t="s">
        <v>244</v>
      </c>
      <c r="M318" s="538"/>
      <c r="N318" s="540" t="str">
        <f>$F$6</f>
        <v>Anodized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7" t="s">
        <v>175</v>
      </c>
      <c r="M319" s="538"/>
      <c r="N319" s="540" t="str">
        <f>$K$6</f>
        <v>Silver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7" t="s">
        <v>245</v>
      </c>
      <c r="M320" s="538"/>
      <c r="N320" s="543" t="s">
        <v>253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7" t="s">
        <v>246</v>
      </c>
      <c r="M321" s="538"/>
      <c r="N321" s="540" t="str">
        <f>CONCATENATE('BD Team'!H37," X ",'BD Team'!I37)</f>
        <v>915 X 1220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7" t="s">
        <v>247</v>
      </c>
      <c r="M322" s="538"/>
      <c r="N322" s="539">
        <f>'BD Team'!J37</f>
        <v>2</v>
      </c>
      <c r="O322" s="539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7" t="s">
        <v>248</v>
      </c>
      <c r="M323" s="538"/>
      <c r="N323" s="540" t="str">
        <f>'BD Team'!C37</f>
        <v>M900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7" t="s">
        <v>249</v>
      </c>
      <c r="M324" s="538"/>
      <c r="N324" s="540" t="str">
        <f>'BD Team'!E37</f>
        <v>6MM (ST-167)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7" t="s">
        <v>250</v>
      </c>
      <c r="M325" s="538"/>
      <c r="N325" s="540" t="str">
        <f>'BD Team'!F37</f>
        <v>SS</v>
      </c>
      <c r="O325" s="540"/>
    </row>
    <row r="326" spans="3:15"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</row>
    <row r="327" spans="3:15" ht="25.15" customHeight="1">
      <c r="C327" s="537" t="s">
        <v>251</v>
      </c>
      <c r="D327" s="538"/>
      <c r="E327" s="281" t="str">
        <f>'BD Team'!B38</f>
        <v>V2</v>
      </c>
      <c r="F327" s="283" t="s">
        <v>252</v>
      </c>
      <c r="G327" s="540" t="str">
        <f>'BD Team'!D38</f>
        <v>TOP HUNG WINDOW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7" t="s">
        <v>126</v>
      </c>
      <c r="M328" s="538"/>
      <c r="N328" s="543" t="str">
        <f>'BD Team'!G38</f>
        <v>TOILET CELLAR</v>
      </c>
      <c r="O328" s="543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7" t="s">
        <v>244</v>
      </c>
      <c r="M329" s="538"/>
      <c r="N329" s="540" t="str">
        <f>$F$6</f>
        <v>Anodized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7" t="s">
        <v>175</v>
      </c>
      <c r="M330" s="538"/>
      <c r="N330" s="540" t="str">
        <f>$K$6</f>
        <v>Silver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7" t="s">
        <v>245</v>
      </c>
      <c r="M331" s="538"/>
      <c r="N331" s="543" t="s">
        <v>253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7" t="s">
        <v>246</v>
      </c>
      <c r="M332" s="538"/>
      <c r="N332" s="540" t="str">
        <f>CONCATENATE('BD Team'!H38," X ",'BD Team'!I38)</f>
        <v>760 X 910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7" t="s">
        <v>247</v>
      </c>
      <c r="M333" s="538"/>
      <c r="N333" s="539">
        <f>'BD Team'!J38</f>
        <v>2</v>
      </c>
      <c r="O333" s="539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7" t="s">
        <v>248</v>
      </c>
      <c r="M334" s="538"/>
      <c r="N334" s="540" t="str">
        <f>'BD Team'!C38</f>
        <v>M940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7" t="s">
        <v>249</v>
      </c>
      <c r="M335" s="538"/>
      <c r="N335" s="540" t="str">
        <f>'BD Team'!E38</f>
        <v>6MM (F)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7" t="s">
        <v>250</v>
      </c>
      <c r="M336" s="538"/>
      <c r="N336" s="540" t="str">
        <f>'BD Team'!F38</f>
        <v>NO</v>
      </c>
      <c r="O336" s="540"/>
    </row>
    <row r="337" spans="3:15"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</row>
    <row r="338" spans="3:15" ht="25.15" customHeight="1">
      <c r="C338" s="537" t="s">
        <v>251</v>
      </c>
      <c r="D338" s="538"/>
      <c r="E338" s="281" t="str">
        <f>'BD Team'!B39</f>
        <v>SW12</v>
      </c>
      <c r="F338" s="283" t="s">
        <v>252</v>
      </c>
      <c r="G338" s="540" t="str">
        <f>'BD Team'!D39</f>
        <v>3 TRACK 2 SHUTTER SLIDING WINDOW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7" t="s">
        <v>126</v>
      </c>
      <c r="M339" s="538"/>
      <c r="N339" s="543" t="str">
        <f>'BD Team'!G39</f>
        <v>OFFICE</v>
      </c>
      <c r="O339" s="543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7" t="s">
        <v>244</v>
      </c>
      <c r="M340" s="538"/>
      <c r="N340" s="540" t="str">
        <f>$F$6</f>
        <v>Anodized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7" t="s">
        <v>175</v>
      </c>
      <c r="M341" s="538"/>
      <c r="N341" s="540" t="str">
        <f>$K$6</f>
        <v>Silver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7" t="s">
        <v>245</v>
      </c>
      <c r="M342" s="538"/>
      <c r="N342" s="543" t="s">
        <v>253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7" t="s">
        <v>246</v>
      </c>
      <c r="M343" s="538"/>
      <c r="N343" s="540" t="str">
        <f>CONCATENATE('BD Team'!H39," X ",'BD Team'!I39)</f>
        <v>1220 X 1350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7" t="s">
        <v>247</v>
      </c>
      <c r="M344" s="538"/>
      <c r="N344" s="539">
        <f>'BD Team'!J39</f>
        <v>1</v>
      </c>
      <c r="O344" s="539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7" t="s">
        <v>248</v>
      </c>
      <c r="M345" s="538"/>
      <c r="N345" s="540" t="str">
        <f>'BD Team'!C39</f>
        <v>M900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7" t="s">
        <v>249</v>
      </c>
      <c r="M346" s="538"/>
      <c r="N346" s="540" t="str">
        <f>'BD Team'!E39</f>
        <v>6MM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7" t="s">
        <v>250</v>
      </c>
      <c r="M347" s="538"/>
      <c r="N347" s="540" t="str">
        <f>'BD Team'!F39</f>
        <v>SS</v>
      </c>
      <c r="O347" s="540"/>
    </row>
    <row r="348" spans="3:15"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</row>
    <row r="349" spans="3:15" ht="25.15" customHeight="1">
      <c r="C349" s="537" t="s">
        <v>251</v>
      </c>
      <c r="D349" s="538"/>
      <c r="E349" s="281" t="str">
        <f>'BD Team'!B40</f>
        <v>SW13</v>
      </c>
      <c r="F349" s="283" t="s">
        <v>252</v>
      </c>
      <c r="G349" s="540" t="str">
        <f>'BD Team'!D40</f>
        <v>3 TRACK 2 SHUTTER SLIDING WINDOW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7" t="s">
        <v>126</v>
      </c>
      <c r="M350" s="538"/>
      <c r="N350" s="543" t="str">
        <f>'BD Team'!G40</f>
        <v>DRIVER / SERVANT</v>
      </c>
      <c r="O350" s="543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7" t="s">
        <v>244</v>
      </c>
      <c r="M351" s="538"/>
      <c r="N351" s="540" t="str">
        <f>$F$6</f>
        <v>Anodized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7" t="s">
        <v>175</v>
      </c>
      <c r="M352" s="538"/>
      <c r="N352" s="540" t="str">
        <f>$K$6</f>
        <v>Silver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7" t="s">
        <v>245</v>
      </c>
      <c r="M353" s="538"/>
      <c r="N353" s="543" t="s">
        <v>253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7" t="s">
        <v>246</v>
      </c>
      <c r="M354" s="538"/>
      <c r="N354" s="540" t="str">
        <f>CONCATENATE('BD Team'!H40," X ",'BD Team'!I40)</f>
        <v>1220 X 1350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7" t="s">
        <v>247</v>
      </c>
      <c r="M355" s="538"/>
      <c r="N355" s="539">
        <f>'BD Team'!J40</f>
        <v>2</v>
      </c>
      <c r="O355" s="539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7" t="s">
        <v>248</v>
      </c>
      <c r="M356" s="538"/>
      <c r="N356" s="540" t="str">
        <f>'BD Team'!C40</f>
        <v>M900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7" t="s">
        <v>249</v>
      </c>
      <c r="M357" s="538"/>
      <c r="N357" s="540" t="str">
        <f>'BD Team'!E40</f>
        <v>6MM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7" t="s">
        <v>250</v>
      </c>
      <c r="M358" s="538"/>
      <c r="N358" s="540" t="str">
        <f>'BD Team'!F40</f>
        <v>SS</v>
      </c>
      <c r="O358" s="540"/>
    </row>
    <row r="359" spans="3:15"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</row>
    <row r="360" spans="3:15" ht="25.15" customHeight="1">
      <c r="C360" s="537" t="s">
        <v>251</v>
      </c>
      <c r="D360" s="538"/>
      <c r="E360" s="281" t="str">
        <f>'BD Team'!B41</f>
        <v>CW12</v>
      </c>
      <c r="F360" s="283" t="s">
        <v>252</v>
      </c>
      <c r="G360" s="540" t="str">
        <f>'BD Team'!D41</f>
        <v>FRENCH CASEMENT WINDOW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7" t="s">
        <v>126</v>
      </c>
      <c r="M361" s="538"/>
      <c r="N361" s="543" t="str">
        <f>'BD Team'!G41</f>
        <v>SERVANT HALL</v>
      </c>
      <c r="O361" s="543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7" t="s">
        <v>244</v>
      </c>
      <c r="M362" s="538"/>
      <c r="N362" s="540" t="str">
        <f>$F$6</f>
        <v>Anodized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7" t="s">
        <v>175</v>
      </c>
      <c r="M363" s="538"/>
      <c r="N363" s="540" t="str">
        <f>$K$6</f>
        <v>Silver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7" t="s">
        <v>245</v>
      </c>
      <c r="M364" s="538"/>
      <c r="N364" s="543" t="s">
        <v>253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7" t="s">
        <v>246</v>
      </c>
      <c r="M365" s="538"/>
      <c r="N365" s="540" t="str">
        <f>CONCATENATE('BD Team'!H41," X ",'BD Team'!I41)</f>
        <v>915 X 1365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7" t="s">
        <v>247</v>
      </c>
      <c r="M366" s="538"/>
      <c r="N366" s="539">
        <f>'BD Team'!J41</f>
        <v>1</v>
      </c>
      <c r="O366" s="539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7" t="s">
        <v>248</v>
      </c>
      <c r="M367" s="538"/>
      <c r="N367" s="540" t="str">
        <f>'BD Team'!C41</f>
        <v>M940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7" t="s">
        <v>249</v>
      </c>
      <c r="M368" s="538"/>
      <c r="N368" s="540" t="str">
        <f>'BD Team'!E41</f>
        <v>6MM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7" t="s">
        <v>250</v>
      </c>
      <c r="M369" s="538"/>
      <c r="N369" s="540" t="str">
        <f>'BD Team'!F41</f>
        <v>NO</v>
      </c>
      <c r="O369" s="540"/>
    </row>
    <row r="370" spans="3:15"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</row>
    <row r="371" spans="3:15" ht="25.15" customHeight="1">
      <c r="C371" s="537" t="s">
        <v>251</v>
      </c>
      <c r="D371" s="538"/>
      <c r="E371" s="281" t="str">
        <f>'BD Team'!B42</f>
        <v>CW13</v>
      </c>
      <c r="F371" s="283" t="s">
        <v>252</v>
      </c>
      <c r="G371" s="540" t="str">
        <f>'BD Team'!D42</f>
        <v>SIDE HUNG WINDOW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7" t="s">
        <v>126</v>
      </c>
      <c r="M372" s="538"/>
      <c r="N372" s="543" t="str">
        <f>'BD Team'!G42</f>
        <v>SERVANT KITCHEN</v>
      </c>
      <c r="O372" s="543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7" t="s">
        <v>244</v>
      </c>
      <c r="M373" s="538"/>
      <c r="N373" s="540" t="str">
        <f>$F$6</f>
        <v>Anodized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7" t="s">
        <v>175</v>
      </c>
      <c r="M374" s="538"/>
      <c r="N374" s="540" t="str">
        <f>$K$6</f>
        <v>Silver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7" t="s">
        <v>245</v>
      </c>
      <c r="M375" s="538"/>
      <c r="N375" s="543" t="s">
        <v>253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7" t="s">
        <v>246</v>
      </c>
      <c r="M376" s="538"/>
      <c r="N376" s="540" t="str">
        <f>CONCATENATE('BD Team'!H42," X ",'BD Team'!I42)</f>
        <v>720 X 1365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7" t="s">
        <v>247</v>
      </c>
      <c r="M377" s="538"/>
      <c r="N377" s="539">
        <f>'BD Team'!J42</f>
        <v>2</v>
      </c>
      <c r="O377" s="539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7" t="s">
        <v>248</v>
      </c>
      <c r="M378" s="538"/>
      <c r="N378" s="540" t="str">
        <f>'BD Team'!C42</f>
        <v>M940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7" t="s">
        <v>249</v>
      </c>
      <c r="M379" s="538"/>
      <c r="N379" s="540" t="str">
        <f>'BD Team'!E42</f>
        <v>6MM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7" t="s">
        <v>250</v>
      </c>
      <c r="M380" s="538"/>
      <c r="N380" s="540" t="str">
        <f>'BD Team'!F42</f>
        <v>NO</v>
      </c>
      <c r="O380" s="540"/>
    </row>
    <row r="381" spans="3:15"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</row>
    <row r="382" spans="3:15" ht="25.15" customHeight="1">
      <c r="C382" s="537" t="s">
        <v>251</v>
      </c>
      <c r="D382" s="538"/>
      <c r="E382" s="281" t="str">
        <f>'BD Team'!B43</f>
        <v>CW14</v>
      </c>
      <c r="F382" s="283" t="s">
        <v>252</v>
      </c>
      <c r="G382" s="540" t="str">
        <f>'BD Team'!D43</f>
        <v>SIDE HUNG WINDOW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7" t="s">
        <v>126</v>
      </c>
      <c r="M383" s="538"/>
      <c r="N383" s="543" t="str">
        <f>'BD Team'!G43</f>
        <v>SERVANT KITCHEN</v>
      </c>
      <c r="O383" s="543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7" t="s">
        <v>244</v>
      </c>
      <c r="M384" s="538"/>
      <c r="N384" s="540" t="str">
        <f>$F$6</f>
        <v>Anodized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7" t="s">
        <v>175</v>
      </c>
      <c r="M385" s="538"/>
      <c r="N385" s="540" t="str">
        <f>$K$6</f>
        <v>Silver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7" t="s">
        <v>245</v>
      </c>
      <c r="M386" s="538"/>
      <c r="N386" s="543" t="s">
        <v>253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7" t="s">
        <v>246</v>
      </c>
      <c r="M387" s="538"/>
      <c r="N387" s="540" t="str">
        <f>CONCATENATE('BD Team'!H43," X ",'BD Team'!I43)</f>
        <v>720 X 1220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7" t="s">
        <v>247</v>
      </c>
      <c r="M388" s="538"/>
      <c r="N388" s="539">
        <f>'BD Team'!J43</f>
        <v>1</v>
      </c>
      <c r="O388" s="539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7" t="s">
        <v>248</v>
      </c>
      <c r="M389" s="538"/>
      <c r="N389" s="540" t="str">
        <f>'BD Team'!C43</f>
        <v>M940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7" t="s">
        <v>249</v>
      </c>
      <c r="M390" s="538"/>
      <c r="N390" s="540" t="str">
        <f>'BD Team'!E43</f>
        <v>6MM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7" t="s">
        <v>250</v>
      </c>
      <c r="M391" s="538"/>
      <c r="N391" s="540" t="str">
        <f>'BD Team'!F43</f>
        <v>NO</v>
      </c>
      <c r="O391" s="540"/>
    </row>
    <row r="392" spans="3:15"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</row>
    <row r="393" spans="3:15" ht="25.15" customHeight="1">
      <c r="C393" s="537" t="s">
        <v>251</v>
      </c>
      <c r="D393" s="538"/>
      <c r="E393" s="281" t="str">
        <f>'BD Team'!B44</f>
        <v>V4</v>
      </c>
      <c r="F393" s="283" t="s">
        <v>252</v>
      </c>
      <c r="G393" s="540" t="str">
        <f>'BD Team'!D44</f>
        <v>TOP HUNG WINDOW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7" t="s">
        <v>126</v>
      </c>
      <c r="M394" s="538"/>
      <c r="N394" s="543" t="str">
        <f>'BD Team'!G44</f>
        <v>TOILET</v>
      </c>
      <c r="O394" s="543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7" t="s">
        <v>244</v>
      </c>
      <c r="M395" s="538"/>
      <c r="N395" s="540" t="str">
        <f>$F$6</f>
        <v>Anodized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7" t="s">
        <v>175</v>
      </c>
      <c r="M396" s="538"/>
      <c r="N396" s="540" t="str">
        <f>$K$6</f>
        <v>Silver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7" t="s">
        <v>245</v>
      </c>
      <c r="M397" s="538"/>
      <c r="N397" s="543" t="s">
        <v>253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7" t="s">
        <v>246</v>
      </c>
      <c r="M398" s="538"/>
      <c r="N398" s="540" t="str">
        <f>CONCATENATE('BD Team'!H44," X ",'BD Team'!I44)</f>
        <v>760 X 760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7" t="s">
        <v>247</v>
      </c>
      <c r="M399" s="538"/>
      <c r="N399" s="539">
        <f>'BD Team'!J44</f>
        <v>2</v>
      </c>
      <c r="O399" s="539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7" t="s">
        <v>248</v>
      </c>
      <c r="M400" s="538"/>
      <c r="N400" s="540" t="str">
        <f>'BD Team'!C44</f>
        <v>M940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7" t="s">
        <v>249</v>
      </c>
      <c r="M401" s="538"/>
      <c r="N401" s="540" t="str">
        <f>'BD Team'!E44</f>
        <v>6MM (F)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7" t="s">
        <v>250</v>
      </c>
      <c r="M402" s="538"/>
      <c r="N402" s="540" t="str">
        <f>'BD Team'!F44</f>
        <v>NO</v>
      </c>
      <c r="O402" s="540"/>
    </row>
    <row r="403" spans="3:15"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</row>
    <row r="404" spans="3:15" ht="25.15" customHeight="1">
      <c r="C404" s="537" t="s">
        <v>251</v>
      </c>
      <c r="D404" s="538"/>
      <c r="E404" s="281">
        <f>'BD Team'!B45</f>
        <v>0</v>
      </c>
      <c r="F404" s="283" t="s">
        <v>252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7" t="s">
        <v>126</v>
      </c>
      <c r="M405" s="538"/>
      <c r="N405" s="543">
        <f>'BD Team'!G45</f>
        <v>0</v>
      </c>
      <c r="O405" s="543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7" t="s">
        <v>244</v>
      </c>
      <c r="M406" s="538"/>
      <c r="N406" s="540" t="str">
        <f>$F$6</f>
        <v>Anodized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7" t="s">
        <v>175</v>
      </c>
      <c r="M407" s="538"/>
      <c r="N407" s="540" t="str">
        <f>$K$6</f>
        <v>Silver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7" t="s">
        <v>245</v>
      </c>
      <c r="M408" s="538"/>
      <c r="N408" s="543" t="s">
        <v>253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7" t="s">
        <v>246</v>
      </c>
      <c r="M409" s="538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7" t="s">
        <v>247</v>
      </c>
      <c r="M410" s="538"/>
      <c r="N410" s="539">
        <f>'BD Team'!J45</f>
        <v>0</v>
      </c>
      <c r="O410" s="539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7" t="s">
        <v>248</v>
      </c>
      <c r="M411" s="538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7" t="s">
        <v>249</v>
      </c>
      <c r="M412" s="538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7" t="s">
        <v>250</v>
      </c>
      <c r="M413" s="538"/>
      <c r="N413" s="540">
        <f>'BD Team'!F45</f>
        <v>0</v>
      </c>
      <c r="O413" s="540"/>
    </row>
    <row r="414" spans="3:15"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</row>
    <row r="415" spans="3:15" ht="25.15" customHeight="1">
      <c r="C415" s="537" t="s">
        <v>251</v>
      </c>
      <c r="D415" s="538"/>
      <c r="E415" s="281">
        <f>'BD Team'!B46</f>
        <v>0</v>
      </c>
      <c r="F415" s="283" t="s">
        <v>252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7" t="s">
        <v>126</v>
      </c>
      <c r="M416" s="538"/>
      <c r="N416" s="543">
        <f>'BD Team'!G46</f>
        <v>0</v>
      </c>
      <c r="O416" s="543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7" t="s">
        <v>244</v>
      </c>
      <c r="M417" s="538"/>
      <c r="N417" s="540" t="str">
        <f>$F$6</f>
        <v>Anodized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7" t="s">
        <v>175</v>
      </c>
      <c r="M418" s="538"/>
      <c r="N418" s="540" t="str">
        <f>$K$6</f>
        <v>Silver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7" t="s">
        <v>245</v>
      </c>
      <c r="M419" s="538"/>
      <c r="N419" s="543" t="s">
        <v>253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7" t="s">
        <v>246</v>
      </c>
      <c r="M420" s="538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7" t="s">
        <v>247</v>
      </c>
      <c r="M421" s="538"/>
      <c r="N421" s="539">
        <f>'BD Team'!J46</f>
        <v>0</v>
      </c>
      <c r="O421" s="539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7" t="s">
        <v>248</v>
      </c>
      <c r="M422" s="538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7" t="s">
        <v>249</v>
      </c>
      <c r="M423" s="538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7" t="s">
        <v>250</v>
      </c>
      <c r="M424" s="538"/>
      <c r="N424" s="540">
        <f>'BD Team'!F46</f>
        <v>0</v>
      </c>
      <c r="O424" s="540"/>
    </row>
    <row r="425" spans="3:15"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</row>
    <row r="426" spans="3:15" ht="25.15" customHeight="1">
      <c r="C426" s="537" t="s">
        <v>251</v>
      </c>
      <c r="D426" s="538"/>
      <c r="E426" s="281">
        <f>'BD Team'!B47</f>
        <v>0</v>
      </c>
      <c r="F426" s="283" t="s">
        <v>252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7" t="s">
        <v>126</v>
      </c>
      <c r="M427" s="538"/>
      <c r="N427" s="543">
        <f>'BD Team'!G47</f>
        <v>0</v>
      </c>
      <c r="O427" s="543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7" t="s">
        <v>244</v>
      </c>
      <c r="M428" s="538"/>
      <c r="N428" s="540" t="str">
        <f>$F$6</f>
        <v>Anodized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7" t="s">
        <v>175</v>
      </c>
      <c r="M429" s="538"/>
      <c r="N429" s="540" t="str">
        <f>$K$6</f>
        <v>Silver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7" t="s">
        <v>245</v>
      </c>
      <c r="M430" s="538"/>
      <c r="N430" s="543" t="s">
        <v>253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7" t="s">
        <v>246</v>
      </c>
      <c r="M431" s="538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7" t="s">
        <v>247</v>
      </c>
      <c r="M432" s="538"/>
      <c r="N432" s="539">
        <f>'BD Team'!J47</f>
        <v>0</v>
      </c>
      <c r="O432" s="539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7" t="s">
        <v>248</v>
      </c>
      <c r="M433" s="538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7" t="s">
        <v>249</v>
      </c>
      <c r="M434" s="538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7" t="s">
        <v>250</v>
      </c>
      <c r="M435" s="538"/>
      <c r="N435" s="540">
        <f>'BD Team'!F47</f>
        <v>0</v>
      </c>
      <c r="O435" s="540"/>
    </row>
    <row r="436" spans="3:15"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</row>
    <row r="437" spans="3:15" ht="25.15" customHeight="1">
      <c r="C437" s="537" t="s">
        <v>251</v>
      </c>
      <c r="D437" s="538"/>
      <c r="E437" s="281">
        <f>'BD Team'!B48</f>
        <v>0</v>
      </c>
      <c r="F437" s="283" t="s">
        <v>252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7" t="s">
        <v>126</v>
      </c>
      <c r="M438" s="538"/>
      <c r="N438" s="543">
        <f>'BD Team'!G48</f>
        <v>0</v>
      </c>
      <c r="O438" s="543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7" t="s">
        <v>244</v>
      </c>
      <c r="M439" s="538"/>
      <c r="N439" s="540" t="str">
        <f>$F$6</f>
        <v>Anodized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7" t="s">
        <v>175</v>
      </c>
      <c r="M440" s="538"/>
      <c r="N440" s="540" t="str">
        <f>$K$6</f>
        <v>Silver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7" t="s">
        <v>245</v>
      </c>
      <c r="M441" s="538"/>
      <c r="N441" s="543" t="s">
        <v>253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7" t="s">
        <v>246</v>
      </c>
      <c r="M442" s="538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7" t="s">
        <v>247</v>
      </c>
      <c r="M443" s="538"/>
      <c r="N443" s="539">
        <f>'BD Team'!J48</f>
        <v>0</v>
      </c>
      <c r="O443" s="539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7" t="s">
        <v>248</v>
      </c>
      <c r="M444" s="538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7" t="s">
        <v>249</v>
      </c>
      <c r="M445" s="538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7" t="s">
        <v>250</v>
      </c>
      <c r="M446" s="538"/>
      <c r="N446" s="540">
        <f>'BD Team'!F48</f>
        <v>0</v>
      </c>
      <c r="O446" s="540"/>
    </row>
    <row r="447" spans="3:15"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</row>
    <row r="448" spans="3:15" ht="25.15" customHeight="1">
      <c r="C448" s="537" t="s">
        <v>251</v>
      </c>
      <c r="D448" s="538"/>
      <c r="E448" s="281">
        <f>'BD Team'!B49</f>
        <v>0</v>
      </c>
      <c r="F448" s="283" t="s">
        <v>252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7" t="s">
        <v>126</v>
      </c>
      <c r="M449" s="538"/>
      <c r="N449" s="543">
        <f>'BD Team'!G49</f>
        <v>0</v>
      </c>
      <c r="O449" s="543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7" t="s">
        <v>244</v>
      </c>
      <c r="M450" s="538"/>
      <c r="N450" s="540" t="str">
        <f>$F$6</f>
        <v>Anodized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7" t="s">
        <v>175</v>
      </c>
      <c r="M451" s="538"/>
      <c r="N451" s="540" t="str">
        <f>$K$6</f>
        <v>Silver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7" t="s">
        <v>245</v>
      </c>
      <c r="M452" s="538"/>
      <c r="N452" s="543" t="s">
        <v>253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7" t="s">
        <v>246</v>
      </c>
      <c r="M453" s="538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7" t="s">
        <v>247</v>
      </c>
      <c r="M454" s="538"/>
      <c r="N454" s="539">
        <f>'BD Team'!J49</f>
        <v>0</v>
      </c>
      <c r="O454" s="539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7" t="s">
        <v>248</v>
      </c>
      <c r="M455" s="538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7" t="s">
        <v>249</v>
      </c>
      <c r="M456" s="538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7" t="s">
        <v>250</v>
      </c>
      <c r="M457" s="538"/>
      <c r="N457" s="540">
        <f>'BD Team'!F49</f>
        <v>0</v>
      </c>
      <c r="O457" s="540"/>
    </row>
    <row r="458" spans="3:15"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</row>
    <row r="459" spans="3:15" ht="25.15" customHeight="1">
      <c r="C459" s="537" t="s">
        <v>251</v>
      </c>
      <c r="D459" s="538"/>
      <c r="E459" s="281">
        <f>'BD Team'!B50</f>
        <v>0</v>
      </c>
      <c r="F459" s="283" t="s">
        <v>252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7" t="s">
        <v>126</v>
      </c>
      <c r="M460" s="538"/>
      <c r="N460" s="543">
        <f>'BD Team'!G50</f>
        <v>0</v>
      </c>
      <c r="O460" s="543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7" t="s">
        <v>244</v>
      </c>
      <c r="M461" s="538"/>
      <c r="N461" s="540" t="str">
        <f>$F$6</f>
        <v>Anodized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7" t="s">
        <v>175</v>
      </c>
      <c r="M462" s="538"/>
      <c r="N462" s="540" t="str">
        <f>$K$6</f>
        <v>Silver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7" t="s">
        <v>245</v>
      </c>
      <c r="M463" s="538"/>
      <c r="N463" s="543" t="s">
        <v>253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7" t="s">
        <v>246</v>
      </c>
      <c r="M464" s="538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7" t="s">
        <v>247</v>
      </c>
      <c r="M465" s="538"/>
      <c r="N465" s="539">
        <f>'BD Team'!J50</f>
        <v>0</v>
      </c>
      <c r="O465" s="539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7" t="s">
        <v>248</v>
      </c>
      <c r="M466" s="538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7" t="s">
        <v>249</v>
      </c>
      <c r="M467" s="538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7" t="s">
        <v>250</v>
      </c>
      <c r="M468" s="538"/>
      <c r="N468" s="540">
        <f>'BD Team'!F50</f>
        <v>0</v>
      </c>
      <c r="O468" s="540"/>
    </row>
    <row r="469" spans="3:15">
      <c r="C469" s="536"/>
      <c r="D469" s="536"/>
      <c r="E469" s="536"/>
      <c r="F469" s="536"/>
      <c r="G469" s="536"/>
      <c r="H469" s="536"/>
      <c r="I469" s="536"/>
      <c r="J469" s="536"/>
      <c r="K469" s="536"/>
      <c r="L469" s="536"/>
      <c r="M469" s="536"/>
      <c r="N469" s="536"/>
      <c r="O469" s="536"/>
    </row>
    <row r="470" spans="3:15" ht="25.15" customHeight="1">
      <c r="C470" s="537" t="s">
        <v>251</v>
      </c>
      <c r="D470" s="538"/>
      <c r="E470" s="281">
        <f>'BD Team'!B51</f>
        <v>0</v>
      </c>
      <c r="F470" s="283" t="s">
        <v>252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7" t="s">
        <v>126</v>
      </c>
      <c r="M471" s="538"/>
      <c r="N471" s="543">
        <f>'BD Team'!G51</f>
        <v>0</v>
      </c>
      <c r="O471" s="543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7" t="s">
        <v>244</v>
      </c>
      <c r="M472" s="538"/>
      <c r="N472" s="540" t="str">
        <f>$F$6</f>
        <v>Anodized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7" t="s">
        <v>175</v>
      </c>
      <c r="M473" s="538"/>
      <c r="N473" s="540" t="str">
        <f>$K$6</f>
        <v>Silver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7" t="s">
        <v>245</v>
      </c>
      <c r="M474" s="538"/>
      <c r="N474" s="543" t="s">
        <v>253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7" t="s">
        <v>246</v>
      </c>
      <c r="M475" s="538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7" t="s">
        <v>247</v>
      </c>
      <c r="M476" s="538"/>
      <c r="N476" s="539">
        <f>'BD Team'!J51</f>
        <v>0</v>
      </c>
      <c r="O476" s="539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7" t="s">
        <v>248</v>
      </c>
      <c r="M477" s="538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7" t="s">
        <v>249</v>
      </c>
      <c r="M478" s="538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7" t="s">
        <v>250</v>
      </c>
      <c r="M479" s="538"/>
      <c r="N479" s="540">
        <f>'BD Team'!F51</f>
        <v>0</v>
      </c>
      <c r="O479" s="540"/>
    </row>
    <row r="480" spans="3:15"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</row>
    <row r="481" spans="3:15" ht="25.15" customHeight="1">
      <c r="C481" s="537" t="s">
        <v>251</v>
      </c>
      <c r="D481" s="538"/>
      <c r="E481" s="281">
        <f>'BD Team'!B52</f>
        <v>0</v>
      </c>
      <c r="F481" s="283" t="s">
        <v>252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7" t="s">
        <v>126</v>
      </c>
      <c r="M482" s="538"/>
      <c r="N482" s="543">
        <f>'BD Team'!G52</f>
        <v>0</v>
      </c>
      <c r="O482" s="543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7" t="s">
        <v>244</v>
      </c>
      <c r="M483" s="538"/>
      <c r="N483" s="540" t="str">
        <f>$F$6</f>
        <v>Anodized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7" t="s">
        <v>175</v>
      </c>
      <c r="M484" s="538"/>
      <c r="N484" s="540" t="str">
        <f>$K$6</f>
        <v>Silver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7" t="s">
        <v>245</v>
      </c>
      <c r="M485" s="538"/>
      <c r="N485" s="543" t="s">
        <v>253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7" t="s">
        <v>246</v>
      </c>
      <c r="M486" s="538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7" t="s">
        <v>247</v>
      </c>
      <c r="M487" s="538"/>
      <c r="N487" s="539">
        <f>'BD Team'!J52</f>
        <v>0</v>
      </c>
      <c r="O487" s="539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7" t="s">
        <v>248</v>
      </c>
      <c r="M488" s="538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7" t="s">
        <v>249</v>
      </c>
      <c r="M489" s="538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7" t="s">
        <v>250</v>
      </c>
      <c r="M490" s="538"/>
      <c r="N490" s="540">
        <f>'BD Team'!F52</f>
        <v>0</v>
      </c>
      <c r="O490" s="540"/>
    </row>
    <row r="491" spans="3:15">
      <c r="C491" s="536"/>
      <c r="D491" s="536"/>
      <c r="E491" s="536"/>
      <c r="F491" s="536"/>
      <c r="G491" s="536"/>
      <c r="H491" s="536"/>
      <c r="I491" s="536"/>
      <c r="J491" s="536"/>
      <c r="K491" s="536"/>
      <c r="L491" s="536"/>
      <c r="M491" s="536"/>
      <c r="N491" s="536"/>
      <c r="O491" s="536"/>
    </row>
    <row r="492" spans="3:15" ht="25.15" customHeight="1">
      <c r="C492" s="537" t="s">
        <v>251</v>
      </c>
      <c r="D492" s="538"/>
      <c r="E492" s="281">
        <f>'BD Team'!B53</f>
        <v>0</v>
      </c>
      <c r="F492" s="283" t="s">
        <v>252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7" t="s">
        <v>126</v>
      </c>
      <c r="M493" s="538"/>
      <c r="N493" s="543">
        <f>'BD Team'!G53</f>
        <v>0</v>
      </c>
      <c r="O493" s="543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7" t="s">
        <v>244</v>
      </c>
      <c r="M494" s="538"/>
      <c r="N494" s="540" t="str">
        <f>$F$6</f>
        <v>Anodized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7" t="s">
        <v>175</v>
      </c>
      <c r="M495" s="538"/>
      <c r="N495" s="540" t="str">
        <f>$K$6</f>
        <v>Silver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7" t="s">
        <v>245</v>
      </c>
      <c r="M496" s="538"/>
      <c r="N496" s="543" t="s">
        <v>253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7" t="s">
        <v>246</v>
      </c>
      <c r="M497" s="538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7" t="s">
        <v>247</v>
      </c>
      <c r="M498" s="538"/>
      <c r="N498" s="539">
        <f>'BD Team'!J53</f>
        <v>0</v>
      </c>
      <c r="O498" s="539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7" t="s">
        <v>248</v>
      </c>
      <c r="M499" s="538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7" t="s">
        <v>249</v>
      </c>
      <c r="M500" s="538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7" t="s">
        <v>250</v>
      </c>
      <c r="M501" s="538"/>
      <c r="N501" s="540">
        <f>'BD Team'!F53</f>
        <v>0</v>
      </c>
      <c r="O501" s="540"/>
    </row>
    <row r="502" spans="3:15">
      <c r="C502" s="536"/>
      <c r="D502" s="536"/>
      <c r="E502" s="536"/>
      <c r="F502" s="536"/>
      <c r="G502" s="536"/>
      <c r="H502" s="536"/>
      <c r="I502" s="536"/>
      <c r="J502" s="536"/>
      <c r="K502" s="536"/>
      <c r="L502" s="536"/>
      <c r="M502" s="536"/>
      <c r="N502" s="536"/>
      <c r="O502" s="536"/>
    </row>
    <row r="503" spans="3:15" ht="25.15" customHeight="1">
      <c r="C503" s="537" t="s">
        <v>251</v>
      </c>
      <c r="D503" s="538"/>
      <c r="E503" s="281">
        <f>'BD Team'!B54</f>
        <v>0</v>
      </c>
      <c r="F503" s="283" t="s">
        <v>252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7" t="s">
        <v>126</v>
      </c>
      <c r="M504" s="538"/>
      <c r="N504" s="543">
        <f>'BD Team'!G54</f>
        <v>0</v>
      </c>
      <c r="O504" s="543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7" t="s">
        <v>244</v>
      </c>
      <c r="M505" s="538"/>
      <c r="N505" s="540" t="str">
        <f>$F$6</f>
        <v>Anodized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7" t="s">
        <v>175</v>
      </c>
      <c r="M506" s="538"/>
      <c r="N506" s="540" t="str">
        <f>$K$6</f>
        <v>Silver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7" t="s">
        <v>245</v>
      </c>
      <c r="M507" s="538"/>
      <c r="N507" s="543" t="s">
        <v>253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7" t="s">
        <v>246</v>
      </c>
      <c r="M508" s="538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7" t="s">
        <v>247</v>
      </c>
      <c r="M509" s="538"/>
      <c r="N509" s="539">
        <f>'BD Team'!J54</f>
        <v>0</v>
      </c>
      <c r="O509" s="539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7" t="s">
        <v>248</v>
      </c>
      <c r="M510" s="538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7" t="s">
        <v>249</v>
      </c>
      <c r="M511" s="538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7" t="s">
        <v>250</v>
      </c>
      <c r="M512" s="538"/>
      <c r="N512" s="540">
        <f>'BD Team'!F54</f>
        <v>0</v>
      </c>
      <c r="O512" s="540"/>
    </row>
    <row r="513" spans="3:15"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</row>
    <row r="514" spans="3:15" ht="25.15" customHeight="1">
      <c r="C514" s="537" t="s">
        <v>251</v>
      </c>
      <c r="D514" s="538"/>
      <c r="E514" s="281">
        <f>'BD Team'!B55</f>
        <v>0</v>
      </c>
      <c r="F514" s="283" t="s">
        <v>252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7" t="s">
        <v>126</v>
      </c>
      <c r="M515" s="538"/>
      <c r="N515" s="543">
        <f>'BD Team'!G55</f>
        <v>0</v>
      </c>
      <c r="O515" s="543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7" t="s">
        <v>244</v>
      </c>
      <c r="M516" s="538"/>
      <c r="N516" s="540" t="str">
        <f>$F$6</f>
        <v>Anodized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7" t="s">
        <v>175</v>
      </c>
      <c r="M517" s="538"/>
      <c r="N517" s="540" t="str">
        <f>$K$6</f>
        <v>Silver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7" t="s">
        <v>245</v>
      </c>
      <c r="M518" s="538"/>
      <c r="N518" s="543" t="s">
        <v>253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7" t="s">
        <v>246</v>
      </c>
      <c r="M519" s="538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7" t="s">
        <v>247</v>
      </c>
      <c r="M520" s="538"/>
      <c r="N520" s="539">
        <f>'BD Team'!J55</f>
        <v>0</v>
      </c>
      <c r="O520" s="539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7" t="s">
        <v>248</v>
      </c>
      <c r="M521" s="538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7" t="s">
        <v>249</v>
      </c>
      <c r="M522" s="538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7" t="s">
        <v>250</v>
      </c>
      <c r="M523" s="538"/>
      <c r="N523" s="540">
        <f>'BD Team'!F55</f>
        <v>0</v>
      </c>
      <c r="O523" s="540"/>
    </row>
    <row r="524" spans="3:15">
      <c r="C524" s="536"/>
      <c r="D524" s="536"/>
      <c r="E524" s="536"/>
      <c r="F524" s="536"/>
      <c r="G524" s="536"/>
      <c r="H524" s="536"/>
      <c r="I524" s="536"/>
      <c r="J524" s="536"/>
      <c r="K524" s="536"/>
      <c r="L524" s="536"/>
      <c r="M524" s="536"/>
      <c r="N524" s="536"/>
      <c r="O524" s="536"/>
    </row>
    <row r="525" spans="3:15" ht="25.15" customHeight="1">
      <c r="C525" s="537" t="s">
        <v>251</v>
      </c>
      <c r="D525" s="538"/>
      <c r="E525" s="281">
        <f>'BD Team'!B56</f>
        <v>0</v>
      </c>
      <c r="F525" s="283" t="s">
        <v>252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7" t="s">
        <v>126</v>
      </c>
      <c r="M526" s="538"/>
      <c r="N526" s="543">
        <f>'BD Team'!G56</f>
        <v>0</v>
      </c>
      <c r="O526" s="543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7" t="s">
        <v>244</v>
      </c>
      <c r="M527" s="538"/>
      <c r="N527" s="540" t="str">
        <f>$F$6</f>
        <v>Anodized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7" t="s">
        <v>175</v>
      </c>
      <c r="M528" s="538"/>
      <c r="N528" s="540" t="str">
        <f>$K$6</f>
        <v>Silver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7" t="s">
        <v>245</v>
      </c>
      <c r="M529" s="538"/>
      <c r="N529" s="543" t="s">
        <v>253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7" t="s">
        <v>246</v>
      </c>
      <c r="M530" s="538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7" t="s">
        <v>247</v>
      </c>
      <c r="M531" s="538"/>
      <c r="N531" s="539">
        <f>'BD Team'!J56</f>
        <v>0</v>
      </c>
      <c r="O531" s="539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7" t="s">
        <v>248</v>
      </c>
      <c r="M532" s="538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7" t="s">
        <v>249</v>
      </c>
      <c r="M533" s="538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7" t="s">
        <v>250</v>
      </c>
      <c r="M534" s="538"/>
      <c r="N534" s="540">
        <f>'BD Team'!F56</f>
        <v>0</v>
      </c>
      <c r="O534" s="540"/>
    </row>
    <row r="535" spans="3:15"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</row>
    <row r="536" spans="3:15" ht="25.15" customHeight="1">
      <c r="C536" s="537" t="s">
        <v>251</v>
      </c>
      <c r="D536" s="538"/>
      <c r="E536" s="281">
        <f>'BD Team'!B57</f>
        <v>0</v>
      </c>
      <c r="F536" s="283" t="s">
        <v>252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7" t="s">
        <v>126</v>
      </c>
      <c r="M537" s="538"/>
      <c r="N537" s="543">
        <f>'BD Team'!G57</f>
        <v>0</v>
      </c>
      <c r="O537" s="543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7" t="s">
        <v>244</v>
      </c>
      <c r="M538" s="538"/>
      <c r="N538" s="540" t="str">
        <f>$F$6</f>
        <v>Anodized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7" t="s">
        <v>175</v>
      </c>
      <c r="M539" s="538"/>
      <c r="N539" s="540" t="str">
        <f>$K$6</f>
        <v>Silver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7" t="s">
        <v>245</v>
      </c>
      <c r="M540" s="538"/>
      <c r="N540" s="543" t="s">
        <v>253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7" t="s">
        <v>246</v>
      </c>
      <c r="M541" s="538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7" t="s">
        <v>247</v>
      </c>
      <c r="M542" s="538"/>
      <c r="N542" s="539">
        <f>'BD Team'!J57</f>
        <v>0</v>
      </c>
      <c r="O542" s="539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7" t="s">
        <v>248</v>
      </c>
      <c r="M543" s="538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7" t="s">
        <v>249</v>
      </c>
      <c r="M544" s="538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7" t="s">
        <v>250</v>
      </c>
      <c r="M545" s="538"/>
      <c r="N545" s="540">
        <f>'BD Team'!F57</f>
        <v>0</v>
      </c>
      <c r="O545" s="540"/>
    </row>
    <row r="546" spans="3:15">
      <c r="C546" s="536"/>
      <c r="D546" s="536"/>
      <c r="E546" s="536"/>
      <c r="F546" s="536"/>
      <c r="G546" s="536"/>
      <c r="H546" s="536"/>
      <c r="I546" s="536"/>
      <c r="J546" s="536"/>
      <c r="K546" s="536"/>
      <c r="L546" s="536"/>
      <c r="M546" s="536"/>
      <c r="N546" s="536"/>
      <c r="O546" s="536"/>
    </row>
    <row r="547" spans="3:15" ht="25.15" customHeight="1">
      <c r="C547" s="537" t="s">
        <v>251</v>
      </c>
      <c r="D547" s="538"/>
      <c r="E547" s="281">
        <f>'BD Team'!B58</f>
        <v>0</v>
      </c>
      <c r="F547" s="283" t="s">
        <v>252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7" t="s">
        <v>126</v>
      </c>
      <c r="M548" s="538"/>
      <c r="N548" s="543">
        <f>'BD Team'!G58</f>
        <v>0</v>
      </c>
      <c r="O548" s="543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7" t="s">
        <v>244</v>
      </c>
      <c r="M549" s="538"/>
      <c r="N549" s="540" t="str">
        <f>$F$6</f>
        <v>Anodized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7" t="s">
        <v>175</v>
      </c>
      <c r="M550" s="538"/>
      <c r="N550" s="540" t="str">
        <f>$K$6</f>
        <v>Silver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7" t="s">
        <v>245</v>
      </c>
      <c r="M551" s="538"/>
      <c r="N551" s="543" t="s">
        <v>253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7" t="s">
        <v>246</v>
      </c>
      <c r="M552" s="538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7" t="s">
        <v>247</v>
      </c>
      <c r="M553" s="538"/>
      <c r="N553" s="539">
        <f>'BD Team'!J58</f>
        <v>0</v>
      </c>
      <c r="O553" s="539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7" t="s">
        <v>248</v>
      </c>
      <c r="M554" s="538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7" t="s">
        <v>249</v>
      </c>
      <c r="M555" s="538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7" t="s">
        <v>250</v>
      </c>
      <c r="M556" s="538"/>
      <c r="N556" s="540">
        <f>'BD Team'!F58</f>
        <v>0</v>
      </c>
      <c r="O556" s="540"/>
    </row>
    <row r="557" spans="3:15"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</row>
    <row r="558" spans="3:15" ht="25.15" customHeight="1">
      <c r="C558" s="537" t="s">
        <v>251</v>
      </c>
      <c r="D558" s="538"/>
      <c r="E558" s="284">
        <f>'BD Team'!B59</f>
        <v>0</v>
      </c>
      <c r="F558" s="283" t="s">
        <v>252</v>
      </c>
      <c r="G558" s="539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7" t="s">
        <v>126</v>
      </c>
      <c r="M559" s="538"/>
      <c r="N559" s="542">
        <f>'BD Team'!G59</f>
        <v>0</v>
      </c>
      <c r="O559" s="543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7" t="s">
        <v>244</v>
      </c>
      <c r="M560" s="538"/>
      <c r="N560" s="540" t="str">
        <f>$F$6</f>
        <v>Anodized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7" t="s">
        <v>175</v>
      </c>
      <c r="M561" s="538"/>
      <c r="N561" s="540" t="str">
        <f>$K$6</f>
        <v>Silver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7" t="s">
        <v>245</v>
      </c>
      <c r="M562" s="538"/>
      <c r="N562" s="543" t="s">
        <v>253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7" t="s">
        <v>246</v>
      </c>
      <c r="M563" s="538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7" t="s">
        <v>247</v>
      </c>
      <c r="M564" s="538"/>
      <c r="N564" s="539">
        <f>'BD Team'!J59</f>
        <v>0</v>
      </c>
      <c r="O564" s="539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7" t="s">
        <v>248</v>
      </c>
      <c r="M565" s="538"/>
      <c r="N565" s="539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7" t="s">
        <v>249</v>
      </c>
      <c r="M566" s="538"/>
      <c r="N566" s="539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7" t="s">
        <v>250</v>
      </c>
      <c r="M567" s="538"/>
      <c r="N567" s="539">
        <f>'BD Team'!F59</f>
        <v>0</v>
      </c>
      <c r="O567" s="540"/>
    </row>
    <row r="568" spans="3:15">
      <c r="C568" s="536"/>
      <c r="D568" s="536"/>
      <c r="E568" s="536"/>
      <c r="F568" s="536"/>
      <c r="G568" s="536"/>
      <c r="H568" s="536"/>
      <c r="I568" s="536"/>
      <c r="J568" s="536"/>
      <c r="K568" s="536"/>
      <c r="L568" s="536"/>
      <c r="M568" s="536"/>
      <c r="N568" s="536"/>
      <c r="O568" s="536"/>
    </row>
    <row r="569" spans="3:15" ht="25.15" customHeight="1">
      <c r="C569" s="537" t="s">
        <v>251</v>
      </c>
      <c r="D569" s="538"/>
      <c r="E569" s="284">
        <f>'BD Team'!B60</f>
        <v>0</v>
      </c>
      <c r="F569" s="283" t="s">
        <v>252</v>
      </c>
      <c r="G569" s="539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7" t="s">
        <v>126</v>
      </c>
      <c r="M570" s="538"/>
      <c r="N570" s="542">
        <f>'BD Team'!G60</f>
        <v>0</v>
      </c>
      <c r="O570" s="543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7" t="s">
        <v>244</v>
      </c>
      <c r="M571" s="538"/>
      <c r="N571" s="540" t="str">
        <f>$F$6</f>
        <v>Anodized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7" t="s">
        <v>175</v>
      </c>
      <c r="M572" s="538"/>
      <c r="N572" s="540" t="str">
        <f>$K$6</f>
        <v>Silver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7" t="s">
        <v>245</v>
      </c>
      <c r="M573" s="538"/>
      <c r="N573" s="543" t="s">
        <v>253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7" t="s">
        <v>246</v>
      </c>
      <c r="M574" s="538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7" t="s">
        <v>247</v>
      </c>
      <c r="M575" s="538"/>
      <c r="N575" s="539">
        <f>'BD Team'!J60</f>
        <v>0</v>
      </c>
      <c r="O575" s="539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7" t="s">
        <v>248</v>
      </c>
      <c r="M576" s="538"/>
      <c r="N576" s="539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7" t="s">
        <v>249</v>
      </c>
      <c r="M577" s="538"/>
      <c r="N577" s="539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7" t="s">
        <v>250</v>
      </c>
      <c r="M578" s="538"/>
      <c r="N578" s="539">
        <f>'BD Team'!F60</f>
        <v>0</v>
      </c>
      <c r="O578" s="540"/>
    </row>
    <row r="579" spans="3:15">
      <c r="C579" s="536"/>
      <c r="D579" s="536"/>
      <c r="E579" s="536"/>
      <c r="F579" s="536"/>
      <c r="G579" s="536"/>
      <c r="H579" s="536"/>
      <c r="I579" s="536"/>
      <c r="J579" s="536"/>
      <c r="K579" s="536"/>
      <c r="L579" s="536"/>
      <c r="M579" s="536"/>
      <c r="N579" s="536"/>
      <c r="O579" s="536"/>
    </row>
    <row r="580" spans="3:15" ht="25.15" customHeight="1">
      <c r="C580" s="537" t="s">
        <v>251</v>
      </c>
      <c r="D580" s="538"/>
      <c r="E580" s="284">
        <f>'BD Team'!B61</f>
        <v>0</v>
      </c>
      <c r="F580" s="283" t="s">
        <v>252</v>
      </c>
      <c r="G580" s="539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7" t="s">
        <v>126</v>
      </c>
      <c r="M581" s="538"/>
      <c r="N581" s="542">
        <f>'BD Team'!G61</f>
        <v>0</v>
      </c>
      <c r="O581" s="543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7" t="s">
        <v>244</v>
      </c>
      <c r="M582" s="538"/>
      <c r="N582" s="540" t="str">
        <f>$F$6</f>
        <v>Anodized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7" t="s">
        <v>175</v>
      </c>
      <c r="M583" s="538"/>
      <c r="N583" s="540" t="str">
        <f>$K$6</f>
        <v>Silver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7" t="s">
        <v>245</v>
      </c>
      <c r="M584" s="538"/>
      <c r="N584" s="543" t="s">
        <v>253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7" t="s">
        <v>246</v>
      </c>
      <c r="M585" s="538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7" t="s">
        <v>247</v>
      </c>
      <c r="M586" s="538"/>
      <c r="N586" s="539">
        <f>'BD Team'!J61</f>
        <v>0</v>
      </c>
      <c r="O586" s="539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7" t="s">
        <v>248</v>
      </c>
      <c r="M587" s="538"/>
      <c r="N587" s="539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7" t="s">
        <v>249</v>
      </c>
      <c r="M588" s="538"/>
      <c r="N588" s="539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7" t="s">
        <v>250</v>
      </c>
      <c r="M589" s="538"/>
      <c r="N589" s="539">
        <f>'BD Team'!F61</f>
        <v>0</v>
      </c>
      <c r="O589" s="540"/>
    </row>
    <row r="590" spans="3:15">
      <c r="C590" s="536"/>
      <c r="D590" s="536"/>
      <c r="E590" s="536"/>
      <c r="F590" s="536"/>
      <c r="G590" s="536"/>
      <c r="H590" s="536"/>
      <c r="I590" s="536"/>
      <c r="J590" s="536"/>
      <c r="K590" s="536"/>
      <c r="L590" s="536"/>
      <c r="M590" s="536"/>
      <c r="N590" s="536"/>
      <c r="O590" s="536"/>
    </row>
    <row r="591" spans="3:15" ht="25.15" customHeight="1">
      <c r="C591" s="537" t="s">
        <v>251</v>
      </c>
      <c r="D591" s="538"/>
      <c r="E591" s="284">
        <f>'BD Team'!B62</f>
        <v>0</v>
      </c>
      <c r="F591" s="283" t="s">
        <v>252</v>
      </c>
      <c r="G591" s="539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7" t="s">
        <v>126</v>
      </c>
      <c r="M592" s="538"/>
      <c r="N592" s="542">
        <f>'BD Team'!G62</f>
        <v>0</v>
      </c>
      <c r="O592" s="543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7" t="s">
        <v>244</v>
      </c>
      <c r="M593" s="538"/>
      <c r="N593" s="540" t="str">
        <f>$F$6</f>
        <v>Anodized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7" t="s">
        <v>175</v>
      </c>
      <c r="M594" s="538"/>
      <c r="N594" s="540" t="str">
        <f>$K$6</f>
        <v>Silver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7" t="s">
        <v>245</v>
      </c>
      <c r="M595" s="538"/>
      <c r="N595" s="543" t="s">
        <v>253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7" t="s">
        <v>246</v>
      </c>
      <c r="M596" s="538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7" t="s">
        <v>247</v>
      </c>
      <c r="M597" s="538"/>
      <c r="N597" s="539">
        <f>'BD Team'!J62</f>
        <v>0</v>
      </c>
      <c r="O597" s="539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7" t="s">
        <v>248</v>
      </c>
      <c r="M598" s="538"/>
      <c r="N598" s="539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7" t="s">
        <v>249</v>
      </c>
      <c r="M599" s="538"/>
      <c r="N599" s="539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7" t="s">
        <v>250</v>
      </c>
      <c r="M600" s="538"/>
      <c r="N600" s="539">
        <f>'BD Team'!F62</f>
        <v>0</v>
      </c>
      <c r="O600" s="540"/>
    </row>
    <row r="601" spans="3:15">
      <c r="C601" s="536"/>
      <c r="D601" s="536"/>
      <c r="E601" s="536"/>
      <c r="F601" s="536"/>
      <c r="G601" s="536"/>
      <c r="H601" s="536"/>
      <c r="I601" s="536"/>
      <c r="J601" s="536"/>
      <c r="K601" s="536"/>
      <c r="L601" s="536"/>
      <c r="M601" s="536"/>
      <c r="N601" s="536"/>
      <c r="O601" s="536"/>
    </row>
    <row r="602" spans="3:15" ht="25.15" customHeight="1">
      <c r="C602" s="537" t="s">
        <v>251</v>
      </c>
      <c r="D602" s="538"/>
      <c r="E602" s="284">
        <f>'BD Team'!B63</f>
        <v>0</v>
      </c>
      <c r="F602" s="283" t="s">
        <v>252</v>
      </c>
      <c r="G602" s="539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7" t="s">
        <v>126</v>
      </c>
      <c r="M603" s="538"/>
      <c r="N603" s="542">
        <f>'BD Team'!G63</f>
        <v>0</v>
      </c>
      <c r="O603" s="543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7" t="s">
        <v>244</v>
      </c>
      <c r="M604" s="538"/>
      <c r="N604" s="540" t="str">
        <f>$F$6</f>
        <v>Anodized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7" t="s">
        <v>175</v>
      </c>
      <c r="M605" s="538"/>
      <c r="N605" s="540" t="str">
        <f>$K$6</f>
        <v>Silver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7" t="s">
        <v>245</v>
      </c>
      <c r="M606" s="538"/>
      <c r="N606" s="543" t="s">
        <v>253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7" t="s">
        <v>246</v>
      </c>
      <c r="M607" s="538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7" t="s">
        <v>247</v>
      </c>
      <c r="M608" s="538"/>
      <c r="N608" s="539">
        <f>'BD Team'!J63</f>
        <v>0</v>
      </c>
      <c r="O608" s="539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7" t="s">
        <v>248</v>
      </c>
      <c r="M609" s="538"/>
      <c r="N609" s="539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7" t="s">
        <v>249</v>
      </c>
      <c r="M610" s="538"/>
      <c r="N610" s="539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7" t="s">
        <v>250</v>
      </c>
      <c r="M611" s="538"/>
      <c r="N611" s="539">
        <f>'BD Team'!F63</f>
        <v>0</v>
      </c>
      <c r="O611" s="540"/>
    </row>
    <row r="612" spans="3:15"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</row>
    <row r="613" spans="3:15" ht="25.15" customHeight="1">
      <c r="C613" s="537" t="s">
        <v>251</v>
      </c>
      <c r="D613" s="538"/>
      <c r="E613" s="284">
        <f>'BD Team'!B64</f>
        <v>0</v>
      </c>
      <c r="F613" s="283" t="s">
        <v>252</v>
      </c>
      <c r="G613" s="539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7" t="s">
        <v>126</v>
      </c>
      <c r="M614" s="538"/>
      <c r="N614" s="542">
        <f>'BD Team'!G64</f>
        <v>0</v>
      </c>
      <c r="O614" s="543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7" t="s">
        <v>244</v>
      </c>
      <c r="M615" s="538"/>
      <c r="N615" s="540" t="str">
        <f>$F$6</f>
        <v>Anodized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7" t="s">
        <v>175</v>
      </c>
      <c r="M616" s="538"/>
      <c r="N616" s="540" t="str">
        <f>$K$6</f>
        <v>Silver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7" t="s">
        <v>245</v>
      </c>
      <c r="M617" s="538"/>
      <c r="N617" s="543" t="s">
        <v>253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7" t="s">
        <v>246</v>
      </c>
      <c r="M618" s="538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7" t="s">
        <v>247</v>
      </c>
      <c r="M619" s="538"/>
      <c r="N619" s="539">
        <f>'BD Team'!J64</f>
        <v>0</v>
      </c>
      <c r="O619" s="539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7" t="s">
        <v>248</v>
      </c>
      <c r="M620" s="538"/>
      <c r="N620" s="539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7" t="s">
        <v>249</v>
      </c>
      <c r="M621" s="538"/>
      <c r="N621" s="539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7" t="s">
        <v>250</v>
      </c>
      <c r="M622" s="538"/>
      <c r="N622" s="539">
        <f>'BD Team'!F64</f>
        <v>0</v>
      </c>
      <c r="O622" s="540"/>
    </row>
    <row r="623" spans="3:15">
      <c r="C623" s="536"/>
      <c r="D623" s="536"/>
      <c r="E623" s="536"/>
      <c r="F623" s="536"/>
      <c r="G623" s="536"/>
      <c r="H623" s="536"/>
      <c r="I623" s="536"/>
      <c r="J623" s="536"/>
      <c r="K623" s="536"/>
      <c r="L623" s="536"/>
      <c r="M623" s="536"/>
      <c r="N623" s="536"/>
      <c r="O623" s="536"/>
    </row>
    <row r="624" spans="3:15" ht="25.15" customHeight="1">
      <c r="C624" s="537" t="s">
        <v>251</v>
      </c>
      <c r="D624" s="538"/>
      <c r="E624" s="284">
        <f>'BD Team'!B65</f>
        <v>0</v>
      </c>
      <c r="F624" s="283" t="s">
        <v>252</v>
      </c>
      <c r="G624" s="539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7" t="s">
        <v>126</v>
      </c>
      <c r="M625" s="538"/>
      <c r="N625" s="542">
        <f>'BD Team'!G65</f>
        <v>0</v>
      </c>
      <c r="O625" s="543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7" t="s">
        <v>244</v>
      </c>
      <c r="M626" s="538"/>
      <c r="N626" s="540" t="str">
        <f>$F$6</f>
        <v>Anodized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7" t="s">
        <v>175</v>
      </c>
      <c r="M627" s="538"/>
      <c r="N627" s="540" t="str">
        <f>$K$6</f>
        <v>Silver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7" t="s">
        <v>245</v>
      </c>
      <c r="M628" s="538"/>
      <c r="N628" s="543" t="s">
        <v>253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7" t="s">
        <v>246</v>
      </c>
      <c r="M629" s="538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7" t="s">
        <v>247</v>
      </c>
      <c r="M630" s="538"/>
      <c r="N630" s="539">
        <f>'BD Team'!J65</f>
        <v>0</v>
      </c>
      <c r="O630" s="539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7" t="s">
        <v>248</v>
      </c>
      <c r="M631" s="538"/>
      <c r="N631" s="539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7" t="s">
        <v>249</v>
      </c>
      <c r="M632" s="538"/>
      <c r="N632" s="539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7" t="s">
        <v>250</v>
      </c>
      <c r="M633" s="538"/>
      <c r="N633" s="539">
        <f>'BD Team'!F65</f>
        <v>0</v>
      </c>
      <c r="O633" s="540"/>
    </row>
    <row r="634" spans="3:15"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</row>
    <row r="635" spans="3:15" ht="25.15" customHeight="1">
      <c r="C635" s="537" t="s">
        <v>251</v>
      </c>
      <c r="D635" s="538"/>
      <c r="E635" s="284">
        <f>'BD Team'!B66</f>
        <v>0</v>
      </c>
      <c r="F635" s="283" t="s">
        <v>252</v>
      </c>
      <c r="G635" s="539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7" t="s">
        <v>126</v>
      </c>
      <c r="M636" s="538"/>
      <c r="N636" s="542">
        <f>'BD Team'!G66</f>
        <v>0</v>
      </c>
      <c r="O636" s="543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7" t="s">
        <v>244</v>
      </c>
      <c r="M637" s="538"/>
      <c r="N637" s="540" t="str">
        <f>$F$6</f>
        <v>Anodized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7" t="s">
        <v>175</v>
      </c>
      <c r="M638" s="538"/>
      <c r="N638" s="540" t="str">
        <f>$K$6</f>
        <v>Silver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7" t="s">
        <v>245</v>
      </c>
      <c r="M639" s="538"/>
      <c r="N639" s="543" t="s">
        <v>253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7" t="s">
        <v>246</v>
      </c>
      <c r="M640" s="538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7" t="s">
        <v>247</v>
      </c>
      <c r="M641" s="538"/>
      <c r="N641" s="539">
        <f>'BD Team'!J66</f>
        <v>0</v>
      </c>
      <c r="O641" s="539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7" t="s">
        <v>248</v>
      </c>
      <c r="M642" s="538"/>
      <c r="N642" s="539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7" t="s">
        <v>249</v>
      </c>
      <c r="M643" s="538"/>
      <c r="N643" s="539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7" t="s">
        <v>250</v>
      </c>
      <c r="M644" s="538"/>
      <c r="N644" s="539">
        <f>'BD Team'!F66</f>
        <v>0</v>
      </c>
      <c r="O644" s="540"/>
    </row>
    <row r="645" spans="3:15">
      <c r="C645" s="536"/>
      <c r="D645" s="536"/>
      <c r="E645" s="536"/>
      <c r="F645" s="536"/>
      <c r="G645" s="536"/>
      <c r="H645" s="536"/>
      <c r="I645" s="536"/>
      <c r="J645" s="536"/>
      <c r="K645" s="536"/>
      <c r="L645" s="536"/>
      <c r="M645" s="536"/>
      <c r="N645" s="536"/>
      <c r="O645" s="536"/>
    </row>
    <row r="646" spans="3:15" ht="25.15" customHeight="1">
      <c r="C646" s="537" t="s">
        <v>251</v>
      </c>
      <c r="D646" s="538"/>
      <c r="E646" s="284">
        <f>'BD Team'!B67</f>
        <v>0</v>
      </c>
      <c r="F646" s="283" t="s">
        <v>252</v>
      </c>
      <c r="G646" s="539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7" t="s">
        <v>126</v>
      </c>
      <c r="M647" s="538"/>
      <c r="N647" s="542">
        <f>'BD Team'!G67</f>
        <v>0</v>
      </c>
      <c r="O647" s="543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7" t="s">
        <v>244</v>
      </c>
      <c r="M648" s="538"/>
      <c r="N648" s="540" t="str">
        <f>$F$6</f>
        <v>Anodized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7" t="s">
        <v>175</v>
      </c>
      <c r="M649" s="538"/>
      <c r="N649" s="540" t="str">
        <f>$K$6</f>
        <v>Silver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7" t="s">
        <v>245</v>
      </c>
      <c r="M650" s="538"/>
      <c r="N650" s="543" t="s">
        <v>253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7" t="s">
        <v>246</v>
      </c>
      <c r="M651" s="538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7" t="s">
        <v>247</v>
      </c>
      <c r="M652" s="538"/>
      <c r="N652" s="539">
        <f>'BD Team'!J67</f>
        <v>0</v>
      </c>
      <c r="O652" s="539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7" t="s">
        <v>248</v>
      </c>
      <c r="M653" s="538"/>
      <c r="N653" s="539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7" t="s">
        <v>249</v>
      </c>
      <c r="M654" s="538"/>
      <c r="N654" s="539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7" t="s">
        <v>250</v>
      </c>
      <c r="M655" s="538"/>
      <c r="N655" s="539">
        <f>'BD Team'!F67</f>
        <v>0</v>
      </c>
      <c r="O655" s="540"/>
    </row>
    <row r="656" spans="3:15">
      <c r="C656" s="536"/>
      <c r="D656" s="536"/>
      <c r="E656" s="536"/>
      <c r="F656" s="536"/>
      <c r="G656" s="536"/>
      <c r="H656" s="536"/>
      <c r="I656" s="536"/>
      <c r="J656" s="536"/>
      <c r="K656" s="536"/>
      <c r="L656" s="536"/>
      <c r="M656" s="536"/>
      <c r="N656" s="536"/>
      <c r="O656" s="536"/>
    </row>
    <row r="657" spans="3:15" ht="25.15" customHeight="1">
      <c r="C657" s="537" t="s">
        <v>251</v>
      </c>
      <c r="D657" s="538"/>
      <c r="E657" s="284">
        <f>'BD Team'!B68</f>
        <v>0</v>
      </c>
      <c r="F657" s="283" t="s">
        <v>252</v>
      </c>
      <c r="G657" s="539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7" t="s">
        <v>126</v>
      </c>
      <c r="M658" s="538"/>
      <c r="N658" s="542">
        <f>'BD Team'!G68</f>
        <v>0</v>
      </c>
      <c r="O658" s="543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7" t="s">
        <v>244</v>
      </c>
      <c r="M659" s="538"/>
      <c r="N659" s="540" t="str">
        <f>$F$6</f>
        <v>Anodized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7" t="s">
        <v>175</v>
      </c>
      <c r="M660" s="538"/>
      <c r="N660" s="540" t="str">
        <f>$K$6</f>
        <v>Silver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7" t="s">
        <v>245</v>
      </c>
      <c r="M661" s="538"/>
      <c r="N661" s="543" t="s">
        <v>253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7" t="s">
        <v>246</v>
      </c>
      <c r="M662" s="538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7" t="s">
        <v>247</v>
      </c>
      <c r="M663" s="538"/>
      <c r="N663" s="539">
        <f>'BD Team'!J68</f>
        <v>0</v>
      </c>
      <c r="O663" s="539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7" t="s">
        <v>248</v>
      </c>
      <c r="M664" s="538"/>
      <c r="N664" s="539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7" t="s">
        <v>249</v>
      </c>
      <c r="M665" s="538"/>
      <c r="N665" s="539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7" t="s">
        <v>250</v>
      </c>
      <c r="M666" s="538"/>
      <c r="N666" s="539">
        <f>'BD Team'!F68</f>
        <v>0</v>
      </c>
      <c r="O666" s="540"/>
    </row>
    <row r="667" spans="3:15">
      <c r="C667" s="536"/>
      <c r="D667" s="536"/>
      <c r="E667" s="536"/>
      <c r="F667" s="536"/>
      <c r="G667" s="536"/>
      <c r="H667" s="536"/>
      <c r="I667" s="536"/>
      <c r="J667" s="536"/>
      <c r="K667" s="536"/>
      <c r="L667" s="536"/>
      <c r="M667" s="536"/>
      <c r="N667" s="536"/>
      <c r="O667" s="536"/>
    </row>
    <row r="668" spans="3:15" ht="25.15" customHeight="1">
      <c r="C668" s="537" t="s">
        <v>251</v>
      </c>
      <c r="D668" s="538"/>
      <c r="E668" s="284">
        <f>'BD Team'!B69</f>
        <v>0</v>
      </c>
      <c r="F668" s="283" t="s">
        <v>252</v>
      </c>
      <c r="G668" s="539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7" t="s">
        <v>126</v>
      </c>
      <c r="M669" s="538"/>
      <c r="N669" s="542">
        <f>'BD Team'!G69</f>
        <v>0</v>
      </c>
      <c r="O669" s="543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7" t="s">
        <v>244</v>
      </c>
      <c r="M670" s="538"/>
      <c r="N670" s="540" t="str">
        <f>$F$6</f>
        <v>Anodized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7" t="s">
        <v>175</v>
      </c>
      <c r="M671" s="538"/>
      <c r="N671" s="540" t="str">
        <f>$K$6</f>
        <v>Silver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7" t="s">
        <v>245</v>
      </c>
      <c r="M672" s="538"/>
      <c r="N672" s="543" t="s">
        <v>253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7" t="s">
        <v>246</v>
      </c>
      <c r="M673" s="538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7" t="s">
        <v>247</v>
      </c>
      <c r="M674" s="538"/>
      <c r="N674" s="539">
        <f>'BD Team'!J69</f>
        <v>0</v>
      </c>
      <c r="O674" s="539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7" t="s">
        <v>248</v>
      </c>
      <c r="M675" s="538"/>
      <c r="N675" s="539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7" t="s">
        <v>249</v>
      </c>
      <c r="M676" s="538"/>
      <c r="N676" s="539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7" t="s">
        <v>250</v>
      </c>
      <c r="M677" s="538"/>
      <c r="N677" s="539">
        <f>'BD Team'!F69</f>
        <v>0</v>
      </c>
      <c r="O677" s="540"/>
    </row>
    <row r="678" spans="3:15">
      <c r="C678" s="536"/>
      <c r="D678" s="536"/>
      <c r="E678" s="536"/>
      <c r="F678" s="536"/>
      <c r="G678" s="536"/>
      <c r="H678" s="536"/>
      <c r="I678" s="536"/>
      <c r="J678" s="536"/>
      <c r="K678" s="536"/>
      <c r="L678" s="536"/>
      <c r="M678" s="536"/>
      <c r="N678" s="536"/>
      <c r="O678" s="536"/>
    </row>
    <row r="679" spans="3:15" ht="25.15" customHeight="1">
      <c r="C679" s="537" t="s">
        <v>251</v>
      </c>
      <c r="D679" s="538"/>
      <c r="E679" s="284">
        <f>'BD Team'!B70</f>
        <v>0</v>
      </c>
      <c r="F679" s="283" t="s">
        <v>252</v>
      </c>
      <c r="G679" s="539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7" t="s">
        <v>126</v>
      </c>
      <c r="M680" s="538"/>
      <c r="N680" s="542">
        <f>'BD Team'!G70</f>
        <v>0</v>
      </c>
      <c r="O680" s="543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7" t="s">
        <v>244</v>
      </c>
      <c r="M681" s="538"/>
      <c r="N681" s="540" t="str">
        <f>$F$6</f>
        <v>Anodized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7" t="s">
        <v>175</v>
      </c>
      <c r="M682" s="538"/>
      <c r="N682" s="540" t="str">
        <f>$K$6</f>
        <v>Silver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7" t="s">
        <v>245</v>
      </c>
      <c r="M683" s="538"/>
      <c r="N683" s="543" t="s">
        <v>253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7" t="s">
        <v>246</v>
      </c>
      <c r="M684" s="538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7" t="s">
        <v>247</v>
      </c>
      <c r="M685" s="538"/>
      <c r="N685" s="539">
        <f>'BD Team'!J70</f>
        <v>0</v>
      </c>
      <c r="O685" s="539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7" t="s">
        <v>248</v>
      </c>
      <c r="M686" s="538"/>
      <c r="N686" s="539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7" t="s">
        <v>249</v>
      </c>
      <c r="M687" s="538"/>
      <c r="N687" s="539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7" t="s">
        <v>250</v>
      </c>
      <c r="M688" s="538"/>
      <c r="N688" s="539">
        <f>'BD Team'!F70</f>
        <v>0</v>
      </c>
      <c r="O688" s="540"/>
    </row>
    <row r="689" spans="3:15"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</row>
    <row r="690" spans="3:15" ht="25.15" customHeight="1">
      <c r="C690" s="537" t="s">
        <v>251</v>
      </c>
      <c r="D690" s="538"/>
      <c r="E690" s="284">
        <f>'BD Team'!B71</f>
        <v>0</v>
      </c>
      <c r="F690" s="283" t="s">
        <v>252</v>
      </c>
      <c r="G690" s="539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7" t="s">
        <v>126</v>
      </c>
      <c r="M691" s="538"/>
      <c r="N691" s="542">
        <f>'BD Team'!G71</f>
        <v>0</v>
      </c>
      <c r="O691" s="543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7" t="s">
        <v>244</v>
      </c>
      <c r="M692" s="538"/>
      <c r="N692" s="540" t="str">
        <f>$F$6</f>
        <v>Anodized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7" t="s">
        <v>175</v>
      </c>
      <c r="M693" s="538"/>
      <c r="N693" s="540" t="str">
        <f>$K$6</f>
        <v>Silver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7" t="s">
        <v>245</v>
      </c>
      <c r="M694" s="538"/>
      <c r="N694" s="543" t="s">
        <v>253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7" t="s">
        <v>246</v>
      </c>
      <c r="M695" s="538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7" t="s">
        <v>247</v>
      </c>
      <c r="M696" s="538"/>
      <c r="N696" s="539">
        <f>'BD Team'!J71</f>
        <v>0</v>
      </c>
      <c r="O696" s="539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7" t="s">
        <v>248</v>
      </c>
      <c r="M697" s="538"/>
      <c r="N697" s="539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7" t="s">
        <v>249</v>
      </c>
      <c r="M698" s="538"/>
      <c r="N698" s="539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7" t="s">
        <v>250</v>
      </c>
      <c r="M699" s="538"/>
      <c r="N699" s="539">
        <f>'BD Team'!F71</f>
        <v>0</v>
      </c>
      <c r="O699" s="540"/>
    </row>
    <row r="700" spans="3:15">
      <c r="C700" s="536"/>
      <c r="D700" s="536"/>
      <c r="E700" s="536"/>
      <c r="F700" s="536"/>
      <c r="G700" s="536"/>
      <c r="H700" s="536"/>
      <c r="I700" s="536"/>
      <c r="J700" s="536"/>
      <c r="K700" s="536"/>
      <c r="L700" s="536"/>
      <c r="M700" s="536"/>
      <c r="N700" s="536"/>
      <c r="O700" s="536"/>
    </row>
    <row r="701" spans="3:15" ht="25.15" customHeight="1">
      <c r="C701" s="537" t="s">
        <v>251</v>
      </c>
      <c r="D701" s="538"/>
      <c r="E701" s="284">
        <f>'BD Team'!B72</f>
        <v>0</v>
      </c>
      <c r="F701" s="283" t="s">
        <v>252</v>
      </c>
      <c r="G701" s="539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7" t="s">
        <v>126</v>
      </c>
      <c r="M702" s="538"/>
      <c r="N702" s="542">
        <f>'BD Team'!G72</f>
        <v>0</v>
      </c>
      <c r="O702" s="543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7" t="s">
        <v>244</v>
      </c>
      <c r="M703" s="538"/>
      <c r="N703" s="540" t="str">
        <f>$F$6</f>
        <v>Anodized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7" t="s">
        <v>175</v>
      </c>
      <c r="M704" s="538"/>
      <c r="N704" s="540" t="str">
        <f>$K$6</f>
        <v>Silver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7" t="s">
        <v>245</v>
      </c>
      <c r="M705" s="538"/>
      <c r="N705" s="543" t="s">
        <v>253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7" t="s">
        <v>246</v>
      </c>
      <c r="M706" s="538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7" t="s">
        <v>247</v>
      </c>
      <c r="M707" s="538"/>
      <c r="N707" s="539">
        <f>'BD Team'!J72</f>
        <v>0</v>
      </c>
      <c r="O707" s="539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7" t="s">
        <v>248</v>
      </c>
      <c r="M708" s="538"/>
      <c r="N708" s="539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7" t="s">
        <v>249</v>
      </c>
      <c r="M709" s="538"/>
      <c r="N709" s="539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7" t="s">
        <v>250</v>
      </c>
      <c r="M710" s="538"/>
      <c r="N710" s="539">
        <f>'BD Team'!F72</f>
        <v>0</v>
      </c>
      <c r="O710" s="540"/>
    </row>
    <row r="711" spans="3:15"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</row>
    <row r="712" spans="3:15" ht="25.15" customHeight="1">
      <c r="C712" s="537" t="s">
        <v>251</v>
      </c>
      <c r="D712" s="538"/>
      <c r="E712" s="284">
        <f>'BD Team'!B73</f>
        <v>0</v>
      </c>
      <c r="F712" s="283" t="s">
        <v>252</v>
      </c>
      <c r="G712" s="539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7" t="s">
        <v>126</v>
      </c>
      <c r="M713" s="538"/>
      <c r="N713" s="542">
        <f>'BD Team'!G73</f>
        <v>0</v>
      </c>
      <c r="O713" s="543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7" t="s">
        <v>244</v>
      </c>
      <c r="M714" s="538"/>
      <c r="N714" s="540" t="str">
        <f>$F$6</f>
        <v>Anodized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7" t="s">
        <v>175</v>
      </c>
      <c r="M715" s="538"/>
      <c r="N715" s="540" t="str">
        <f>$K$6</f>
        <v>Silver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7" t="s">
        <v>245</v>
      </c>
      <c r="M716" s="538"/>
      <c r="N716" s="543" t="s">
        <v>253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7" t="s">
        <v>246</v>
      </c>
      <c r="M717" s="538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7" t="s">
        <v>247</v>
      </c>
      <c r="M718" s="538"/>
      <c r="N718" s="539">
        <f>'BD Team'!J73</f>
        <v>0</v>
      </c>
      <c r="O718" s="539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7" t="s">
        <v>248</v>
      </c>
      <c r="M719" s="538"/>
      <c r="N719" s="539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7" t="s">
        <v>249</v>
      </c>
      <c r="M720" s="538"/>
      <c r="N720" s="539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7" t="s">
        <v>250</v>
      </c>
      <c r="M721" s="538"/>
      <c r="N721" s="539">
        <f>'BD Team'!F73</f>
        <v>0</v>
      </c>
      <c r="O721" s="540"/>
    </row>
    <row r="722" spans="3:15">
      <c r="C722" s="536"/>
      <c r="D722" s="536"/>
      <c r="E722" s="536"/>
      <c r="F722" s="536"/>
      <c r="G722" s="536"/>
      <c r="H722" s="536"/>
      <c r="I722" s="536"/>
      <c r="J722" s="536"/>
      <c r="K722" s="536"/>
      <c r="L722" s="536"/>
      <c r="M722" s="536"/>
      <c r="N722" s="536"/>
      <c r="O722" s="536"/>
    </row>
    <row r="723" spans="3:15" ht="25.15" customHeight="1">
      <c r="C723" s="537" t="s">
        <v>251</v>
      </c>
      <c r="D723" s="538"/>
      <c r="E723" s="284">
        <f>'BD Team'!B74</f>
        <v>0</v>
      </c>
      <c r="F723" s="283" t="s">
        <v>252</v>
      </c>
      <c r="G723" s="539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7" t="s">
        <v>126</v>
      </c>
      <c r="M724" s="538"/>
      <c r="N724" s="542">
        <f>'BD Team'!G74</f>
        <v>0</v>
      </c>
      <c r="O724" s="543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7" t="s">
        <v>244</v>
      </c>
      <c r="M725" s="538"/>
      <c r="N725" s="540" t="str">
        <f>$F$6</f>
        <v>Anodized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7" t="s">
        <v>175</v>
      </c>
      <c r="M726" s="538"/>
      <c r="N726" s="540" t="str">
        <f>$K$6</f>
        <v>Silver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7" t="s">
        <v>245</v>
      </c>
      <c r="M727" s="538"/>
      <c r="N727" s="543" t="s">
        <v>253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7" t="s">
        <v>246</v>
      </c>
      <c r="M728" s="538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7" t="s">
        <v>247</v>
      </c>
      <c r="M729" s="538"/>
      <c r="N729" s="539">
        <f>'BD Team'!J74</f>
        <v>0</v>
      </c>
      <c r="O729" s="539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7" t="s">
        <v>248</v>
      </c>
      <c r="M730" s="538"/>
      <c r="N730" s="539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7" t="s">
        <v>249</v>
      </c>
      <c r="M731" s="538"/>
      <c r="N731" s="539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7" t="s">
        <v>250</v>
      </c>
      <c r="M732" s="538"/>
      <c r="N732" s="539">
        <f>'BD Team'!F74</f>
        <v>0</v>
      </c>
      <c r="O732" s="540"/>
    </row>
    <row r="733" spans="3:15">
      <c r="C733" s="536"/>
      <c r="D733" s="536"/>
      <c r="E733" s="536"/>
      <c r="F733" s="536"/>
      <c r="G733" s="536"/>
      <c r="H733" s="536"/>
      <c r="I733" s="536"/>
      <c r="J733" s="536"/>
      <c r="K733" s="536"/>
      <c r="L733" s="536"/>
      <c r="M733" s="536"/>
      <c r="N733" s="536"/>
      <c r="O733" s="536"/>
    </row>
    <row r="734" spans="3:15" ht="25.15" customHeight="1">
      <c r="C734" s="537" t="s">
        <v>251</v>
      </c>
      <c r="D734" s="538"/>
      <c r="E734" s="284">
        <f>'BD Team'!B75</f>
        <v>0</v>
      </c>
      <c r="F734" s="283" t="s">
        <v>252</v>
      </c>
      <c r="G734" s="539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7" t="s">
        <v>126</v>
      </c>
      <c r="M735" s="538"/>
      <c r="N735" s="542">
        <f>'BD Team'!G75</f>
        <v>0</v>
      </c>
      <c r="O735" s="543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7" t="s">
        <v>244</v>
      </c>
      <c r="M736" s="538"/>
      <c r="N736" s="540" t="str">
        <f>$F$6</f>
        <v>Anodized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7" t="s">
        <v>175</v>
      </c>
      <c r="M737" s="538"/>
      <c r="N737" s="540" t="str">
        <f>$K$6</f>
        <v>Silver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7" t="s">
        <v>245</v>
      </c>
      <c r="M738" s="538"/>
      <c r="N738" s="543" t="s">
        <v>253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7" t="s">
        <v>246</v>
      </c>
      <c r="M739" s="538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7" t="s">
        <v>247</v>
      </c>
      <c r="M740" s="538"/>
      <c r="N740" s="539">
        <f>'BD Team'!J75</f>
        <v>0</v>
      </c>
      <c r="O740" s="539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7" t="s">
        <v>248</v>
      </c>
      <c r="M741" s="538"/>
      <c r="N741" s="539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7" t="s">
        <v>249</v>
      </c>
      <c r="M742" s="538"/>
      <c r="N742" s="539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7" t="s">
        <v>250</v>
      </c>
      <c r="M743" s="538"/>
      <c r="N743" s="539">
        <f>'BD Team'!F75</f>
        <v>0</v>
      </c>
      <c r="O743" s="540"/>
    </row>
    <row r="744" spans="3:15">
      <c r="C744" s="536"/>
      <c r="D744" s="536"/>
      <c r="E744" s="536"/>
      <c r="F744" s="536"/>
      <c r="G744" s="536"/>
      <c r="H744" s="536"/>
      <c r="I744" s="536"/>
      <c r="J744" s="536"/>
      <c r="K744" s="536"/>
      <c r="L744" s="536"/>
      <c r="M744" s="536"/>
      <c r="N744" s="536"/>
      <c r="O744" s="536"/>
    </row>
    <row r="745" spans="3:15" ht="25.15" customHeight="1">
      <c r="C745" s="537" t="s">
        <v>251</v>
      </c>
      <c r="D745" s="538"/>
      <c r="E745" s="284">
        <f>'BD Team'!B76</f>
        <v>0</v>
      </c>
      <c r="F745" s="283" t="s">
        <v>252</v>
      </c>
      <c r="G745" s="539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7" t="s">
        <v>126</v>
      </c>
      <c r="M746" s="538"/>
      <c r="N746" s="542">
        <f>'BD Team'!G76</f>
        <v>0</v>
      </c>
      <c r="O746" s="543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7" t="s">
        <v>244</v>
      </c>
      <c r="M747" s="538"/>
      <c r="N747" s="540" t="str">
        <f>$F$6</f>
        <v>Anodized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7" t="s">
        <v>175</v>
      </c>
      <c r="M748" s="538"/>
      <c r="N748" s="540" t="str">
        <f>$K$6</f>
        <v>Silver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7" t="s">
        <v>245</v>
      </c>
      <c r="M749" s="538"/>
      <c r="N749" s="543" t="s">
        <v>253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7" t="s">
        <v>246</v>
      </c>
      <c r="M750" s="538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7" t="s">
        <v>247</v>
      </c>
      <c r="M751" s="538"/>
      <c r="N751" s="539">
        <f>'BD Team'!J76</f>
        <v>0</v>
      </c>
      <c r="O751" s="539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7" t="s">
        <v>248</v>
      </c>
      <c r="M752" s="538"/>
      <c r="N752" s="539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7" t="s">
        <v>249</v>
      </c>
      <c r="M753" s="538"/>
      <c r="N753" s="539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7" t="s">
        <v>250</v>
      </c>
      <c r="M754" s="538"/>
      <c r="N754" s="539">
        <f>'BD Team'!F76</f>
        <v>0</v>
      </c>
      <c r="O754" s="540"/>
    </row>
    <row r="755" spans="3:15">
      <c r="C755" s="536"/>
      <c r="D755" s="536"/>
      <c r="E755" s="536"/>
      <c r="F755" s="536"/>
      <c r="G755" s="536"/>
      <c r="H755" s="536"/>
      <c r="I755" s="536"/>
      <c r="J755" s="536"/>
      <c r="K755" s="536"/>
      <c r="L755" s="536"/>
      <c r="M755" s="536"/>
      <c r="N755" s="536"/>
      <c r="O755" s="536"/>
    </row>
    <row r="756" spans="3:15" ht="25.15" customHeight="1">
      <c r="C756" s="537" t="s">
        <v>251</v>
      </c>
      <c r="D756" s="538"/>
      <c r="E756" s="284">
        <f>'BD Team'!B77</f>
        <v>0</v>
      </c>
      <c r="F756" s="283" t="s">
        <v>252</v>
      </c>
      <c r="G756" s="539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7" t="s">
        <v>126</v>
      </c>
      <c r="M757" s="538"/>
      <c r="N757" s="542">
        <f>'BD Team'!G77</f>
        <v>0</v>
      </c>
      <c r="O757" s="543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7" t="s">
        <v>244</v>
      </c>
      <c r="M758" s="538"/>
      <c r="N758" s="540" t="str">
        <f>$F$6</f>
        <v>Anodized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7" t="s">
        <v>175</v>
      </c>
      <c r="M759" s="538"/>
      <c r="N759" s="540" t="str">
        <f>$K$6</f>
        <v>Silver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7" t="s">
        <v>245</v>
      </c>
      <c r="M760" s="538"/>
      <c r="N760" s="543" t="s">
        <v>253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7" t="s">
        <v>246</v>
      </c>
      <c r="M761" s="538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7" t="s">
        <v>247</v>
      </c>
      <c r="M762" s="538"/>
      <c r="N762" s="539">
        <f>'BD Team'!J77</f>
        <v>0</v>
      </c>
      <c r="O762" s="539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7" t="s">
        <v>248</v>
      </c>
      <c r="M763" s="538"/>
      <c r="N763" s="539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7" t="s">
        <v>249</v>
      </c>
      <c r="M764" s="538"/>
      <c r="N764" s="539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7" t="s">
        <v>250</v>
      </c>
      <c r="M765" s="538"/>
      <c r="N765" s="539">
        <f>'BD Team'!F77</f>
        <v>0</v>
      </c>
      <c r="O765" s="540"/>
    </row>
    <row r="766" spans="3:15"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</row>
    <row r="767" spans="3:15" ht="25.15" customHeight="1">
      <c r="C767" s="537" t="s">
        <v>251</v>
      </c>
      <c r="D767" s="538"/>
      <c r="E767" s="284">
        <f>'BD Team'!B78</f>
        <v>0</v>
      </c>
      <c r="F767" s="283" t="s">
        <v>252</v>
      </c>
      <c r="G767" s="539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7" t="s">
        <v>126</v>
      </c>
      <c r="M768" s="538"/>
      <c r="N768" s="542">
        <f>'BD Team'!G78</f>
        <v>0</v>
      </c>
      <c r="O768" s="543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7" t="s">
        <v>244</v>
      </c>
      <c r="M769" s="538"/>
      <c r="N769" s="540" t="str">
        <f>$F$6</f>
        <v>Anodized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7" t="s">
        <v>175</v>
      </c>
      <c r="M770" s="538"/>
      <c r="N770" s="540" t="str">
        <f>$K$6</f>
        <v>Silver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7" t="s">
        <v>245</v>
      </c>
      <c r="M771" s="538"/>
      <c r="N771" s="543" t="s">
        <v>253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7" t="s">
        <v>246</v>
      </c>
      <c r="M772" s="538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7" t="s">
        <v>247</v>
      </c>
      <c r="M773" s="538"/>
      <c r="N773" s="539">
        <f>'BD Team'!J78</f>
        <v>0</v>
      </c>
      <c r="O773" s="539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7" t="s">
        <v>248</v>
      </c>
      <c r="M774" s="538"/>
      <c r="N774" s="539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7" t="s">
        <v>249</v>
      </c>
      <c r="M775" s="538"/>
      <c r="N775" s="539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7" t="s">
        <v>250</v>
      </c>
      <c r="M776" s="538"/>
      <c r="N776" s="539">
        <f>'BD Team'!F78</f>
        <v>0</v>
      </c>
      <c r="O776" s="540"/>
    </row>
    <row r="777" spans="3:15">
      <c r="C777" s="536"/>
      <c r="D777" s="536"/>
      <c r="E777" s="536"/>
      <c r="F777" s="536"/>
      <c r="G777" s="536"/>
      <c r="H777" s="536"/>
      <c r="I777" s="536"/>
      <c r="J777" s="536"/>
      <c r="K777" s="536"/>
      <c r="L777" s="536"/>
      <c r="M777" s="536"/>
      <c r="N777" s="536"/>
      <c r="O777" s="536"/>
    </row>
    <row r="778" spans="3:15" ht="25.15" customHeight="1">
      <c r="C778" s="537" t="s">
        <v>251</v>
      </c>
      <c r="D778" s="538"/>
      <c r="E778" s="284">
        <f>'BD Team'!B79</f>
        <v>0</v>
      </c>
      <c r="F778" s="283" t="s">
        <v>252</v>
      </c>
      <c r="G778" s="539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7" t="s">
        <v>126</v>
      </c>
      <c r="M779" s="538"/>
      <c r="N779" s="542">
        <f>'BD Team'!G79</f>
        <v>0</v>
      </c>
      <c r="O779" s="543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7" t="s">
        <v>244</v>
      </c>
      <c r="M780" s="538"/>
      <c r="N780" s="540" t="str">
        <f>$F$6</f>
        <v>Anodized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7" t="s">
        <v>175</v>
      </c>
      <c r="M781" s="538"/>
      <c r="N781" s="540" t="str">
        <f>$K$6</f>
        <v>Silver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7" t="s">
        <v>245</v>
      </c>
      <c r="M782" s="538"/>
      <c r="N782" s="543" t="s">
        <v>253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7" t="s">
        <v>246</v>
      </c>
      <c r="M783" s="538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7" t="s">
        <v>247</v>
      </c>
      <c r="M784" s="538"/>
      <c r="N784" s="539">
        <f>'BD Team'!J79</f>
        <v>0</v>
      </c>
      <c r="O784" s="539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7" t="s">
        <v>248</v>
      </c>
      <c r="M785" s="538"/>
      <c r="N785" s="539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7" t="s">
        <v>249</v>
      </c>
      <c r="M786" s="538"/>
      <c r="N786" s="539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7" t="s">
        <v>250</v>
      </c>
      <c r="M787" s="538"/>
      <c r="N787" s="539">
        <f>'BD Team'!F79</f>
        <v>0</v>
      </c>
      <c r="O787" s="540"/>
    </row>
    <row r="788" spans="3:15"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</row>
    <row r="789" spans="3:15" ht="25.15" customHeight="1">
      <c r="C789" s="537" t="s">
        <v>251</v>
      </c>
      <c r="D789" s="538"/>
      <c r="E789" s="284">
        <f>'BD Team'!B80</f>
        <v>0</v>
      </c>
      <c r="F789" s="283" t="s">
        <v>252</v>
      </c>
      <c r="G789" s="539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7" t="s">
        <v>126</v>
      </c>
      <c r="M790" s="538"/>
      <c r="N790" s="542">
        <f>'BD Team'!G80</f>
        <v>0</v>
      </c>
      <c r="O790" s="543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7" t="s">
        <v>244</v>
      </c>
      <c r="M791" s="538"/>
      <c r="N791" s="540" t="str">
        <f>$F$6</f>
        <v>Anodized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7" t="s">
        <v>175</v>
      </c>
      <c r="M792" s="538"/>
      <c r="N792" s="540" t="str">
        <f>$K$6</f>
        <v>Silver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7" t="s">
        <v>245</v>
      </c>
      <c r="M793" s="538"/>
      <c r="N793" s="543" t="s">
        <v>253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7" t="s">
        <v>246</v>
      </c>
      <c r="M794" s="538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7" t="s">
        <v>247</v>
      </c>
      <c r="M795" s="538"/>
      <c r="N795" s="539">
        <f>'BD Team'!J80</f>
        <v>0</v>
      </c>
      <c r="O795" s="539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7" t="s">
        <v>248</v>
      </c>
      <c r="M796" s="538"/>
      <c r="N796" s="539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7" t="s">
        <v>249</v>
      </c>
      <c r="M797" s="538"/>
      <c r="N797" s="539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7" t="s">
        <v>250</v>
      </c>
      <c r="M798" s="538"/>
      <c r="N798" s="539">
        <f>'BD Team'!F80</f>
        <v>0</v>
      </c>
      <c r="O798" s="540"/>
    </row>
    <row r="799" spans="3:15">
      <c r="C799" s="536"/>
      <c r="D799" s="536"/>
      <c r="E799" s="536"/>
      <c r="F799" s="536"/>
      <c r="G799" s="536"/>
      <c r="H799" s="536"/>
      <c r="I799" s="536"/>
      <c r="J799" s="536"/>
      <c r="K799" s="536"/>
      <c r="L799" s="536"/>
      <c r="M799" s="536"/>
      <c r="N799" s="536"/>
      <c r="O799" s="536"/>
    </row>
    <row r="800" spans="3:15" ht="25.15" customHeight="1">
      <c r="C800" s="537" t="s">
        <v>251</v>
      </c>
      <c r="D800" s="538"/>
      <c r="E800" s="284">
        <f>'BD Team'!B81</f>
        <v>0</v>
      </c>
      <c r="F800" s="283" t="s">
        <v>252</v>
      </c>
      <c r="G800" s="539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7" t="s">
        <v>126</v>
      </c>
      <c r="M801" s="538"/>
      <c r="N801" s="542">
        <f>'BD Team'!G81</f>
        <v>0</v>
      </c>
      <c r="O801" s="543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7" t="s">
        <v>244</v>
      </c>
      <c r="M802" s="538"/>
      <c r="N802" s="540" t="str">
        <f>$F$6</f>
        <v>Anodized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7" t="s">
        <v>175</v>
      </c>
      <c r="M803" s="538"/>
      <c r="N803" s="540" t="str">
        <f>$K$6</f>
        <v>Silver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7" t="s">
        <v>245</v>
      </c>
      <c r="M804" s="538"/>
      <c r="N804" s="543" t="s">
        <v>253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7" t="s">
        <v>246</v>
      </c>
      <c r="M805" s="538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7" t="s">
        <v>247</v>
      </c>
      <c r="M806" s="538"/>
      <c r="N806" s="539">
        <f>'BD Team'!J81</f>
        <v>0</v>
      </c>
      <c r="O806" s="539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7" t="s">
        <v>248</v>
      </c>
      <c r="M807" s="538"/>
      <c r="N807" s="539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7" t="s">
        <v>249</v>
      </c>
      <c r="M808" s="538"/>
      <c r="N808" s="539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7" t="s">
        <v>250</v>
      </c>
      <c r="M809" s="538"/>
      <c r="N809" s="539">
        <f>'BD Team'!F81</f>
        <v>0</v>
      </c>
      <c r="O809" s="540"/>
    </row>
    <row r="810" spans="3:15">
      <c r="C810" s="536"/>
      <c r="D810" s="536"/>
      <c r="E810" s="536"/>
      <c r="F810" s="536"/>
      <c r="G810" s="536"/>
      <c r="H810" s="536"/>
      <c r="I810" s="536"/>
      <c r="J810" s="536"/>
      <c r="K810" s="536"/>
      <c r="L810" s="536"/>
      <c r="M810" s="536"/>
      <c r="N810" s="536"/>
      <c r="O810" s="536"/>
    </row>
    <row r="811" spans="3:15" ht="25.15" customHeight="1">
      <c r="C811" s="537" t="s">
        <v>251</v>
      </c>
      <c r="D811" s="538"/>
      <c r="E811" s="284">
        <f>'BD Team'!B82</f>
        <v>0</v>
      </c>
      <c r="F811" s="283" t="s">
        <v>252</v>
      </c>
      <c r="G811" s="539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7" t="s">
        <v>126</v>
      </c>
      <c r="M812" s="538"/>
      <c r="N812" s="542">
        <f>'BD Team'!G82</f>
        <v>0</v>
      </c>
      <c r="O812" s="543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7" t="s">
        <v>244</v>
      </c>
      <c r="M813" s="538"/>
      <c r="N813" s="540" t="str">
        <f>$F$6</f>
        <v>Anodized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7" t="s">
        <v>175</v>
      </c>
      <c r="M814" s="538"/>
      <c r="N814" s="540" t="str">
        <f>$K$6</f>
        <v>Silver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7" t="s">
        <v>245</v>
      </c>
      <c r="M815" s="538"/>
      <c r="N815" s="543" t="s">
        <v>253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7" t="s">
        <v>246</v>
      </c>
      <c r="M816" s="538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7" t="s">
        <v>247</v>
      </c>
      <c r="M817" s="538"/>
      <c r="N817" s="539">
        <f>'BD Team'!J82</f>
        <v>0</v>
      </c>
      <c r="O817" s="539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7" t="s">
        <v>248</v>
      </c>
      <c r="M818" s="538"/>
      <c r="N818" s="539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7" t="s">
        <v>249</v>
      </c>
      <c r="M819" s="538"/>
      <c r="N819" s="539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7" t="s">
        <v>250</v>
      </c>
      <c r="M820" s="538"/>
      <c r="N820" s="539">
        <f>'BD Team'!F82</f>
        <v>0</v>
      </c>
      <c r="O820" s="540"/>
    </row>
    <row r="821" spans="3:15">
      <c r="C821" s="536"/>
      <c r="D821" s="536"/>
      <c r="E821" s="536"/>
      <c r="F821" s="536"/>
      <c r="G821" s="536"/>
      <c r="H821" s="536"/>
      <c r="I821" s="536"/>
      <c r="J821" s="536"/>
      <c r="K821" s="536"/>
      <c r="L821" s="536"/>
      <c r="M821" s="536"/>
      <c r="N821" s="536"/>
      <c r="O821" s="536"/>
    </row>
    <row r="822" spans="3:15" ht="25.15" customHeight="1">
      <c r="C822" s="537" t="s">
        <v>251</v>
      </c>
      <c r="D822" s="538"/>
      <c r="E822" s="284">
        <f>'BD Team'!B83</f>
        <v>0</v>
      </c>
      <c r="F822" s="283" t="s">
        <v>252</v>
      </c>
      <c r="G822" s="539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7" t="s">
        <v>126</v>
      </c>
      <c r="M823" s="538"/>
      <c r="N823" s="542">
        <f>'BD Team'!G83</f>
        <v>0</v>
      </c>
      <c r="O823" s="543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7" t="s">
        <v>244</v>
      </c>
      <c r="M824" s="538"/>
      <c r="N824" s="540" t="str">
        <f>$F$6</f>
        <v>Anodized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7" t="s">
        <v>175</v>
      </c>
      <c r="M825" s="538"/>
      <c r="N825" s="540" t="str">
        <f>$K$6</f>
        <v>Silver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7" t="s">
        <v>245</v>
      </c>
      <c r="M826" s="538"/>
      <c r="N826" s="543" t="s">
        <v>253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7" t="s">
        <v>246</v>
      </c>
      <c r="M827" s="538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7" t="s">
        <v>247</v>
      </c>
      <c r="M828" s="538"/>
      <c r="N828" s="539">
        <f>'BD Team'!J83</f>
        <v>0</v>
      </c>
      <c r="O828" s="539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7" t="s">
        <v>248</v>
      </c>
      <c r="M829" s="538"/>
      <c r="N829" s="539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7" t="s">
        <v>249</v>
      </c>
      <c r="M830" s="538"/>
      <c r="N830" s="539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7" t="s">
        <v>250</v>
      </c>
      <c r="M831" s="538"/>
      <c r="N831" s="539">
        <f>'BD Team'!F83</f>
        <v>0</v>
      </c>
      <c r="O831" s="540"/>
    </row>
    <row r="832" spans="3:15">
      <c r="C832" s="536"/>
      <c r="D832" s="536"/>
      <c r="E832" s="536"/>
      <c r="F832" s="536"/>
      <c r="G832" s="536"/>
      <c r="H832" s="536"/>
      <c r="I832" s="536"/>
      <c r="J832" s="536"/>
      <c r="K832" s="536"/>
      <c r="L832" s="536"/>
      <c r="M832" s="536"/>
      <c r="N832" s="536"/>
      <c r="O832" s="536"/>
    </row>
    <row r="833" spans="3:15" ht="25.15" customHeight="1">
      <c r="C833" s="537" t="s">
        <v>251</v>
      </c>
      <c r="D833" s="538"/>
      <c r="E833" s="284">
        <f>'BD Team'!B84</f>
        <v>0</v>
      </c>
      <c r="F833" s="283" t="s">
        <v>252</v>
      </c>
      <c r="G833" s="539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7" t="s">
        <v>126</v>
      </c>
      <c r="M834" s="538"/>
      <c r="N834" s="542">
        <f>'BD Team'!G84</f>
        <v>0</v>
      </c>
      <c r="O834" s="543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7" t="s">
        <v>244</v>
      </c>
      <c r="M835" s="538"/>
      <c r="N835" s="540" t="str">
        <f>$F$6</f>
        <v>Anodized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7" t="s">
        <v>175</v>
      </c>
      <c r="M836" s="538"/>
      <c r="N836" s="540" t="str">
        <f>$K$6</f>
        <v>Silver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7" t="s">
        <v>245</v>
      </c>
      <c r="M837" s="538"/>
      <c r="N837" s="543" t="s">
        <v>253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7" t="s">
        <v>246</v>
      </c>
      <c r="M838" s="538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7" t="s">
        <v>247</v>
      </c>
      <c r="M839" s="538"/>
      <c r="N839" s="539">
        <f>'BD Team'!J84</f>
        <v>0</v>
      </c>
      <c r="O839" s="539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7" t="s">
        <v>248</v>
      </c>
      <c r="M840" s="538"/>
      <c r="N840" s="539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7" t="s">
        <v>249</v>
      </c>
      <c r="M841" s="538"/>
      <c r="N841" s="539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7" t="s">
        <v>250</v>
      </c>
      <c r="M842" s="538"/>
      <c r="N842" s="539">
        <f>'BD Team'!F84</f>
        <v>0</v>
      </c>
      <c r="O842" s="540"/>
    </row>
    <row r="843" spans="3:15"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</row>
    <row r="844" spans="3:15" ht="25.15" customHeight="1">
      <c r="C844" s="537" t="s">
        <v>251</v>
      </c>
      <c r="D844" s="538"/>
      <c r="E844" s="284">
        <f>'BD Team'!B85</f>
        <v>0</v>
      </c>
      <c r="F844" s="283" t="s">
        <v>252</v>
      </c>
      <c r="G844" s="539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7" t="s">
        <v>126</v>
      </c>
      <c r="M845" s="538"/>
      <c r="N845" s="542">
        <f>'BD Team'!G85</f>
        <v>0</v>
      </c>
      <c r="O845" s="543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7" t="s">
        <v>244</v>
      </c>
      <c r="M846" s="538"/>
      <c r="N846" s="540" t="str">
        <f>$F$6</f>
        <v>Anodized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7" t="s">
        <v>175</v>
      </c>
      <c r="M847" s="538"/>
      <c r="N847" s="540" t="str">
        <f>$K$6</f>
        <v>Silver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7" t="s">
        <v>245</v>
      </c>
      <c r="M848" s="538"/>
      <c r="N848" s="543" t="s">
        <v>253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7" t="s">
        <v>246</v>
      </c>
      <c r="M849" s="538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7" t="s">
        <v>247</v>
      </c>
      <c r="M850" s="538"/>
      <c r="N850" s="539">
        <f>'BD Team'!J85</f>
        <v>0</v>
      </c>
      <c r="O850" s="539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7" t="s">
        <v>248</v>
      </c>
      <c r="M851" s="538"/>
      <c r="N851" s="539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7" t="s">
        <v>249</v>
      </c>
      <c r="M852" s="538"/>
      <c r="N852" s="539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7" t="s">
        <v>250</v>
      </c>
      <c r="M853" s="538"/>
      <c r="N853" s="539">
        <f>'BD Team'!F85</f>
        <v>0</v>
      </c>
      <c r="O853" s="540"/>
    </row>
    <row r="854" spans="3:15">
      <c r="C854" s="536"/>
      <c r="D854" s="536"/>
      <c r="E854" s="536"/>
      <c r="F854" s="536"/>
      <c r="G854" s="536"/>
      <c r="H854" s="536"/>
      <c r="I854" s="536"/>
      <c r="J854" s="536"/>
      <c r="K854" s="536"/>
      <c r="L854" s="536"/>
      <c r="M854" s="536"/>
      <c r="N854" s="536"/>
      <c r="O854" s="536"/>
    </row>
    <row r="855" spans="3:15" ht="25.15" customHeight="1">
      <c r="C855" s="537" t="s">
        <v>251</v>
      </c>
      <c r="D855" s="538"/>
      <c r="E855" s="284">
        <f>'BD Team'!B86</f>
        <v>0</v>
      </c>
      <c r="F855" s="283" t="s">
        <v>252</v>
      </c>
      <c r="G855" s="539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7" t="s">
        <v>126</v>
      </c>
      <c r="M856" s="538"/>
      <c r="N856" s="542">
        <f>'BD Team'!G86</f>
        <v>0</v>
      </c>
      <c r="O856" s="543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7" t="s">
        <v>244</v>
      </c>
      <c r="M857" s="538"/>
      <c r="N857" s="540" t="str">
        <f>$F$6</f>
        <v>Anodized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7" t="s">
        <v>175</v>
      </c>
      <c r="M858" s="538"/>
      <c r="N858" s="540" t="str">
        <f>$K$6</f>
        <v>Silver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7" t="s">
        <v>245</v>
      </c>
      <c r="M859" s="538"/>
      <c r="N859" s="543" t="s">
        <v>253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7" t="s">
        <v>246</v>
      </c>
      <c r="M860" s="538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7" t="s">
        <v>247</v>
      </c>
      <c r="M861" s="538"/>
      <c r="N861" s="539">
        <f>'BD Team'!J86</f>
        <v>0</v>
      </c>
      <c r="O861" s="539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7" t="s">
        <v>248</v>
      </c>
      <c r="M862" s="538"/>
      <c r="N862" s="539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7" t="s">
        <v>249</v>
      </c>
      <c r="M863" s="538"/>
      <c r="N863" s="539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7" t="s">
        <v>250</v>
      </c>
      <c r="M864" s="538"/>
      <c r="N864" s="539">
        <f>'BD Team'!F86</f>
        <v>0</v>
      </c>
      <c r="O864" s="540"/>
    </row>
    <row r="865" spans="3:15"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</row>
    <row r="866" spans="3:15" ht="25.15" customHeight="1">
      <c r="C866" s="537" t="s">
        <v>251</v>
      </c>
      <c r="D866" s="538"/>
      <c r="E866" s="284">
        <f>'BD Team'!B87</f>
        <v>0</v>
      </c>
      <c r="F866" s="283" t="s">
        <v>252</v>
      </c>
      <c r="G866" s="539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7" t="s">
        <v>126</v>
      </c>
      <c r="M867" s="538"/>
      <c r="N867" s="542">
        <f>'BD Team'!G87</f>
        <v>0</v>
      </c>
      <c r="O867" s="543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7" t="s">
        <v>244</v>
      </c>
      <c r="M868" s="538"/>
      <c r="N868" s="540" t="str">
        <f>$F$6</f>
        <v>Anodized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7" t="s">
        <v>175</v>
      </c>
      <c r="M869" s="538"/>
      <c r="N869" s="540" t="str">
        <f>$K$6</f>
        <v>Silver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7" t="s">
        <v>245</v>
      </c>
      <c r="M870" s="538"/>
      <c r="N870" s="543" t="s">
        <v>253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7" t="s">
        <v>246</v>
      </c>
      <c r="M871" s="538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7" t="s">
        <v>247</v>
      </c>
      <c r="M872" s="538"/>
      <c r="N872" s="539">
        <f>'BD Team'!J87</f>
        <v>0</v>
      </c>
      <c r="O872" s="539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7" t="s">
        <v>248</v>
      </c>
      <c r="M873" s="538"/>
      <c r="N873" s="539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7" t="s">
        <v>249</v>
      </c>
      <c r="M874" s="538"/>
      <c r="N874" s="539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7" t="s">
        <v>250</v>
      </c>
      <c r="M875" s="538"/>
      <c r="N875" s="539">
        <f>'BD Team'!F87</f>
        <v>0</v>
      </c>
      <c r="O875" s="540"/>
    </row>
    <row r="876" spans="3:15">
      <c r="C876" s="536"/>
      <c r="D876" s="536"/>
      <c r="E876" s="536"/>
      <c r="F876" s="536"/>
      <c r="G876" s="536"/>
      <c r="H876" s="536"/>
      <c r="I876" s="536"/>
      <c r="J876" s="536"/>
      <c r="K876" s="536"/>
      <c r="L876" s="536"/>
      <c r="M876" s="536"/>
      <c r="N876" s="536"/>
      <c r="O876" s="536"/>
    </row>
    <row r="877" spans="3:15" ht="25.15" customHeight="1">
      <c r="C877" s="537" t="s">
        <v>251</v>
      </c>
      <c r="D877" s="538"/>
      <c r="E877" s="284">
        <f>'BD Team'!B88</f>
        <v>0</v>
      </c>
      <c r="F877" s="283" t="s">
        <v>252</v>
      </c>
      <c r="G877" s="539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7" t="s">
        <v>126</v>
      </c>
      <c r="M878" s="538"/>
      <c r="N878" s="542">
        <f>'BD Team'!G88</f>
        <v>0</v>
      </c>
      <c r="O878" s="543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7" t="s">
        <v>244</v>
      </c>
      <c r="M879" s="538"/>
      <c r="N879" s="540" t="str">
        <f>$F$6</f>
        <v>Anodized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7" t="s">
        <v>175</v>
      </c>
      <c r="M880" s="538"/>
      <c r="N880" s="540" t="str">
        <f>$K$6</f>
        <v>Silver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7" t="s">
        <v>245</v>
      </c>
      <c r="M881" s="538"/>
      <c r="N881" s="543" t="s">
        <v>253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7" t="s">
        <v>246</v>
      </c>
      <c r="M882" s="538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7" t="s">
        <v>247</v>
      </c>
      <c r="M883" s="538"/>
      <c r="N883" s="539">
        <f>'BD Team'!J88</f>
        <v>0</v>
      </c>
      <c r="O883" s="539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7" t="s">
        <v>248</v>
      </c>
      <c r="M884" s="538"/>
      <c r="N884" s="539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7" t="s">
        <v>249</v>
      </c>
      <c r="M885" s="538"/>
      <c r="N885" s="539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7" t="s">
        <v>250</v>
      </c>
      <c r="M886" s="538"/>
      <c r="N886" s="539">
        <f>'BD Team'!F88</f>
        <v>0</v>
      </c>
      <c r="O886" s="540"/>
    </row>
    <row r="887" spans="3:15">
      <c r="C887" s="536"/>
      <c r="D887" s="536"/>
      <c r="E887" s="536"/>
      <c r="F887" s="536"/>
      <c r="G887" s="536"/>
      <c r="H887" s="536"/>
      <c r="I887" s="536"/>
      <c r="J887" s="536"/>
      <c r="K887" s="536"/>
      <c r="L887" s="536"/>
      <c r="M887" s="536"/>
      <c r="N887" s="536"/>
      <c r="O887" s="536"/>
    </row>
    <row r="888" spans="3:15" ht="25.15" customHeight="1">
      <c r="C888" s="537" t="s">
        <v>251</v>
      </c>
      <c r="D888" s="538"/>
      <c r="E888" s="284">
        <f>'BD Team'!B89</f>
        <v>0</v>
      </c>
      <c r="F888" s="283" t="s">
        <v>252</v>
      </c>
      <c r="G888" s="539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7" t="s">
        <v>126</v>
      </c>
      <c r="M889" s="538"/>
      <c r="N889" s="542">
        <f>'BD Team'!G89</f>
        <v>0</v>
      </c>
      <c r="O889" s="543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7" t="s">
        <v>244</v>
      </c>
      <c r="M890" s="538"/>
      <c r="N890" s="540" t="str">
        <f>$F$6</f>
        <v>Anodized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7" t="s">
        <v>175</v>
      </c>
      <c r="M891" s="538"/>
      <c r="N891" s="540" t="str">
        <f>$K$6</f>
        <v>Silver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7" t="s">
        <v>245</v>
      </c>
      <c r="M892" s="538"/>
      <c r="N892" s="543" t="s">
        <v>253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7" t="s">
        <v>246</v>
      </c>
      <c r="M893" s="538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7" t="s">
        <v>247</v>
      </c>
      <c r="M894" s="538"/>
      <c r="N894" s="539">
        <f>'BD Team'!J89</f>
        <v>0</v>
      </c>
      <c r="O894" s="539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7" t="s">
        <v>248</v>
      </c>
      <c r="M895" s="538"/>
      <c r="N895" s="539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7" t="s">
        <v>249</v>
      </c>
      <c r="M896" s="538"/>
      <c r="N896" s="539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7" t="s">
        <v>250</v>
      </c>
      <c r="M897" s="538"/>
      <c r="N897" s="539">
        <f>'BD Team'!F89</f>
        <v>0</v>
      </c>
      <c r="O897" s="540"/>
    </row>
    <row r="898" spans="3:15">
      <c r="C898" s="536"/>
      <c r="D898" s="536"/>
      <c r="E898" s="536"/>
      <c r="F898" s="536"/>
      <c r="G898" s="536"/>
      <c r="H898" s="536"/>
      <c r="I898" s="536"/>
      <c r="J898" s="536"/>
      <c r="K898" s="536"/>
      <c r="L898" s="536"/>
      <c r="M898" s="536"/>
      <c r="N898" s="536"/>
      <c r="O898" s="536"/>
    </row>
    <row r="899" spans="3:15" ht="25.15" customHeight="1">
      <c r="C899" s="537" t="s">
        <v>251</v>
      </c>
      <c r="D899" s="538"/>
      <c r="E899" s="284">
        <f>'BD Team'!B90</f>
        <v>0</v>
      </c>
      <c r="F899" s="283" t="s">
        <v>252</v>
      </c>
      <c r="G899" s="539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7" t="s">
        <v>126</v>
      </c>
      <c r="M900" s="538"/>
      <c r="N900" s="542">
        <f>'BD Team'!G90</f>
        <v>0</v>
      </c>
      <c r="O900" s="543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7" t="s">
        <v>244</v>
      </c>
      <c r="M901" s="538"/>
      <c r="N901" s="540" t="str">
        <f>$F$6</f>
        <v>Anodized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7" t="s">
        <v>175</v>
      </c>
      <c r="M902" s="538"/>
      <c r="N902" s="540" t="str">
        <f>$K$6</f>
        <v>Silver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7" t="s">
        <v>245</v>
      </c>
      <c r="M903" s="538"/>
      <c r="N903" s="543" t="s">
        <v>253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7" t="s">
        <v>246</v>
      </c>
      <c r="M904" s="538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7" t="s">
        <v>247</v>
      </c>
      <c r="M905" s="538"/>
      <c r="N905" s="539">
        <f>'BD Team'!J90</f>
        <v>0</v>
      </c>
      <c r="O905" s="539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7" t="s">
        <v>248</v>
      </c>
      <c r="M906" s="538"/>
      <c r="N906" s="539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7" t="s">
        <v>249</v>
      </c>
      <c r="M907" s="538"/>
      <c r="N907" s="539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7" t="s">
        <v>250</v>
      </c>
      <c r="M908" s="538"/>
      <c r="N908" s="539">
        <f>'BD Team'!F90</f>
        <v>0</v>
      </c>
      <c r="O908" s="540"/>
    </row>
    <row r="909" spans="3:15">
      <c r="C909" s="536"/>
      <c r="D909" s="536"/>
      <c r="E909" s="536"/>
      <c r="F909" s="536"/>
      <c r="G909" s="536"/>
      <c r="H909" s="536"/>
      <c r="I909" s="536"/>
      <c r="J909" s="536"/>
      <c r="K909" s="536"/>
      <c r="L909" s="536"/>
      <c r="M909" s="536"/>
      <c r="N909" s="536"/>
      <c r="O909" s="536"/>
    </row>
    <row r="910" spans="3:15" ht="25.15" customHeight="1">
      <c r="C910" s="537" t="s">
        <v>251</v>
      </c>
      <c r="D910" s="538"/>
      <c r="E910" s="284">
        <f>'BD Team'!B91</f>
        <v>0</v>
      </c>
      <c r="F910" s="283" t="s">
        <v>252</v>
      </c>
      <c r="G910" s="539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7" t="s">
        <v>126</v>
      </c>
      <c r="M911" s="538"/>
      <c r="N911" s="542">
        <f>'BD Team'!G91</f>
        <v>0</v>
      </c>
      <c r="O911" s="543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7" t="s">
        <v>244</v>
      </c>
      <c r="M912" s="538"/>
      <c r="N912" s="540" t="str">
        <f>$F$6</f>
        <v>Anodized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7" t="s">
        <v>175</v>
      </c>
      <c r="M913" s="538"/>
      <c r="N913" s="540" t="str">
        <f>$K$6</f>
        <v>Silver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7" t="s">
        <v>245</v>
      </c>
      <c r="M914" s="538"/>
      <c r="N914" s="543" t="s">
        <v>253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7" t="s">
        <v>246</v>
      </c>
      <c r="M915" s="538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7" t="s">
        <v>247</v>
      </c>
      <c r="M916" s="538"/>
      <c r="N916" s="539">
        <f>'BD Team'!J91</f>
        <v>0</v>
      </c>
      <c r="O916" s="539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7" t="s">
        <v>248</v>
      </c>
      <c r="M917" s="538"/>
      <c r="N917" s="539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7" t="s">
        <v>249</v>
      </c>
      <c r="M918" s="538"/>
      <c r="N918" s="539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7" t="s">
        <v>250</v>
      </c>
      <c r="M919" s="538"/>
      <c r="N919" s="539">
        <f>'BD Team'!F91</f>
        <v>0</v>
      </c>
      <c r="O919" s="540"/>
    </row>
    <row r="920" spans="3:15">
      <c r="C920" s="536"/>
      <c r="D920" s="536"/>
      <c r="E920" s="536"/>
      <c r="F920" s="536"/>
      <c r="G920" s="536"/>
      <c r="H920" s="536"/>
      <c r="I920" s="536"/>
      <c r="J920" s="536"/>
      <c r="K920" s="536"/>
      <c r="L920" s="536"/>
      <c r="M920" s="536"/>
      <c r="N920" s="536"/>
      <c r="O920" s="536"/>
    </row>
    <row r="921" spans="3:15" ht="25.15" customHeight="1">
      <c r="C921" s="537" t="s">
        <v>251</v>
      </c>
      <c r="D921" s="538"/>
      <c r="E921" s="284">
        <f>'BD Team'!B92</f>
        <v>0</v>
      </c>
      <c r="F921" s="283" t="s">
        <v>252</v>
      </c>
      <c r="G921" s="539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7" t="s">
        <v>126</v>
      </c>
      <c r="M922" s="538"/>
      <c r="N922" s="542">
        <f>'BD Team'!G92</f>
        <v>0</v>
      </c>
      <c r="O922" s="543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7" t="s">
        <v>244</v>
      </c>
      <c r="M923" s="538"/>
      <c r="N923" s="540" t="str">
        <f>$F$6</f>
        <v>Anodized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7" t="s">
        <v>175</v>
      </c>
      <c r="M924" s="538"/>
      <c r="N924" s="540" t="str">
        <f>$K$6</f>
        <v>Silver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7" t="s">
        <v>245</v>
      </c>
      <c r="M925" s="538"/>
      <c r="N925" s="543" t="s">
        <v>253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7" t="s">
        <v>246</v>
      </c>
      <c r="M926" s="538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7" t="s">
        <v>247</v>
      </c>
      <c r="M927" s="538"/>
      <c r="N927" s="539">
        <f>'BD Team'!J92</f>
        <v>0</v>
      </c>
      <c r="O927" s="539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7" t="s">
        <v>248</v>
      </c>
      <c r="M928" s="538"/>
      <c r="N928" s="539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7" t="s">
        <v>249</v>
      </c>
      <c r="M929" s="538"/>
      <c r="N929" s="539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7" t="s">
        <v>250</v>
      </c>
      <c r="M930" s="538"/>
      <c r="N930" s="539">
        <f>'BD Team'!F92</f>
        <v>0</v>
      </c>
      <c r="O930" s="540"/>
    </row>
    <row r="931" spans="3:15">
      <c r="C931" s="536"/>
      <c r="D931" s="536"/>
      <c r="E931" s="536"/>
      <c r="F931" s="536"/>
      <c r="G931" s="536"/>
      <c r="H931" s="536"/>
      <c r="I931" s="536"/>
      <c r="J931" s="536"/>
      <c r="K931" s="536"/>
      <c r="L931" s="536"/>
      <c r="M931" s="536"/>
      <c r="N931" s="536"/>
      <c r="O931" s="536"/>
    </row>
    <row r="932" spans="3:15" ht="25.15" customHeight="1">
      <c r="C932" s="537" t="s">
        <v>251</v>
      </c>
      <c r="D932" s="538"/>
      <c r="E932" s="284">
        <f>'BD Team'!B93</f>
        <v>0</v>
      </c>
      <c r="F932" s="283" t="s">
        <v>252</v>
      </c>
      <c r="G932" s="539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7" t="s">
        <v>126</v>
      </c>
      <c r="M933" s="538"/>
      <c r="N933" s="542">
        <f>'BD Team'!G93</f>
        <v>0</v>
      </c>
      <c r="O933" s="543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7" t="s">
        <v>244</v>
      </c>
      <c r="M934" s="538"/>
      <c r="N934" s="540" t="str">
        <f>$F$6</f>
        <v>Anodized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7" t="s">
        <v>175</v>
      </c>
      <c r="M935" s="538"/>
      <c r="N935" s="540" t="str">
        <f>$K$6</f>
        <v>Silver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7" t="s">
        <v>245</v>
      </c>
      <c r="M936" s="538"/>
      <c r="N936" s="543" t="s">
        <v>253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7" t="s">
        <v>246</v>
      </c>
      <c r="M937" s="538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7" t="s">
        <v>247</v>
      </c>
      <c r="M938" s="538"/>
      <c r="N938" s="539">
        <f>'BD Team'!J93</f>
        <v>0</v>
      </c>
      <c r="O938" s="539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7" t="s">
        <v>248</v>
      </c>
      <c r="M939" s="538"/>
      <c r="N939" s="539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7" t="s">
        <v>249</v>
      </c>
      <c r="M940" s="538"/>
      <c r="N940" s="539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7" t="s">
        <v>250</v>
      </c>
      <c r="M941" s="538"/>
      <c r="N941" s="539">
        <f>'BD Team'!F93</f>
        <v>0</v>
      </c>
      <c r="O941" s="540"/>
    </row>
    <row r="942" spans="3:15">
      <c r="C942" s="536"/>
      <c r="D942" s="536"/>
      <c r="E942" s="536"/>
      <c r="F942" s="536"/>
      <c r="G942" s="536"/>
      <c r="H942" s="536"/>
      <c r="I942" s="536"/>
      <c r="J942" s="536"/>
      <c r="K942" s="536"/>
      <c r="L942" s="536"/>
      <c r="M942" s="536"/>
      <c r="N942" s="536"/>
      <c r="O942" s="536"/>
    </row>
    <row r="943" spans="3:15" ht="25.15" customHeight="1">
      <c r="C943" s="537" t="s">
        <v>251</v>
      </c>
      <c r="D943" s="538"/>
      <c r="E943" s="284">
        <f>'BD Team'!B94</f>
        <v>0</v>
      </c>
      <c r="F943" s="283" t="s">
        <v>252</v>
      </c>
      <c r="G943" s="539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7" t="s">
        <v>126</v>
      </c>
      <c r="M944" s="538"/>
      <c r="N944" s="542">
        <f>'BD Team'!G94</f>
        <v>0</v>
      </c>
      <c r="O944" s="543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7" t="s">
        <v>244</v>
      </c>
      <c r="M945" s="538"/>
      <c r="N945" s="540" t="str">
        <f>$F$6</f>
        <v>Anodized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7" t="s">
        <v>175</v>
      </c>
      <c r="M946" s="538"/>
      <c r="N946" s="540" t="str">
        <f>$K$6</f>
        <v>Silver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7" t="s">
        <v>245</v>
      </c>
      <c r="M947" s="538"/>
      <c r="N947" s="543" t="s">
        <v>253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7" t="s">
        <v>246</v>
      </c>
      <c r="M948" s="538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7" t="s">
        <v>247</v>
      </c>
      <c r="M949" s="538"/>
      <c r="N949" s="539">
        <f>'BD Team'!J94</f>
        <v>0</v>
      </c>
      <c r="O949" s="539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7" t="s">
        <v>248</v>
      </c>
      <c r="M950" s="538"/>
      <c r="N950" s="539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7" t="s">
        <v>249</v>
      </c>
      <c r="M951" s="538"/>
      <c r="N951" s="539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7" t="s">
        <v>250</v>
      </c>
      <c r="M952" s="538"/>
      <c r="N952" s="539">
        <f>'BD Team'!F94</f>
        <v>0</v>
      </c>
      <c r="O952" s="540"/>
    </row>
    <row r="953" spans="3:15">
      <c r="C953" s="536"/>
      <c r="D953" s="536"/>
      <c r="E953" s="536"/>
      <c r="F953" s="536"/>
      <c r="G953" s="536"/>
      <c r="H953" s="536"/>
      <c r="I953" s="536"/>
      <c r="J953" s="536"/>
      <c r="K953" s="536"/>
      <c r="L953" s="536"/>
      <c r="M953" s="536"/>
      <c r="N953" s="536"/>
      <c r="O953" s="536"/>
    </row>
    <row r="954" spans="3:15" ht="25.15" customHeight="1">
      <c r="C954" s="537" t="s">
        <v>251</v>
      </c>
      <c r="D954" s="538"/>
      <c r="E954" s="284">
        <f>'BD Team'!B95</f>
        <v>0</v>
      </c>
      <c r="F954" s="283" t="s">
        <v>252</v>
      </c>
      <c r="G954" s="539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7" t="s">
        <v>126</v>
      </c>
      <c r="M955" s="538"/>
      <c r="N955" s="542">
        <f>'BD Team'!G95</f>
        <v>0</v>
      </c>
      <c r="O955" s="543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7" t="s">
        <v>244</v>
      </c>
      <c r="M956" s="538"/>
      <c r="N956" s="540" t="str">
        <f>$F$6</f>
        <v>Anodized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7" t="s">
        <v>175</v>
      </c>
      <c r="M957" s="538"/>
      <c r="N957" s="540" t="str">
        <f>$K$6</f>
        <v>Silver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7" t="s">
        <v>245</v>
      </c>
      <c r="M958" s="538"/>
      <c r="N958" s="543" t="s">
        <v>253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7" t="s">
        <v>246</v>
      </c>
      <c r="M959" s="538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7" t="s">
        <v>247</v>
      </c>
      <c r="M960" s="538"/>
      <c r="N960" s="539">
        <f>'BD Team'!J95</f>
        <v>0</v>
      </c>
      <c r="O960" s="539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7" t="s">
        <v>248</v>
      </c>
      <c r="M961" s="538"/>
      <c r="N961" s="539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7" t="s">
        <v>249</v>
      </c>
      <c r="M962" s="538"/>
      <c r="N962" s="539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7" t="s">
        <v>250</v>
      </c>
      <c r="M963" s="538"/>
      <c r="N963" s="539">
        <f>'BD Team'!F95</f>
        <v>0</v>
      </c>
      <c r="O963" s="540"/>
    </row>
    <row r="964" spans="3:15">
      <c r="C964" s="536"/>
      <c r="D964" s="536"/>
      <c r="E964" s="536"/>
      <c r="F964" s="536"/>
      <c r="G964" s="536"/>
      <c r="H964" s="536"/>
      <c r="I964" s="536"/>
      <c r="J964" s="536"/>
      <c r="K964" s="536"/>
      <c r="L964" s="536"/>
      <c r="M964" s="536"/>
      <c r="N964" s="536"/>
      <c r="O964" s="536"/>
    </row>
    <row r="965" spans="3:15" ht="25.15" customHeight="1">
      <c r="C965" s="537" t="s">
        <v>251</v>
      </c>
      <c r="D965" s="538"/>
      <c r="E965" s="284">
        <f>'BD Team'!B96</f>
        <v>0</v>
      </c>
      <c r="F965" s="283" t="s">
        <v>252</v>
      </c>
      <c r="G965" s="539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7" t="s">
        <v>126</v>
      </c>
      <c r="M966" s="538"/>
      <c r="N966" s="542">
        <f>'BD Team'!G96</f>
        <v>0</v>
      </c>
      <c r="O966" s="543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7" t="s">
        <v>244</v>
      </c>
      <c r="M967" s="538"/>
      <c r="N967" s="540" t="str">
        <f>$F$6</f>
        <v>Anodized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7" t="s">
        <v>175</v>
      </c>
      <c r="M968" s="538"/>
      <c r="N968" s="540" t="str">
        <f>$K$6</f>
        <v>Silver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7" t="s">
        <v>245</v>
      </c>
      <c r="M969" s="538"/>
      <c r="N969" s="543" t="s">
        <v>253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7" t="s">
        <v>246</v>
      </c>
      <c r="M970" s="538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7" t="s">
        <v>247</v>
      </c>
      <c r="M971" s="538"/>
      <c r="N971" s="539">
        <f>'BD Team'!J96</f>
        <v>0</v>
      </c>
      <c r="O971" s="539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7" t="s">
        <v>248</v>
      </c>
      <c r="M972" s="538"/>
      <c r="N972" s="539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7" t="s">
        <v>249</v>
      </c>
      <c r="M973" s="538"/>
      <c r="N973" s="539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7" t="s">
        <v>250</v>
      </c>
      <c r="M974" s="538"/>
      <c r="N974" s="539">
        <f>'BD Team'!F96</f>
        <v>0</v>
      </c>
      <c r="O974" s="540"/>
    </row>
    <row r="975" spans="3:15">
      <c r="C975" s="536"/>
      <c r="D975" s="536"/>
      <c r="E975" s="536"/>
      <c r="F975" s="536"/>
      <c r="G975" s="536"/>
      <c r="H975" s="536"/>
      <c r="I975" s="536"/>
      <c r="J975" s="536"/>
      <c r="K975" s="536"/>
      <c r="L975" s="536"/>
      <c r="M975" s="536"/>
      <c r="N975" s="536"/>
      <c r="O975" s="536"/>
    </row>
    <row r="976" spans="3:15" ht="25.15" customHeight="1">
      <c r="C976" s="537" t="s">
        <v>251</v>
      </c>
      <c r="D976" s="538"/>
      <c r="E976" s="284">
        <f>'BD Team'!B97</f>
        <v>0</v>
      </c>
      <c r="F976" s="283" t="s">
        <v>252</v>
      </c>
      <c r="G976" s="539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7" t="s">
        <v>126</v>
      </c>
      <c r="M977" s="538"/>
      <c r="N977" s="542">
        <f>'BD Team'!G97</f>
        <v>0</v>
      </c>
      <c r="O977" s="543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7" t="s">
        <v>244</v>
      </c>
      <c r="M978" s="538"/>
      <c r="N978" s="540" t="str">
        <f>$F$6</f>
        <v>Anodized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7" t="s">
        <v>175</v>
      </c>
      <c r="M979" s="538"/>
      <c r="N979" s="540" t="str">
        <f>$K$6</f>
        <v>Silver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7" t="s">
        <v>245</v>
      </c>
      <c r="M980" s="538"/>
      <c r="N980" s="543" t="s">
        <v>253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7" t="s">
        <v>246</v>
      </c>
      <c r="M981" s="538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7" t="s">
        <v>247</v>
      </c>
      <c r="M982" s="538"/>
      <c r="N982" s="539">
        <f>'BD Team'!J97</f>
        <v>0</v>
      </c>
      <c r="O982" s="539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7" t="s">
        <v>248</v>
      </c>
      <c r="M983" s="538"/>
      <c r="N983" s="539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7" t="s">
        <v>249</v>
      </c>
      <c r="M984" s="538"/>
      <c r="N984" s="539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7" t="s">
        <v>250</v>
      </c>
      <c r="M985" s="538"/>
      <c r="N985" s="539">
        <f>'BD Team'!F97</f>
        <v>0</v>
      </c>
      <c r="O985" s="540"/>
    </row>
    <row r="986" spans="3:15">
      <c r="C986" s="536"/>
      <c r="D986" s="536"/>
      <c r="E986" s="536"/>
      <c r="F986" s="536"/>
      <c r="G986" s="536"/>
      <c r="H986" s="536"/>
      <c r="I986" s="536"/>
      <c r="J986" s="536"/>
      <c r="K986" s="536"/>
      <c r="L986" s="536"/>
      <c r="M986" s="536"/>
      <c r="N986" s="536"/>
      <c r="O986" s="536"/>
    </row>
    <row r="987" spans="3:15" ht="25.15" customHeight="1">
      <c r="C987" s="537" t="s">
        <v>251</v>
      </c>
      <c r="D987" s="538"/>
      <c r="E987" s="284">
        <f>'BD Team'!B98</f>
        <v>0</v>
      </c>
      <c r="F987" s="283" t="s">
        <v>252</v>
      </c>
      <c r="G987" s="539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7" t="s">
        <v>126</v>
      </c>
      <c r="M988" s="538"/>
      <c r="N988" s="542">
        <f>'BD Team'!G98</f>
        <v>0</v>
      </c>
      <c r="O988" s="543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7" t="s">
        <v>244</v>
      </c>
      <c r="M989" s="538"/>
      <c r="N989" s="540" t="str">
        <f>$F$6</f>
        <v>Anodized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7" t="s">
        <v>175</v>
      </c>
      <c r="M990" s="538"/>
      <c r="N990" s="540" t="str">
        <f>$K$6</f>
        <v>Silver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7" t="s">
        <v>245</v>
      </c>
      <c r="M991" s="538"/>
      <c r="N991" s="543" t="s">
        <v>253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7" t="s">
        <v>246</v>
      </c>
      <c r="M992" s="538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7" t="s">
        <v>247</v>
      </c>
      <c r="M993" s="538"/>
      <c r="N993" s="539">
        <f>'BD Team'!J98</f>
        <v>0</v>
      </c>
      <c r="O993" s="539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7" t="s">
        <v>248</v>
      </c>
      <c r="M994" s="538"/>
      <c r="N994" s="539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7" t="s">
        <v>249</v>
      </c>
      <c r="M995" s="538"/>
      <c r="N995" s="539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7" t="s">
        <v>250</v>
      </c>
      <c r="M996" s="538"/>
      <c r="N996" s="539">
        <f>'BD Team'!F98</f>
        <v>0</v>
      </c>
      <c r="O996" s="540"/>
    </row>
    <row r="997" spans="3:15">
      <c r="C997" s="536"/>
      <c r="D997" s="536"/>
      <c r="E997" s="536"/>
      <c r="F997" s="536"/>
      <c r="G997" s="536"/>
      <c r="H997" s="536"/>
      <c r="I997" s="536"/>
      <c r="J997" s="536"/>
      <c r="K997" s="536"/>
      <c r="L997" s="536"/>
      <c r="M997" s="536"/>
      <c r="N997" s="536"/>
      <c r="O997" s="536"/>
    </row>
    <row r="998" spans="3:15" ht="25.15" customHeight="1">
      <c r="C998" s="537" t="s">
        <v>251</v>
      </c>
      <c r="D998" s="538"/>
      <c r="E998" s="284">
        <f>'BD Team'!B99</f>
        <v>0</v>
      </c>
      <c r="F998" s="283" t="s">
        <v>252</v>
      </c>
      <c r="G998" s="539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7" t="s">
        <v>126</v>
      </c>
      <c r="M999" s="538"/>
      <c r="N999" s="542">
        <f>'BD Team'!G99</f>
        <v>0</v>
      </c>
      <c r="O999" s="543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7" t="s">
        <v>244</v>
      </c>
      <c r="M1000" s="538"/>
      <c r="N1000" s="540" t="str">
        <f>$F$6</f>
        <v>Anodized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7" t="s">
        <v>175</v>
      </c>
      <c r="M1001" s="538"/>
      <c r="N1001" s="540" t="str">
        <f>$K$6</f>
        <v>Silver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7" t="s">
        <v>245</v>
      </c>
      <c r="M1002" s="538"/>
      <c r="N1002" s="543" t="s">
        <v>253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7" t="s">
        <v>246</v>
      </c>
      <c r="M1003" s="538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7" t="s">
        <v>247</v>
      </c>
      <c r="M1004" s="538"/>
      <c r="N1004" s="539">
        <f>'BD Team'!J99</f>
        <v>0</v>
      </c>
      <c r="O1004" s="539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7" t="s">
        <v>248</v>
      </c>
      <c r="M1005" s="538"/>
      <c r="N1005" s="539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7" t="s">
        <v>249</v>
      </c>
      <c r="M1006" s="538"/>
      <c r="N1006" s="539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7" t="s">
        <v>250</v>
      </c>
      <c r="M1007" s="538"/>
      <c r="N1007" s="539">
        <f>'BD Team'!F99</f>
        <v>0</v>
      </c>
      <c r="O1007" s="540"/>
    </row>
    <row r="1008" spans="3:15">
      <c r="C1008" s="536"/>
      <c r="D1008" s="536"/>
      <c r="E1008" s="536"/>
      <c r="F1008" s="536"/>
      <c r="G1008" s="536"/>
      <c r="H1008" s="536"/>
      <c r="I1008" s="536"/>
      <c r="J1008" s="536"/>
      <c r="K1008" s="536"/>
      <c r="L1008" s="536"/>
      <c r="M1008" s="536"/>
      <c r="N1008" s="536"/>
      <c r="O1008" s="536"/>
    </row>
    <row r="1009" spans="3:15" ht="25.15" customHeight="1">
      <c r="C1009" s="537" t="s">
        <v>251</v>
      </c>
      <c r="D1009" s="538"/>
      <c r="E1009" s="284">
        <f>'BD Team'!B100</f>
        <v>0</v>
      </c>
      <c r="F1009" s="283" t="s">
        <v>252</v>
      </c>
      <c r="G1009" s="539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7" t="s">
        <v>126</v>
      </c>
      <c r="M1010" s="538"/>
      <c r="N1010" s="542">
        <f>'BD Team'!G100</f>
        <v>0</v>
      </c>
      <c r="O1010" s="543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7" t="s">
        <v>244</v>
      </c>
      <c r="M1011" s="538"/>
      <c r="N1011" s="540" t="str">
        <f>$F$6</f>
        <v>Anodized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7" t="s">
        <v>175</v>
      </c>
      <c r="M1012" s="538"/>
      <c r="N1012" s="540" t="str">
        <f>$K$6</f>
        <v>Silver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7" t="s">
        <v>245</v>
      </c>
      <c r="M1013" s="538"/>
      <c r="N1013" s="543" t="s">
        <v>253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7" t="s">
        <v>246</v>
      </c>
      <c r="M1014" s="538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7" t="s">
        <v>247</v>
      </c>
      <c r="M1015" s="538"/>
      <c r="N1015" s="539">
        <f>'BD Team'!J100</f>
        <v>0</v>
      </c>
      <c r="O1015" s="539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7" t="s">
        <v>248</v>
      </c>
      <c r="M1016" s="538"/>
      <c r="N1016" s="539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7" t="s">
        <v>249</v>
      </c>
      <c r="M1017" s="538"/>
      <c r="N1017" s="539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7" t="s">
        <v>250</v>
      </c>
      <c r="M1018" s="538"/>
      <c r="N1018" s="539">
        <f>'BD Team'!F100</f>
        <v>0</v>
      </c>
      <c r="O1018" s="540"/>
    </row>
    <row r="1019" spans="3:15">
      <c r="C1019" s="536"/>
      <c r="D1019" s="536"/>
      <c r="E1019" s="536"/>
      <c r="F1019" s="536"/>
      <c r="G1019" s="536"/>
      <c r="H1019" s="536"/>
      <c r="I1019" s="536"/>
      <c r="J1019" s="536"/>
      <c r="K1019" s="536"/>
      <c r="L1019" s="536"/>
      <c r="M1019" s="536"/>
      <c r="N1019" s="536"/>
      <c r="O1019" s="536"/>
    </row>
    <row r="1020" spans="3:15" ht="25.15" customHeight="1">
      <c r="C1020" s="537" t="s">
        <v>251</v>
      </c>
      <c r="D1020" s="538"/>
      <c r="E1020" s="284">
        <f>'BD Team'!B101</f>
        <v>0</v>
      </c>
      <c r="F1020" s="283" t="s">
        <v>252</v>
      </c>
      <c r="G1020" s="539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7" t="s">
        <v>126</v>
      </c>
      <c r="M1021" s="538"/>
      <c r="N1021" s="542">
        <f>'BD Team'!G101</f>
        <v>0</v>
      </c>
      <c r="O1021" s="543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7" t="s">
        <v>244</v>
      </c>
      <c r="M1022" s="538"/>
      <c r="N1022" s="540" t="str">
        <f>$F$6</f>
        <v>Anodized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7" t="s">
        <v>175</v>
      </c>
      <c r="M1023" s="538"/>
      <c r="N1023" s="540" t="str">
        <f>$K$6</f>
        <v>Silver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7" t="s">
        <v>245</v>
      </c>
      <c r="M1024" s="538"/>
      <c r="N1024" s="543" t="s">
        <v>253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7" t="s">
        <v>246</v>
      </c>
      <c r="M1025" s="538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7" t="s">
        <v>247</v>
      </c>
      <c r="M1026" s="538"/>
      <c r="N1026" s="539">
        <f>'BD Team'!J101</f>
        <v>0</v>
      </c>
      <c r="O1026" s="539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7" t="s">
        <v>248</v>
      </c>
      <c r="M1027" s="538"/>
      <c r="N1027" s="539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7" t="s">
        <v>249</v>
      </c>
      <c r="M1028" s="538"/>
      <c r="N1028" s="539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7" t="s">
        <v>250</v>
      </c>
      <c r="M1029" s="538"/>
      <c r="N1029" s="539">
        <f>'BD Team'!F101</f>
        <v>0</v>
      </c>
      <c r="O1029" s="540"/>
    </row>
    <row r="1030" spans="3:15">
      <c r="C1030" s="536"/>
      <c r="D1030" s="536"/>
      <c r="E1030" s="536"/>
      <c r="F1030" s="536"/>
      <c r="G1030" s="536"/>
      <c r="H1030" s="536"/>
      <c r="I1030" s="536"/>
      <c r="J1030" s="536"/>
      <c r="K1030" s="536"/>
      <c r="L1030" s="536"/>
      <c r="M1030" s="536"/>
      <c r="N1030" s="536"/>
      <c r="O1030" s="536"/>
    </row>
    <row r="1031" spans="3:15" ht="25.15" customHeight="1">
      <c r="C1031" s="537" t="s">
        <v>251</v>
      </c>
      <c r="D1031" s="538"/>
      <c r="E1031" s="284">
        <f>'BD Team'!B102</f>
        <v>0</v>
      </c>
      <c r="F1031" s="283" t="s">
        <v>252</v>
      </c>
      <c r="G1031" s="539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7" t="s">
        <v>126</v>
      </c>
      <c r="M1032" s="538"/>
      <c r="N1032" s="542">
        <f>'BD Team'!G102</f>
        <v>0</v>
      </c>
      <c r="O1032" s="543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7" t="s">
        <v>244</v>
      </c>
      <c r="M1033" s="538"/>
      <c r="N1033" s="540" t="str">
        <f>$F$6</f>
        <v>Anodized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7" t="s">
        <v>175</v>
      </c>
      <c r="M1034" s="538"/>
      <c r="N1034" s="540" t="str">
        <f>$K$6</f>
        <v>Silver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7" t="s">
        <v>245</v>
      </c>
      <c r="M1035" s="538"/>
      <c r="N1035" s="543" t="s">
        <v>253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7" t="s">
        <v>246</v>
      </c>
      <c r="M1036" s="538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7" t="s">
        <v>247</v>
      </c>
      <c r="M1037" s="538"/>
      <c r="N1037" s="539">
        <f>'BD Team'!J102</f>
        <v>0</v>
      </c>
      <c r="O1037" s="539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7" t="s">
        <v>248</v>
      </c>
      <c r="M1038" s="538"/>
      <c r="N1038" s="539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7" t="s">
        <v>249</v>
      </c>
      <c r="M1039" s="538"/>
      <c r="N1039" s="539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7" t="s">
        <v>250</v>
      </c>
      <c r="M1040" s="538"/>
      <c r="N1040" s="539">
        <f>'BD Team'!F102</f>
        <v>0</v>
      </c>
      <c r="O1040" s="540"/>
    </row>
    <row r="1041" spans="3:15">
      <c r="C1041" s="536"/>
      <c r="D1041" s="536"/>
      <c r="E1041" s="536"/>
      <c r="F1041" s="536"/>
      <c r="G1041" s="536"/>
      <c r="H1041" s="536"/>
      <c r="I1041" s="536"/>
      <c r="J1041" s="536"/>
      <c r="K1041" s="536"/>
      <c r="L1041" s="536"/>
      <c r="M1041" s="536"/>
      <c r="N1041" s="536"/>
      <c r="O1041" s="536"/>
    </row>
    <row r="1042" spans="3:15" ht="25.15" customHeight="1">
      <c r="C1042" s="537" t="s">
        <v>251</v>
      </c>
      <c r="D1042" s="538"/>
      <c r="E1042" s="284">
        <f>'BD Team'!B103</f>
        <v>0</v>
      </c>
      <c r="F1042" s="283" t="s">
        <v>252</v>
      </c>
      <c r="G1042" s="539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7" t="s">
        <v>126</v>
      </c>
      <c r="M1043" s="538"/>
      <c r="N1043" s="542">
        <f>'BD Team'!G103</f>
        <v>0</v>
      </c>
      <c r="O1043" s="543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7" t="s">
        <v>244</v>
      </c>
      <c r="M1044" s="538"/>
      <c r="N1044" s="540" t="str">
        <f>$F$6</f>
        <v>Anodized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7" t="s">
        <v>175</v>
      </c>
      <c r="M1045" s="538"/>
      <c r="N1045" s="540" t="str">
        <f>$K$6</f>
        <v>Silver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7" t="s">
        <v>245</v>
      </c>
      <c r="M1046" s="538"/>
      <c r="N1046" s="543" t="s">
        <v>253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7" t="s">
        <v>246</v>
      </c>
      <c r="M1047" s="538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7" t="s">
        <v>247</v>
      </c>
      <c r="M1048" s="538"/>
      <c r="N1048" s="539">
        <f>'BD Team'!J103</f>
        <v>0</v>
      </c>
      <c r="O1048" s="539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7" t="s">
        <v>248</v>
      </c>
      <c r="M1049" s="538"/>
      <c r="N1049" s="539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7" t="s">
        <v>249</v>
      </c>
      <c r="M1050" s="538"/>
      <c r="N1050" s="539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7" t="s">
        <v>250</v>
      </c>
      <c r="M1051" s="538"/>
      <c r="N1051" s="539">
        <f>'BD Team'!F103</f>
        <v>0</v>
      </c>
      <c r="O1051" s="540"/>
    </row>
    <row r="1052" spans="3:15">
      <c r="C1052" s="536"/>
      <c r="D1052" s="536"/>
      <c r="E1052" s="536"/>
      <c r="F1052" s="536"/>
      <c r="G1052" s="536"/>
      <c r="H1052" s="536"/>
      <c r="I1052" s="536"/>
      <c r="J1052" s="536"/>
      <c r="K1052" s="536"/>
      <c r="L1052" s="536"/>
      <c r="M1052" s="536"/>
      <c r="N1052" s="536"/>
      <c r="O1052" s="536"/>
    </row>
    <row r="1053" spans="3:15" ht="25.15" customHeight="1">
      <c r="C1053" s="537" t="s">
        <v>251</v>
      </c>
      <c r="D1053" s="538"/>
      <c r="E1053" s="284">
        <f>'BD Team'!B104</f>
        <v>0</v>
      </c>
      <c r="F1053" s="283" t="s">
        <v>252</v>
      </c>
      <c r="G1053" s="539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7" t="s">
        <v>126</v>
      </c>
      <c r="M1054" s="538"/>
      <c r="N1054" s="542">
        <f>'BD Team'!G104</f>
        <v>0</v>
      </c>
      <c r="O1054" s="543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7" t="s">
        <v>244</v>
      </c>
      <c r="M1055" s="538"/>
      <c r="N1055" s="540" t="str">
        <f>$F$6</f>
        <v>Anodized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7" t="s">
        <v>175</v>
      </c>
      <c r="M1056" s="538"/>
      <c r="N1056" s="540" t="str">
        <f>$K$6</f>
        <v>Silver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7" t="s">
        <v>245</v>
      </c>
      <c r="M1057" s="538"/>
      <c r="N1057" s="543" t="s">
        <v>253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7" t="s">
        <v>246</v>
      </c>
      <c r="M1058" s="538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7" t="s">
        <v>247</v>
      </c>
      <c r="M1059" s="538"/>
      <c r="N1059" s="539">
        <f>'BD Team'!J104</f>
        <v>0</v>
      </c>
      <c r="O1059" s="539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7" t="s">
        <v>248</v>
      </c>
      <c r="M1060" s="538"/>
      <c r="N1060" s="539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7" t="s">
        <v>249</v>
      </c>
      <c r="M1061" s="538"/>
      <c r="N1061" s="539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7" t="s">
        <v>250</v>
      </c>
      <c r="M1062" s="538"/>
      <c r="N1062" s="539">
        <f>'BD Team'!F104</f>
        <v>0</v>
      </c>
      <c r="O1062" s="540"/>
    </row>
    <row r="1063" spans="3:15">
      <c r="C1063" s="536"/>
      <c r="D1063" s="536"/>
      <c r="E1063" s="536"/>
      <c r="F1063" s="536"/>
      <c r="G1063" s="536"/>
      <c r="H1063" s="536"/>
      <c r="I1063" s="536"/>
      <c r="J1063" s="536"/>
      <c r="K1063" s="536"/>
      <c r="L1063" s="536"/>
      <c r="M1063" s="536"/>
      <c r="N1063" s="536"/>
      <c r="O1063" s="536"/>
    </row>
    <row r="1064" spans="3:15" ht="25.15" customHeight="1">
      <c r="C1064" s="537" t="s">
        <v>251</v>
      </c>
      <c r="D1064" s="538"/>
      <c r="E1064" s="284">
        <f>'BD Team'!B105</f>
        <v>0</v>
      </c>
      <c r="F1064" s="283" t="s">
        <v>252</v>
      </c>
      <c r="G1064" s="539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7" t="s">
        <v>126</v>
      </c>
      <c r="M1065" s="538"/>
      <c r="N1065" s="542">
        <f>'BD Team'!G105</f>
        <v>0</v>
      </c>
      <c r="O1065" s="543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7" t="s">
        <v>244</v>
      </c>
      <c r="M1066" s="538"/>
      <c r="N1066" s="540" t="str">
        <f>$F$6</f>
        <v>Anodized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7" t="s">
        <v>175</v>
      </c>
      <c r="M1067" s="538"/>
      <c r="N1067" s="540" t="str">
        <f>$K$6</f>
        <v>Silver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7" t="s">
        <v>245</v>
      </c>
      <c r="M1068" s="538"/>
      <c r="N1068" s="543" t="s">
        <v>253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7" t="s">
        <v>246</v>
      </c>
      <c r="M1069" s="538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7" t="s">
        <v>247</v>
      </c>
      <c r="M1070" s="538"/>
      <c r="N1070" s="539">
        <f>'BD Team'!J105</f>
        <v>0</v>
      </c>
      <c r="O1070" s="539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7" t="s">
        <v>248</v>
      </c>
      <c r="M1071" s="538"/>
      <c r="N1071" s="539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7" t="s">
        <v>249</v>
      </c>
      <c r="M1072" s="538"/>
      <c r="N1072" s="539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7" t="s">
        <v>250</v>
      </c>
      <c r="M1073" s="538"/>
      <c r="N1073" s="539">
        <f>'BD Team'!F105</f>
        <v>0</v>
      </c>
      <c r="O1073" s="540"/>
    </row>
    <row r="1074" spans="3:15">
      <c r="C1074" s="536"/>
      <c r="D1074" s="536"/>
      <c r="E1074" s="536"/>
      <c r="F1074" s="536"/>
      <c r="G1074" s="536"/>
      <c r="H1074" s="536"/>
      <c r="I1074" s="536"/>
      <c r="J1074" s="536"/>
      <c r="K1074" s="536"/>
      <c r="L1074" s="536"/>
      <c r="M1074" s="536"/>
      <c r="N1074" s="536"/>
      <c r="O1074" s="536"/>
    </row>
    <row r="1075" spans="3:15" ht="25.15" customHeight="1">
      <c r="C1075" s="537" t="s">
        <v>251</v>
      </c>
      <c r="D1075" s="538"/>
      <c r="E1075" s="284">
        <f>'BD Team'!B106</f>
        <v>0</v>
      </c>
      <c r="F1075" s="283" t="s">
        <v>252</v>
      </c>
      <c r="G1075" s="539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7" t="s">
        <v>126</v>
      </c>
      <c r="M1076" s="538"/>
      <c r="N1076" s="542">
        <f>'BD Team'!G106</f>
        <v>0</v>
      </c>
      <c r="O1076" s="543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7" t="s">
        <v>244</v>
      </c>
      <c r="M1077" s="538"/>
      <c r="N1077" s="540" t="str">
        <f>$F$6</f>
        <v>Anodized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7" t="s">
        <v>175</v>
      </c>
      <c r="M1078" s="538"/>
      <c r="N1078" s="540" t="str">
        <f>$K$6</f>
        <v>Silver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7" t="s">
        <v>245</v>
      </c>
      <c r="M1079" s="538"/>
      <c r="N1079" s="543" t="s">
        <v>253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7" t="s">
        <v>246</v>
      </c>
      <c r="M1080" s="538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7" t="s">
        <v>247</v>
      </c>
      <c r="M1081" s="538"/>
      <c r="N1081" s="539">
        <f>'BD Team'!J106</f>
        <v>0</v>
      </c>
      <c r="O1081" s="539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7" t="s">
        <v>248</v>
      </c>
      <c r="M1082" s="538"/>
      <c r="N1082" s="539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7" t="s">
        <v>249</v>
      </c>
      <c r="M1083" s="538"/>
      <c r="N1083" s="539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7" t="s">
        <v>250</v>
      </c>
      <c r="M1084" s="538"/>
      <c r="N1084" s="539">
        <f>'BD Team'!F106</f>
        <v>0</v>
      </c>
      <c r="O1084" s="540"/>
    </row>
    <row r="1085" spans="3:15">
      <c r="C1085" s="536"/>
      <c r="D1085" s="536"/>
      <c r="E1085" s="536"/>
      <c r="F1085" s="536"/>
      <c r="G1085" s="536"/>
      <c r="H1085" s="536"/>
      <c r="I1085" s="536"/>
      <c r="J1085" s="536"/>
      <c r="K1085" s="536"/>
      <c r="L1085" s="536"/>
      <c r="M1085" s="536"/>
      <c r="N1085" s="536"/>
      <c r="O1085" s="536"/>
    </row>
    <row r="1086" spans="3:15" ht="25.15" customHeight="1">
      <c r="C1086" s="537" t="s">
        <v>251</v>
      </c>
      <c r="D1086" s="538"/>
      <c r="E1086" s="284">
        <f>'BD Team'!B107</f>
        <v>0</v>
      </c>
      <c r="F1086" s="283" t="s">
        <v>252</v>
      </c>
      <c r="G1086" s="539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7" t="s">
        <v>126</v>
      </c>
      <c r="M1087" s="538"/>
      <c r="N1087" s="542">
        <f>'BD Team'!G107</f>
        <v>0</v>
      </c>
      <c r="O1087" s="543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7" t="s">
        <v>244</v>
      </c>
      <c r="M1088" s="538"/>
      <c r="N1088" s="540" t="str">
        <f>$F$6</f>
        <v>Anodized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7" t="s">
        <v>175</v>
      </c>
      <c r="M1089" s="538"/>
      <c r="N1089" s="540" t="str">
        <f>$K$6</f>
        <v>Silver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7" t="s">
        <v>245</v>
      </c>
      <c r="M1090" s="538"/>
      <c r="N1090" s="543" t="s">
        <v>253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7" t="s">
        <v>246</v>
      </c>
      <c r="M1091" s="538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7" t="s">
        <v>247</v>
      </c>
      <c r="M1092" s="538"/>
      <c r="N1092" s="539">
        <f>'BD Team'!J107</f>
        <v>0</v>
      </c>
      <c r="O1092" s="539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7" t="s">
        <v>248</v>
      </c>
      <c r="M1093" s="538"/>
      <c r="N1093" s="539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7" t="s">
        <v>249</v>
      </c>
      <c r="M1094" s="538"/>
      <c r="N1094" s="539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7" t="s">
        <v>250</v>
      </c>
      <c r="M1095" s="538"/>
      <c r="N1095" s="539">
        <f>'BD Team'!F107</f>
        <v>0</v>
      </c>
      <c r="O1095" s="540"/>
    </row>
    <row r="1096" spans="3:15">
      <c r="C1096" s="536"/>
      <c r="D1096" s="536"/>
      <c r="E1096" s="536"/>
      <c r="F1096" s="536"/>
      <c r="G1096" s="536"/>
      <c r="H1096" s="536"/>
      <c r="I1096" s="536"/>
      <c r="J1096" s="536"/>
      <c r="K1096" s="536"/>
      <c r="L1096" s="536"/>
      <c r="M1096" s="536"/>
      <c r="N1096" s="536"/>
      <c r="O1096" s="536"/>
    </row>
    <row r="1097" spans="3:15" ht="25.15" customHeight="1">
      <c r="C1097" s="537" t="s">
        <v>251</v>
      </c>
      <c r="D1097" s="538"/>
      <c r="E1097" s="284">
        <f>'BD Team'!B108</f>
        <v>0</v>
      </c>
      <c r="F1097" s="283" t="s">
        <v>252</v>
      </c>
      <c r="G1097" s="539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7" t="s">
        <v>126</v>
      </c>
      <c r="M1098" s="538"/>
      <c r="N1098" s="542">
        <f>'BD Team'!G108</f>
        <v>0</v>
      </c>
      <c r="O1098" s="543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7" t="s">
        <v>244</v>
      </c>
      <c r="M1099" s="538"/>
      <c r="N1099" s="540" t="str">
        <f>$F$6</f>
        <v>Anodized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7" t="s">
        <v>175</v>
      </c>
      <c r="M1100" s="538"/>
      <c r="N1100" s="540" t="str">
        <f>$K$6</f>
        <v>Silver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7" t="s">
        <v>245</v>
      </c>
      <c r="M1101" s="538"/>
      <c r="N1101" s="543" t="s">
        <v>253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7" t="s">
        <v>246</v>
      </c>
      <c r="M1102" s="538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7" t="s">
        <v>247</v>
      </c>
      <c r="M1103" s="538"/>
      <c r="N1103" s="539">
        <f>'BD Team'!J108</f>
        <v>0</v>
      </c>
      <c r="O1103" s="539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7" t="s">
        <v>248</v>
      </c>
      <c r="M1104" s="538"/>
      <c r="N1104" s="539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7" t="s">
        <v>249</v>
      </c>
      <c r="M1105" s="538"/>
      <c r="N1105" s="539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7" t="s">
        <v>250</v>
      </c>
      <c r="M1106" s="538"/>
      <c r="N1106" s="539">
        <f>'BD Team'!F108</f>
        <v>0</v>
      </c>
      <c r="O1106" s="540"/>
    </row>
    <row r="1107" spans="3:15">
      <c r="C1107" s="536"/>
      <c r="D1107" s="536"/>
      <c r="E1107" s="536"/>
      <c r="F1107" s="536"/>
      <c r="G1107" s="536"/>
      <c r="H1107" s="536"/>
      <c r="I1107" s="536"/>
      <c r="J1107" s="536"/>
      <c r="K1107" s="536"/>
      <c r="L1107" s="536"/>
      <c r="M1107" s="536"/>
      <c r="N1107" s="536"/>
      <c r="O1107" s="536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3" t="str">
        <f>CONCATENATE(C10,"+",C11,"+",C12,"+",C13,"+",C14)</f>
        <v>8mm CTG+28MM+10MM CTG++</v>
      </c>
      <c r="C9" s="554"/>
      <c r="D9" s="554"/>
      <c r="E9" s="554"/>
      <c r="F9" s="554"/>
      <c r="G9" t="s">
        <v>260</v>
      </c>
      <c r="H9">
        <f>E24</f>
        <v>4250.4134400000003</v>
      </c>
      <c r="J9" s="553" t="str">
        <f>CONCATENATE(K10,"+",K11,"+",K12,"+",K13,"+",K14)</f>
        <v>8mm CTG+28MM+10MM CTG++</v>
      </c>
      <c r="K9" s="554"/>
      <c r="L9" s="554"/>
      <c r="M9" s="554"/>
      <c r="N9" s="554"/>
      <c r="P9" s="553" t="str">
        <f>CONCATENATE(Q10,"+",Q11,"+",Q12,"+",Q13,"+",Q14)</f>
        <v>8mm CTG+12MM+8MM CTG++</v>
      </c>
      <c r="Q9" s="554"/>
      <c r="R9" s="554"/>
      <c r="S9" s="554"/>
      <c r="T9" s="554"/>
    </row>
    <row r="10" spans="2:20" ht="15">
      <c r="B10" s="105" t="s">
        <v>120</v>
      </c>
      <c r="C10" s="220" t="s">
        <v>263</v>
      </c>
      <c r="D10" s="105" t="s">
        <v>101</v>
      </c>
      <c r="E10" s="105">
        <v>990</v>
      </c>
      <c r="F10" s="105"/>
      <c r="G10" s="221" t="s">
        <v>261</v>
      </c>
      <c r="H10">
        <f>E43</f>
        <v>3341.52</v>
      </c>
      <c r="J10" s="225" t="s">
        <v>120</v>
      </c>
      <c r="K10" s="220" t="s">
        <v>263</v>
      </c>
      <c r="L10" s="225" t="s">
        <v>101</v>
      </c>
      <c r="M10" s="225">
        <v>990</v>
      </c>
      <c r="N10" s="225"/>
      <c r="P10" s="225" t="s">
        <v>120</v>
      </c>
      <c r="Q10" s="220" t="s">
        <v>263</v>
      </c>
      <c r="R10" s="225" t="s">
        <v>101</v>
      </c>
      <c r="S10" s="225">
        <v>990</v>
      </c>
      <c r="T10" s="225"/>
    </row>
    <row r="11" spans="2:20" ht="15">
      <c r="B11" s="105" t="s">
        <v>120</v>
      </c>
      <c r="C11" s="220" t="s">
        <v>264</v>
      </c>
      <c r="D11" s="106"/>
      <c r="E11" s="105">
        <v>1000</v>
      </c>
      <c r="F11" s="105"/>
      <c r="G11" t="s">
        <v>262</v>
      </c>
      <c r="H11">
        <f>E61</f>
        <v>3274.6895999999997</v>
      </c>
      <c r="J11" s="225" t="s">
        <v>120</v>
      </c>
      <c r="K11" s="220" t="s">
        <v>264</v>
      </c>
      <c r="L11" s="106"/>
      <c r="M11" s="225">
        <v>1000</v>
      </c>
      <c r="N11" s="225"/>
      <c r="P11" s="225" t="s">
        <v>120</v>
      </c>
      <c r="Q11" s="230" t="s">
        <v>267</v>
      </c>
      <c r="R11" s="106"/>
      <c r="S11" s="225">
        <v>1000</v>
      </c>
      <c r="T11" s="225"/>
    </row>
    <row r="12" spans="2:20" ht="15">
      <c r="B12" s="105" t="s">
        <v>120</v>
      </c>
      <c r="C12" s="220" t="s">
        <v>265</v>
      </c>
      <c r="D12" s="126" t="s">
        <v>131</v>
      </c>
      <c r="E12" s="105">
        <v>1190</v>
      </c>
      <c r="F12" s="105"/>
      <c r="G12" s="221" t="s">
        <v>271</v>
      </c>
      <c r="H12">
        <f>M43</f>
        <v>4343.9760000000006</v>
      </c>
      <c r="J12" s="225" t="s">
        <v>120</v>
      </c>
      <c r="K12" s="220" t="s">
        <v>265</v>
      </c>
      <c r="L12" s="226" t="s">
        <v>131</v>
      </c>
      <c r="M12" s="225">
        <v>1190</v>
      </c>
      <c r="N12" s="225"/>
      <c r="P12" s="225" t="s">
        <v>120</v>
      </c>
      <c r="Q12" s="230" t="s">
        <v>274</v>
      </c>
      <c r="R12" s="226" t="s">
        <v>131</v>
      </c>
      <c r="S12" s="225">
        <v>990</v>
      </c>
      <c r="T12" s="225"/>
    </row>
    <row r="13" spans="2:20" ht="15">
      <c r="B13" s="105" t="s">
        <v>120</v>
      </c>
      <c r="C13" s="105"/>
      <c r="D13" s="105"/>
      <c r="E13" s="105"/>
      <c r="F13" s="105"/>
      <c r="G13" s="231" t="s">
        <v>272</v>
      </c>
      <c r="H13">
        <f>M61</f>
        <v>4277.1455999999998</v>
      </c>
      <c r="J13" s="225" t="s">
        <v>120</v>
      </c>
      <c r="K13" s="225"/>
      <c r="L13" s="225"/>
      <c r="M13" s="225"/>
      <c r="N13" s="225"/>
      <c r="P13" s="225" t="s">
        <v>120</v>
      </c>
      <c r="Q13" s="225"/>
      <c r="R13" s="225"/>
      <c r="S13" s="225"/>
      <c r="T13" s="225"/>
    </row>
    <row r="14" spans="2:20" ht="15">
      <c r="B14" s="105" t="s">
        <v>120</v>
      </c>
      <c r="C14" s="105"/>
      <c r="D14" s="126" t="s">
        <v>132</v>
      </c>
      <c r="E14" s="105"/>
      <c r="F14" s="105"/>
      <c r="G14" s="232" t="s">
        <v>273</v>
      </c>
      <c r="H14">
        <f>S24</f>
        <v>3983.09184</v>
      </c>
      <c r="J14" s="225" t="s">
        <v>120</v>
      </c>
      <c r="K14" s="225"/>
      <c r="L14" s="226" t="s">
        <v>132</v>
      </c>
      <c r="M14" s="225"/>
      <c r="N14" s="225"/>
      <c r="P14" s="225" t="s">
        <v>120</v>
      </c>
      <c r="Q14" s="225"/>
      <c r="R14" s="226" t="s">
        <v>132</v>
      </c>
      <c r="S14" s="225"/>
      <c r="T14" s="225"/>
    </row>
    <row r="15" spans="2:20" ht="15">
      <c r="B15" s="126" t="s">
        <v>128</v>
      </c>
      <c r="C15" s="124"/>
      <c r="D15" s="124"/>
      <c r="E15" s="124"/>
      <c r="F15" s="124"/>
      <c r="G15" s="238" t="s">
        <v>277</v>
      </c>
      <c r="H15">
        <f>S43</f>
        <v>5319.6998400000002</v>
      </c>
      <c r="J15" s="226" t="s">
        <v>128</v>
      </c>
      <c r="K15" s="225"/>
      <c r="L15" s="225"/>
      <c r="M15" s="225"/>
      <c r="N15" s="225"/>
      <c r="P15" s="226" t="s">
        <v>128</v>
      </c>
      <c r="Q15" s="225"/>
      <c r="R15" s="225"/>
      <c r="S15" s="225"/>
      <c r="T15" s="225"/>
    </row>
    <row r="16" spans="2:20" ht="15">
      <c r="B16" s="126" t="s">
        <v>133</v>
      </c>
      <c r="C16" s="124"/>
      <c r="D16" s="222">
        <v>0.05</v>
      </c>
      <c r="E16" s="124">
        <f>SUM(E10:E15)*D16</f>
        <v>159</v>
      </c>
      <c r="F16" s="124"/>
      <c r="J16" s="226" t="s">
        <v>133</v>
      </c>
      <c r="K16" s="225"/>
      <c r="L16" s="222">
        <v>0.05</v>
      </c>
      <c r="M16" s="225">
        <f>SUM(M10:M15)*L16</f>
        <v>159</v>
      </c>
      <c r="N16" s="225"/>
      <c r="P16" s="226" t="s">
        <v>133</v>
      </c>
      <c r="Q16" s="225"/>
      <c r="R16" s="222">
        <v>0.05</v>
      </c>
      <c r="S16" s="225">
        <f>SUM(S10:S15)*R16</f>
        <v>149</v>
      </c>
      <c r="T16" s="225"/>
    </row>
    <row r="17" spans="2:20" ht="15">
      <c r="B17" s="126" t="s">
        <v>129</v>
      </c>
      <c r="C17" s="124"/>
      <c r="D17" s="124"/>
      <c r="E17" s="124"/>
      <c r="F17" s="124"/>
      <c r="J17" s="226" t="s">
        <v>129</v>
      </c>
      <c r="K17" s="225"/>
      <c r="L17" s="225"/>
      <c r="M17" s="225"/>
      <c r="N17" s="225"/>
      <c r="P17" s="226" t="s">
        <v>129</v>
      </c>
      <c r="Q17" s="225"/>
      <c r="R17" s="225"/>
      <c r="S17" s="225"/>
      <c r="T17" s="225"/>
    </row>
    <row r="18" spans="2:20" ht="15">
      <c r="B18" s="126" t="s">
        <v>130</v>
      </c>
      <c r="C18" s="105"/>
      <c r="D18" s="105"/>
      <c r="E18" s="105"/>
      <c r="F18" s="105"/>
      <c r="J18" s="226" t="s">
        <v>130</v>
      </c>
      <c r="K18" s="225"/>
      <c r="L18" s="225"/>
      <c r="M18" s="225"/>
      <c r="N18" s="225"/>
      <c r="P18" s="226" t="s">
        <v>130</v>
      </c>
      <c r="Q18" s="225"/>
      <c r="R18" s="225"/>
      <c r="S18" s="225"/>
      <c r="T18" s="225"/>
    </row>
    <row r="19" spans="2:20" ht="15">
      <c r="B19" s="555" t="s">
        <v>102</v>
      </c>
      <c r="C19" s="555"/>
      <c r="D19" s="555"/>
      <c r="E19" s="107">
        <f>SUM(E10:E18)</f>
        <v>3339</v>
      </c>
      <c r="F19" s="107"/>
      <c r="J19" s="555" t="s">
        <v>102</v>
      </c>
      <c r="K19" s="555"/>
      <c r="L19" s="555"/>
      <c r="M19" s="228">
        <f>SUM(M10:M18)</f>
        <v>3339</v>
      </c>
      <c r="N19" s="228"/>
      <c r="P19" s="555" t="s">
        <v>102</v>
      </c>
      <c r="Q19" s="555"/>
      <c r="R19" s="555"/>
      <c r="S19" s="228">
        <f>SUM(S10:S18)</f>
        <v>3129</v>
      </c>
      <c r="T19" s="228"/>
    </row>
    <row r="20" spans="2:20" ht="15">
      <c r="B20" s="551" t="s">
        <v>87</v>
      </c>
      <c r="C20" s="550"/>
      <c r="D20" s="106">
        <v>0.02</v>
      </c>
      <c r="E20" s="105">
        <f>E19*D20</f>
        <v>66.78</v>
      </c>
      <c r="F20" s="105"/>
      <c r="J20" s="551" t="s">
        <v>87</v>
      </c>
      <c r="K20" s="550"/>
      <c r="L20" s="106">
        <v>0.02</v>
      </c>
      <c r="M20" s="225">
        <f>M19*L20</f>
        <v>66.78</v>
      </c>
      <c r="N20" s="225"/>
      <c r="P20" s="551" t="s">
        <v>87</v>
      </c>
      <c r="Q20" s="550"/>
      <c r="R20" s="106">
        <v>0.02</v>
      </c>
      <c r="S20" s="225">
        <f>S19*R20</f>
        <v>62.58</v>
      </c>
      <c r="T20" s="225"/>
    </row>
    <row r="21" spans="2:20" ht="15">
      <c r="B21" s="550" t="s">
        <v>121</v>
      </c>
      <c r="C21" s="550"/>
      <c r="D21" s="106">
        <v>0.04</v>
      </c>
      <c r="E21" s="105">
        <f>SUM(E19:E20)*D21</f>
        <v>136.2312</v>
      </c>
      <c r="F21" s="105"/>
      <c r="J21" s="550" t="s">
        <v>121</v>
      </c>
      <c r="K21" s="550"/>
      <c r="L21" s="106">
        <v>0.04</v>
      </c>
      <c r="M21" s="225">
        <f>SUM(M19:M20)*L21</f>
        <v>136.2312</v>
      </c>
      <c r="N21" s="225"/>
      <c r="P21" s="550" t="s">
        <v>121</v>
      </c>
      <c r="Q21" s="550"/>
      <c r="R21" s="106">
        <v>0.04</v>
      </c>
      <c r="S21" s="225">
        <f>SUM(S19:S20)*R21</f>
        <v>127.6632</v>
      </c>
      <c r="T21" s="225"/>
    </row>
    <row r="22" spans="2:20" ht="15">
      <c r="B22" s="550" t="s">
        <v>4</v>
      </c>
      <c r="C22" s="550"/>
      <c r="D22" s="106">
        <v>0.2</v>
      </c>
      <c r="E22" s="124">
        <f>SUM(E19:E21)*D22</f>
        <v>708.40224000000012</v>
      </c>
      <c r="F22" s="124"/>
      <c r="J22" s="550" t="s">
        <v>4</v>
      </c>
      <c r="K22" s="550"/>
      <c r="L22" s="106">
        <v>0.2</v>
      </c>
      <c r="M22" s="225">
        <f>SUM(M19:M21)*L22</f>
        <v>708.40224000000012</v>
      </c>
      <c r="N22" s="225"/>
      <c r="P22" s="550" t="s">
        <v>4</v>
      </c>
      <c r="Q22" s="550"/>
      <c r="R22" s="106">
        <v>0.2</v>
      </c>
      <c r="S22" s="225">
        <f>SUM(S19:S21)*R22</f>
        <v>663.84864000000005</v>
      </c>
      <c r="T22" s="225"/>
    </row>
    <row r="23" spans="2:20" ht="15">
      <c r="B23" s="551" t="s">
        <v>127</v>
      </c>
      <c r="C23" s="550"/>
      <c r="D23" s="106">
        <v>0</v>
      </c>
      <c r="E23" s="105">
        <f>SUM(E19:E22)*D23</f>
        <v>0</v>
      </c>
      <c r="F23" s="105"/>
      <c r="J23" s="551" t="s">
        <v>127</v>
      </c>
      <c r="K23" s="550"/>
      <c r="L23" s="106">
        <v>0</v>
      </c>
      <c r="M23" s="225">
        <f>SUM(M19:M22)*L23</f>
        <v>0</v>
      </c>
      <c r="N23" s="225"/>
      <c r="P23" s="551" t="s">
        <v>127</v>
      </c>
      <c r="Q23" s="550"/>
      <c r="R23" s="106">
        <v>0</v>
      </c>
      <c r="S23" s="225">
        <f>SUM(S19:S22)*R23</f>
        <v>0</v>
      </c>
      <c r="T23" s="225"/>
    </row>
    <row r="24" spans="2:20" ht="15">
      <c r="B24" s="552" t="s">
        <v>122</v>
      </c>
      <c r="C24" s="552"/>
      <c r="D24" s="552"/>
      <c r="E24" s="108">
        <f>SUM(E19:E23)</f>
        <v>4250.4134400000003</v>
      </c>
      <c r="F24" s="109" t="s">
        <v>123</v>
      </c>
      <c r="J24" s="552" t="s">
        <v>122</v>
      </c>
      <c r="K24" s="552"/>
      <c r="L24" s="552"/>
      <c r="M24" s="108">
        <f>SUM(M19:M23)</f>
        <v>4250.4134400000003</v>
      </c>
      <c r="N24" s="227" t="s">
        <v>123</v>
      </c>
      <c r="P24" s="552" t="s">
        <v>122</v>
      </c>
      <c r="Q24" s="552"/>
      <c r="R24" s="552"/>
      <c r="S24" s="108">
        <f>SUM(S19:S23)</f>
        <v>3983.09184</v>
      </c>
      <c r="T24" s="227" t="s">
        <v>123</v>
      </c>
    </row>
    <row r="25" spans="2:20" ht="15">
      <c r="B25" s="550"/>
      <c r="C25" s="550"/>
      <c r="D25" s="105"/>
      <c r="E25" s="110">
        <f>E24/10.764</f>
        <v>394.87304347826091</v>
      </c>
      <c r="F25" s="111" t="s">
        <v>124</v>
      </c>
      <c r="J25" s="550"/>
      <c r="K25" s="550"/>
      <c r="L25" s="225"/>
      <c r="M25" s="110">
        <f>M24/10.764</f>
        <v>394.87304347826091</v>
      </c>
      <c r="N25" s="111" t="s">
        <v>124</v>
      </c>
      <c r="P25" s="550"/>
      <c r="Q25" s="550"/>
      <c r="R25" s="225"/>
      <c r="S25" s="110">
        <f>S24/10.764</f>
        <v>370.03826086956525</v>
      </c>
      <c r="T25" s="111" t="s">
        <v>124</v>
      </c>
    </row>
    <row r="28" spans="2:20" ht="15">
      <c r="B28" s="553" t="str">
        <f>CONCATENATE(C29,"+",C30,"+",C31,"+",C32,"+",C33)</f>
        <v>6mm CTG+12MM+6mm CTG++</v>
      </c>
      <c r="C28" s="554"/>
      <c r="D28" s="554"/>
      <c r="E28" s="554"/>
      <c r="F28" s="554"/>
      <c r="J28" s="553" t="str">
        <f>CONCATENATE(K29,"+",K30,"+",K31,"+",K32,"+",K33)</f>
        <v>6mm CTG+12MM+6mm CTG++</v>
      </c>
      <c r="K28" s="554"/>
      <c r="L28" s="554"/>
      <c r="M28" s="554"/>
      <c r="N28" s="554"/>
      <c r="P28" s="553" t="str">
        <f>CONCATENATE(Q29,"+",Q30,"+",Q31,"+",Q32,"+",Q33)</f>
        <v>8mm CTG+1.52mm pvb+8MM CTG++</v>
      </c>
      <c r="Q28" s="554"/>
      <c r="R28" s="554"/>
      <c r="S28" s="554"/>
      <c r="T28" s="554"/>
    </row>
    <row r="29" spans="2:20" ht="15">
      <c r="B29" s="216" t="s">
        <v>120</v>
      </c>
      <c r="C29" s="220" t="s">
        <v>266</v>
      </c>
      <c r="D29" s="216" t="s">
        <v>101</v>
      </c>
      <c r="E29" s="216">
        <v>750</v>
      </c>
      <c r="F29" s="216"/>
      <c r="J29" s="225" t="s">
        <v>120</v>
      </c>
      <c r="K29" s="220" t="s">
        <v>266</v>
      </c>
      <c r="L29" s="225" t="s">
        <v>101</v>
      </c>
      <c r="M29" s="225">
        <v>750</v>
      </c>
      <c r="N29" s="225"/>
      <c r="P29" s="225" t="s">
        <v>120</v>
      </c>
      <c r="Q29" s="220" t="s">
        <v>263</v>
      </c>
      <c r="R29" s="225" t="s">
        <v>101</v>
      </c>
      <c r="S29" s="225">
        <v>990</v>
      </c>
      <c r="T29" s="225"/>
    </row>
    <row r="30" spans="2:20" ht="15">
      <c r="B30" s="216" t="s">
        <v>120</v>
      </c>
      <c r="C30" s="220" t="s">
        <v>267</v>
      </c>
      <c r="D30" s="106"/>
      <c r="E30" s="216">
        <v>1000</v>
      </c>
      <c r="F30" s="216"/>
      <c r="J30" s="225" t="s">
        <v>120</v>
      </c>
      <c r="K30" s="220" t="s">
        <v>267</v>
      </c>
      <c r="L30" s="106"/>
      <c r="M30" s="225">
        <v>1000</v>
      </c>
      <c r="N30" s="225"/>
      <c r="P30" s="225" t="s">
        <v>120</v>
      </c>
      <c r="Q30" s="230" t="s">
        <v>276</v>
      </c>
      <c r="R30" s="106"/>
      <c r="S30" s="225">
        <v>2000</v>
      </c>
      <c r="T30" s="225"/>
    </row>
    <row r="31" spans="2:20" ht="15">
      <c r="B31" s="216" t="s">
        <v>120</v>
      </c>
      <c r="C31" s="220" t="s">
        <v>266</v>
      </c>
      <c r="D31" s="217" t="s">
        <v>131</v>
      </c>
      <c r="E31" s="216">
        <v>750</v>
      </c>
      <c r="F31" s="216"/>
      <c r="J31" s="225" t="s">
        <v>120</v>
      </c>
      <c r="K31" s="220" t="s">
        <v>266</v>
      </c>
      <c r="L31" s="226" t="s">
        <v>131</v>
      </c>
      <c r="M31" s="225">
        <v>750</v>
      </c>
      <c r="N31" s="225"/>
      <c r="P31" s="225" t="s">
        <v>120</v>
      </c>
      <c r="Q31" s="230" t="s">
        <v>274</v>
      </c>
      <c r="R31" s="226" t="s">
        <v>131</v>
      </c>
      <c r="S31" s="225">
        <v>990</v>
      </c>
      <c r="T31" s="225"/>
    </row>
    <row r="32" spans="2:20" ht="15">
      <c r="B32" s="216" t="s">
        <v>120</v>
      </c>
      <c r="C32" s="216"/>
      <c r="D32" s="216"/>
      <c r="E32" s="216"/>
      <c r="F32" s="216"/>
      <c r="J32" s="225" t="s">
        <v>120</v>
      </c>
      <c r="K32" s="225"/>
      <c r="L32" s="225"/>
      <c r="M32" s="225"/>
      <c r="N32" s="225"/>
      <c r="P32" s="225" t="s">
        <v>120</v>
      </c>
      <c r="Q32" s="225"/>
      <c r="R32" s="225"/>
      <c r="S32" s="225"/>
      <c r="T32" s="225"/>
    </row>
    <row r="33" spans="2:20" ht="15">
      <c r="B33" s="216" t="s">
        <v>120</v>
      </c>
      <c r="C33" s="216"/>
      <c r="D33" s="217" t="s">
        <v>132</v>
      </c>
      <c r="E33" s="216"/>
      <c r="F33" s="216"/>
      <c r="J33" s="225" t="s">
        <v>120</v>
      </c>
      <c r="K33" s="225"/>
      <c r="L33" s="226" t="s">
        <v>132</v>
      </c>
      <c r="M33" s="225"/>
      <c r="N33" s="225"/>
      <c r="P33" s="225" t="s">
        <v>120</v>
      </c>
      <c r="Q33" s="225"/>
      <c r="R33" s="226" t="s">
        <v>132</v>
      </c>
      <c r="S33" s="225"/>
      <c r="T33" s="225"/>
    </row>
    <row r="34" spans="2:20" ht="15">
      <c r="B34" s="217" t="s">
        <v>128</v>
      </c>
      <c r="C34" s="216"/>
      <c r="D34" s="216"/>
      <c r="E34" s="216"/>
      <c r="F34" s="216"/>
      <c r="J34" s="230" t="s">
        <v>270</v>
      </c>
      <c r="K34" s="225"/>
      <c r="L34" s="225"/>
      <c r="M34" s="225">
        <v>750</v>
      </c>
      <c r="N34" s="225"/>
      <c r="P34" s="226" t="s">
        <v>128</v>
      </c>
      <c r="Q34" s="225"/>
      <c r="R34" s="225"/>
      <c r="S34" s="225"/>
      <c r="T34" s="225"/>
    </row>
    <row r="35" spans="2:20" ht="15">
      <c r="B35" s="217" t="s">
        <v>133</v>
      </c>
      <c r="C35" s="216"/>
      <c r="D35" s="222">
        <v>0.05</v>
      </c>
      <c r="E35" s="216">
        <f>SUM(E29:E34)*D35</f>
        <v>125</v>
      </c>
      <c r="F35" s="216"/>
      <c r="J35" s="226" t="s">
        <v>133</v>
      </c>
      <c r="K35" s="225"/>
      <c r="L35" s="222">
        <v>0.05</v>
      </c>
      <c r="M35" s="225">
        <f>SUM(M29:M34)*L35</f>
        <v>162.5</v>
      </c>
      <c r="N35" s="225"/>
      <c r="P35" s="226" t="s">
        <v>133</v>
      </c>
      <c r="Q35" s="225"/>
      <c r="R35" s="222">
        <v>0.05</v>
      </c>
      <c r="S35" s="225">
        <f>SUM(S29:S34)*R35</f>
        <v>199</v>
      </c>
      <c r="T35" s="225"/>
    </row>
    <row r="36" spans="2:20" ht="15">
      <c r="B36" s="217" t="s">
        <v>129</v>
      </c>
      <c r="C36" s="216"/>
      <c r="D36" s="216"/>
      <c r="E36" s="216"/>
      <c r="F36" s="216"/>
      <c r="J36" s="226" t="s">
        <v>129</v>
      </c>
      <c r="K36" s="225"/>
      <c r="L36" s="225"/>
      <c r="M36" s="225"/>
      <c r="N36" s="225"/>
      <c r="P36" s="226" t="s">
        <v>129</v>
      </c>
      <c r="Q36" s="225"/>
      <c r="R36" s="225"/>
      <c r="S36" s="225"/>
      <c r="T36" s="225"/>
    </row>
    <row r="37" spans="2:20" ht="15">
      <c r="B37" s="217" t="s">
        <v>130</v>
      </c>
      <c r="C37" s="216"/>
      <c r="D37" s="216"/>
      <c r="E37" s="216"/>
      <c r="F37" s="216"/>
      <c r="J37" s="226" t="s">
        <v>130</v>
      </c>
      <c r="K37" s="225"/>
      <c r="L37" s="225"/>
      <c r="M37" s="225"/>
      <c r="N37" s="225"/>
      <c r="P37" s="226" t="s">
        <v>130</v>
      </c>
      <c r="Q37" s="225"/>
      <c r="R37" s="225"/>
      <c r="S37" s="225"/>
      <c r="T37" s="225"/>
    </row>
    <row r="38" spans="2:20" ht="15">
      <c r="B38" s="555" t="s">
        <v>102</v>
      </c>
      <c r="C38" s="555"/>
      <c r="D38" s="555"/>
      <c r="E38" s="219">
        <f>SUM(E29:E37)</f>
        <v>2625</v>
      </c>
      <c r="F38" s="219"/>
      <c r="J38" s="555" t="s">
        <v>102</v>
      </c>
      <c r="K38" s="555"/>
      <c r="L38" s="555"/>
      <c r="M38" s="228">
        <f>SUM(M29:M37)</f>
        <v>3412.5</v>
      </c>
      <c r="N38" s="228"/>
      <c r="P38" s="555" t="s">
        <v>102</v>
      </c>
      <c r="Q38" s="555"/>
      <c r="R38" s="555"/>
      <c r="S38" s="228">
        <f>SUM(S29:S37)</f>
        <v>4179</v>
      </c>
      <c r="T38" s="228"/>
    </row>
    <row r="39" spans="2:20" ht="15">
      <c r="B39" s="551" t="s">
        <v>87</v>
      </c>
      <c r="C39" s="550"/>
      <c r="D39" s="106">
        <v>0.02</v>
      </c>
      <c r="E39" s="216">
        <f>E38*D39</f>
        <v>52.5</v>
      </c>
      <c r="F39" s="216"/>
      <c r="J39" s="551" t="s">
        <v>87</v>
      </c>
      <c r="K39" s="550"/>
      <c r="L39" s="106">
        <v>0.02</v>
      </c>
      <c r="M39" s="225">
        <f>M38*L39</f>
        <v>68.25</v>
      </c>
      <c r="N39" s="225"/>
      <c r="P39" s="551" t="s">
        <v>87</v>
      </c>
      <c r="Q39" s="550"/>
      <c r="R39" s="106">
        <v>0.02</v>
      </c>
      <c r="S39" s="225">
        <f>S38*R39</f>
        <v>83.58</v>
      </c>
      <c r="T39" s="225"/>
    </row>
    <row r="40" spans="2:20" ht="15">
      <c r="B40" s="550" t="s">
        <v>121</v>
      </c>
      <c r="C40" s="550"/>
      <c r="D40" s="106">
        <v>0.04</v>
      </c>
      <c r="E40" s="216">
        <f>SUM(E38:E39)*D40</f>
        <v>107.10000000000001</v>
      </c>
      <c r="F40" s="216"/>
      <c r="J40" s="550" t="s">
        <v>121</v>
      </c>
      <c r="K40" s="550"/>
      <c r="L40" s="106">
        <v>0.04</v>
      </c>
      <c r="M40" s="225">
        <f>SUM(M38:M39)*L40</f>
        <v>139.22999999999999</v>
      </c>
      <c r="N40" s="225"/>
      <c r="P40" s="550" t="s">
        <v>121</v>
      </c>
      <c r="Q40" s="550"/>
      <c r="R40" s="106">
        <v>0.04</v>
      </c>
      <c r="S40" s="225">
        <f>SUM(S38:S39)*R40</f>
        <v>170.50319999999999</v>
      </c>
      <c r="T40" s="225"/>
    </row>
    <row r="41" spans="2:20" ht="15">
      <c r="B41" s="550" t="s">
        <v>4</v>
      </c>
      <c r="C41" s="550"/>
      <c r="D41" s="106">
        <v>0.2</v>
      </c>
      <c r="E41" s="216">
        <f>SUM(E38:E40)*D41</f>
        <v>556.91999999999996</v>
      </c>
      <c r="F41" s="216"/>
      <c r="J41" s="550" t="s">
        <v>4</v>
      </c>
      <c r="K41" s="550"/>
      <c r="L41" s="106">
        <v>0.2</v>
      </c>
      <c r="M41" s="225">
        <f>SUM(M38:M40)*L41</f>
        <v>723.99600000000009</v>
      </c>
      <c r="N41" s="225"/>
      <c r="P41" s="550" t="s">
        <v>4</v>
      </c>
      <c r="Q41" s="550"/>
      <c r="R41" s="106">
        <v>0.2</v>
      </c>
      <c r="S41" s="225">
        <f>SUM(S38:S40)*R41</f>
        <v>886.61664000000007</v>
      </c>
      <c r="T41" s="225"/>
    </row>
    <row r="42" spans="2:20" ht="15">
      <c r="B42" s="551" t="s">
        <v>127</v>
      </c>
      <c r="C42" s="550"/>
      <c r="D42" s="106">
        <v>0</v>
      </c>
      <c r="E42" s="216">
        <f>SUM(E38:E41)*D42</f>
        <v>0</v>
      </c>
      <c r="F42" s="216"/>
      <c r="J42" s="551" t="s">
        <v>127</v>
      </c>
      <c r="K42" s="550"/>
      <c r="L42" s="106">
        <v>0</v>
      </c>
      <c r="M42" s="225">
        <f>SUM(M38:M41)*L42</f>
        <v>0</v>
      </c>
      <c r="N42" s="225"/>
      <c r="P42" s="551" t="s">
        <v>127</v>
      </c>
      <c r="Q42" s="550"/>
      <c r="R42" s="106">
        <v>0</v>
      </c>
      <c r="S42" s="225">
        <f>SUM(S38:S41)*R42</f>
        <v>0</v>
      </c>
      <c r="T42" s="225"/>
    </row>
    <row r="43" spans="2:20" ht="15">
      <c r="B43" s="552" t="s">
        <v>122</v>
      </c>
      <c r="C43" s="552"/>
      <c r="D43" s="552"/>
      <c r="E43" s="108">
        <f>SUM(E38:E42)</f>
        <v>3341.52</v>
      </c>
      <c r="F43" s="218" t="s">
        <v>123</v>
      </c>
      <c r="J43" s="552" t="s">
        <v>122</v>
      </c>
      <c r="K43" s="552"/>
      <c r="L43" s="552"/>
      <c r="M43" s="108">
        <f>SUM(M38:M42)</f>
        <v>4343.9760000000006</v>
      </c>
      <c r="N43" s="227" t="s">
        <v>123</v>
      </c>
      <c r="P43" s="552" t="s">
        <v>122</v>
      </c>
      <c r="Q43" s="552"/>
      <c r="R43" s="552"/>
      <c r="S43" s="108">
        <f>SUM(S38:S42)</f>
        <v>5319.6998400000002</v>
      </c>
      <c r="T43" s="227" t="s">
        <v>123</v>
      </c>
    </row>
    <row r="44" spans="2:20" ht="15">
      <c r="B44" s="550"/>
      <c r="C44" s="550"/>
      <c r="D44" s="216"/>
      <c r="E44" s="110">
        <f>E43/10.764</f>
        <v>310.43478260869568</v>
      </c>
      <c r="F44" s="111" t="s">
        <v>124</v>
      </c>
      <c r="J44" s="550"/>
      <c r="K44" s="550"/>
      <c r="L44" s="225"/>
      <c r="M44" s="110">
        <f>M43/10.764</f>
        <v>403.56521739130443</v>
      </c>
      <c r="N44" s="111" t="s">
        <v>124</v>
      </c>
      <c r="P44" s="550"/>
      <c r="Q44" s="550"/>
      <c r="R44" s="225"/>
      <c r="S44" s="110">
        <f>S43/10.764</f>
        <v>494.21217391304356</v>
      </c>
      <c r="T44" s="111" t="s">
        <v>124</v>
      </c>
    </row>
    <row r="46" spans="2:20" ht="15">
      <c r="B46" s="553" t="str">
        <f>CONCATENATE(C47,"+",C48,"+",C49,"+",C50,"+",C51)</f>
        <v>6mm CTG+10MM+5mm CTG++</v>
      </c>
      <c r="C46" s="554"/>
      <c r="D46" s="554"/>
      <c r="E46" s="554"/>
      <c r="F46" s="554"/>
      <c r="J46" s="553" t="str">
        <f>CONCATENATE(K47,"+",K48,"+",K49,"+",K50,"+",K51)</f>
        <v>6mm CTG+10MM+5mm CTG++</v>
      </c>
      <c r="K46" s="554"/>
      <c r="L46" s="554"/>
      <c r="M46" s="554"/>
      <c r="N46" s="554"/>
    </row>
    <row r="47" spans="2:20" ht="15">
      <c r="B47" s="216" t="s">
        <v>120</v>
      </c>
      <c r="C47" s="220" t="s">
        <v>266</v>
      </c>
      <c r="D47" s="216" t="s">
        <v>101</v>
      </c>
      <c r="E47" s="216">
        <v>750</v>
      </c>
      <c r="F47" s="216"/>
      <c r="J47" s="225" t="s">
        <v>120</v>
      </c>
      <c r="K47" s="220" t="s">
        <v>266</v>
      </c>
      <c r="L47" s="225" t="s">
        <v>101</v>
      </c>
      <c r="M47" s="225">
        <v>750</v>
      </c>
      <c r="N47" s="225"/>
    </row>
    <row r="48" spans="2:20" ht="15">
      <c r="B48" s="216" t="s">
        <v>120</v>
      </c>
      <c r="C48" s="220" t="s">
        <v>268</v>
      </c>
      <c r="D48" s="106"/>
      <c r="E48" s="216">
        <v>1000</v>
      </c>
      <c r="F48" s="216"/>
      <c r="J48" s="225" t="s">
        <v>120</v>
      </c>
      <c r="K48" s="220" t="s">
        <v>268</v>
      </c>
      <c r="L48" s="106"/>
      <c r="M48" s="225">
        <v>1000</v>
      </c>
      <c r="N48" s="225"/>
    </row>
    <row r="49" spans="2:14" ht="15">
      <c r="B49" s="216" t="s">
        <v>120</v>
      </c>
      <c r="C49" s="220" t="s">
        <v>269</v>
      </c>
      <c r="D49" s="217" t="s">
        <v>131</v>
      </c>
      <c r="E49" s="216">
        <v>700</v>
      </c>
      <c r="F49" s="216"/>
      <c r="J49" s="225" t="s">
        <v>120</v>
      </c>
      <c r="K49" s="220" t="s">
        <v>269</v>
      </c>
      <c r="L49" s="226" t="s">
        <v>131</v>
      </c>
      <c r="M49" s="225">
        <v>700</v>
      </c>
      <c r="N49" s="225"/>
    </row>
    <row r="50" spans="2:14" ht="15">
      <c r="B50" s="216" t="s">
        <v>120</v>
      </c>
      <c r="C50" s="216"/>
      <c r="D50" s="216"/>
      <c r="E50" s="216"/>
      <c r="F50" s="216"/>
      <c r="J50" s="225" t="s">
        <v>120</v>
      </c>
      <c r="K50" s="225"/>
      <c r="L50" s="225"/>
      <c r="M50" s="225"/>
      <c r="N50" s="225"/>
    </row>
    <row r="51" spans="2:14" ht="15">
      <c r="B51" s="216" t="s">
        <v>120</v>
      </c>
      <c r="C51" s="216"/>
      <c r="D51" s="217" t="s">
        <v>132</v>
      </c>
      <c r="E51" s="216"/>
      <c r="F51" s="216"/>
      <c r="J51" s="225" t="s">
        <v>120</v>
      </c>
      <c r="K51" s="225"/>
      <c r="L51" s="226" t="s">
        <v>132</v>
      </c>
      <c r="M51" s="225"/>
      <c r="N51" s="225"/>
    </row>
    <row r="52" spans="2:14" ht="15">
      <c r="B52" s="217" t="s">
        <v>128</v>
      </c>
      <c r="C52" s="216"/>
      <c r="D52" s="216"/>
      <c r="E52" s="216"/>
      <c r="F52" s="216"/>
      <c r="J52" s="230" t="s">
        <v>270</v>
      </c>
      <c r="K52" s="225"/>
      <c r="L52" s="225"/>
      <c r="M52" s="225">
        <v>750</v>
      </c>
      <c r="N52" s="225"/>
    </row>
    <row r="53" spans="2:14" ht="15">
      <c r="B53" s="217" t="s">
        <v>133</v>
      </c>
      <c r="C53" s="216"/>
      <c r="D53" s="222">
        <v>0.05</v>
      </c>
      <c r="E53" s="216">
        <f>SUM(E47:E52)*D53</f>
        <v>122.5</v>
      </c>
      <c r="F53" s="216"/>
      <c r="J53" s="226" t="s">
        <v>133</v>
      </c>
      <c r="K53" s="225"/>
      <c r="L53" s="222">
        <v>0.05</v>
      </c>
      <c r="M53" s="225">
        <f>SUM(M47:M52)*L53</f>
        <v>160</v>
      </c>
      <c r="N53" s="225"/>
    </row>
    <row r="54" spans="2:14" ht="15">
      <c r="B54" s="217" t="s">
        <v>129</v>
      </c>
      <c r="C54" s="216"/>
      <c r="D54" s="216"/>
      <c r="E54" s="216"/>
      <c r="F54" s="216"/>
      <c r="J54" s="226" t="s">
        <v>129</v>
      </c>
      <c r="K54" s="225"/>
      <c r="L54" s="225"/>
      <c r="M54" s="225"/>
      <c r="N54" s="225"/>
    </row>
    <row r="55" spans="2:14" ht="15">
      <c r="B55" s="217" t="s">
        <v>130</v>
      </c>
      <c r="C55" s="216"/>
      <c r="D55" s="216"/>
      <c r="E55" s="216"/>
      <c r="F55" s="216"/>
      <c r="J55" s="226" t="s">
        <v>130</v>
      </c>
      <c r="K55" s="225"/>
      <c r="L55" s="225"/>
      <c r="M55" s="225"/>
      <c r="N55" s="225"/>
    </row>
    <row r="56" spans="2:14" ht="15">
      <c r="B56" s="555" t="s">
        <v>102</v>
      </c>
      <c r="C56" s="555"/>
      <c r="D56" s="555"/>
      <c r="E56" s="219">
        <f>SUM(E47:E55)</f>
        <v>2572.5</v>
      </c>
      <c r="F56" s="219"/>
      <c r="J56" s="555" t="s">
        <v>102</v>
      </c>
      <c r="K56" s="555"/>
      <c r="L56" s="555"/>
      <c r="M56" s="228">
        <f>SUM(M47:M55)</f>
        <v>3360</v>
      </c>
      <c r="N56" s="228"/>
    </row>
    <row r="57" spans="2:14" ht="15">
      <c r="B57" s="551" t="s">
        <v>87</v>
      </c>
      <c r="C57" s="550"/>
      <c r="D57" s="106">
        <v>0.02</v>
      </c>
      <c r="E57" s="216">
        <f>E56*D57</f>
        <v>51.45</v>
      </c>
      <c r="F57" s="216"/>
      <c r="J57" s="551" t="s">
        <v>87</v>
      </c>
      <c r="K57" s="550"/>
      <c r="L57" s="106">
        <v>0.02</v>
      </c>
      <c r="M57" s="225">
        <f>M56*L57</f>
        <v>67.2</v>
      </c>
      <c r="N57" s="225"/>
    </row>
    <row r="58" spans="2:14" ht="15">
      <c r="B58" s="550" t="s">
        <v>121</v>
      </c>
      <c r="C58" s="550"/>
      <c r="D58" s="106">
        <v>0.04</v>
      </c>
      <c r="E58" s="216">
        <f>SUM(E56:E57)*D58</f>
        <v>104.958</v>
      </c>
      <c r="F58" s="216"/>
      <c r="J58" s="550" t="s">
        <v>121</v>
      </c>
      <c r="K58" s="550"/>
      <c r="L58" s="106">
        <v>0.04</v>
      </c>
      <c r="M58" s="225">
        <f>SUM(M56:M57)*L58</f>
        <v>137.08799999999999</v>
      </c>
      <c r="N58" s="225"/>
    </row>
    <row r="59" spans="2:14" ht="15">
      <c r="B59" s="550" t="s">
        <v>4</v>
      </c>
      <c r="C59" s="550"/>
      <c r="D59" s="106">
        <v>0.2</v>
      </c>
      <c r="E59" s="216">
        <f>SUM(E56:E58)*D59</f>
        <v>545.78160000000003</v>
      </c>
      <c r="F59" s="216"/>
      <c r="J59" s="550" t="s">
        <v>4</v>
      </c>
      <c r="K59" s="550"/>
      <c r="L59" s="106">
        <v>0.2</v>
      </c>
      <c r="M59" s="225">
        <f>SUM(M56:M58)*L59</f>
        <v>712.85760000000005</v>
      </c>
      <c r="N59" s="225"/>
    </row>
    <row r="60" spans="2:14" ht="15">
      <c r="B60" s="551" t="s">
        <v>127</v>
      </c>
      <c r="C60" s="550"/>
      <c r="D60" s="106">
        <v>0</v>
      </c>
      <c r="E60" s="216">
        <f>SUM(E56:E59)*D60</f>
        <v>0</v>
      </c>
      <c r="F60" s="216"/>
      <c r="J60" s="551" t="s">
        <v>127</v>
      </c>
      <c r="K60" s="550"/>
      <c r="L60" s="106">
        <v>0</v>
      </c>
      <c r="M60" s="225">
        <f>SUM(M56:M59)*L60</f>
        <v>0</v>
      </c>
      <c r="N60" s="225"/>
    </row>
    <row r="61" spans="2:14" ht="15">
      <c r="B61" s="552" t="s">
        <v>122</v>
      </c>
      <c r="C61" s="552"/>
      <c r="D61" s="552"/>
      <c r="E61" s="108">
        <f>SUM(E56:E60)</f>
        <v>3274.6895999999997</v>
      </c>
      <c r="F61" s="218" t="s">
        <v>123</v>
      </c>
      <c r="J61" s="552" t="s">
        <v>122</v>
      </c>
      <c r="K61" s="552"/>
      <c r="L61" s="552"/>
      <c r="M61" s="108">
        <f>SUM(M56:M60)</f>
        <v>4277.1455999999998</v>
      </c>
      <c r="N61" s="227" t="s">
        <v>123</v>
      </c>
    </row>
    <row r="62" spans="2:14" ht="15">
      <c r="B62" s="550"/>
      <c r="C62" s="550"/>
      <c r="D62" s="216"/>
      <c r="E62" s="110">
        <f>E61/10.764</f>
        <v>304.22608695652173</v>
      </c>
      <c r="F62" s="111" t="s">
        <v>124</v>
      </c>
      <c r="J62" s="550"/>
      <c r="K62" s="550"/>
      <c r="L62" s="225"/>
      <c r="M62" s="110">
        <f>M61/10.764</f>
        <v>397.35652173913047</v>
      </c>
      <c r="N62" s="111" t="s">
        <v>124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386</v>
      </c>
      <c r="D4" t="s">
        <v>388</v>
      </c>
      <c r="E4" s="304">
        <f>ROUND(Pricing!T104,0.1)</f>
        <v>1178</v>
      </c>
    </row>
    <row r="5" spans="3:5">
      <c r="C5" s="231" t="s">
        <v>392</v>
      </c>
      <c r="D5" s="231" t="s">
        <v>390</v>
      </c>
      <c r="E5" s="304">
        <f>ROUND(Pricing!U104,0.1)/40</f>
        <v>35.35</v>
      </c>
    </row>
    <row r="6" spans="3:5">
      <c r="C6" s="231" t="s">
        <v>83</v>
      </c>
      <c r="D6" s="231" t="s">
        <v>389</v>
      </c>
      <c r="E6" s="304">
        <f>ROUND(Pricing!V104,0.1)</f>
        <v>74</v>
      </c>
    </row>
    <row r="7" spans="3:5">
      <c r="C7" s="231" t="s">
        <v>396</v>
      </c>
      <c r="D7" s="231" t="s">
        <v>388</v>
      </c>
      <c r="E7" s="304">
        <f>ROUND(Pricing!W104,0.1)</f>
        <v>1178</v>
      </c>
    </row>
    <row r="8" spans="3:5">
      <c r="C8" s="231" t="s">
        <v>393</v>
      </c>
      <c r="D8" s="231" t="s">
        <v>388</v>
      </c>
      <c r="E8" s="304">
        <f>ROUND(Pricing!X104,0.1)</f>
        <v>2357</v>
      </c>
    </row>
    <row r="9" spans="3:5">
      <c r="C9" t="s">
        <v>220</v>
      </c>
      <c r="D9" s="231" t="s">
        <v>391</v>
      </c>
      <c r="E9" s="304">
        <f>ROUND(Pricing!Y104,0.1)</f>
        <v>707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7"/>
  <sheetViews>
    <sheetView workbookViewId="0">
      <selection activeCell="B43" sqref="B43"/>
    </sheetView>
  </sheetViews>
  <sheetFormatPr defaultRowHeight="15"/>
  <cols>
    <col min="1" max="1" width="21.28515625" style="312" customWidth="1"/>
    <col min="2" max="2" width="19" style="312" customWidth="1"/>
    <col min="3" max="3" width="24.7109375" style="312" customWidth="1"/>
    <col min="4" max="4" width="13.85546875" style="312" customWidth="1"/>
    <col min="5" max="5" width="14.42578125" style="312" customWidth="1"/>
    <col min="6" max="6" width="11.85546875" style="312" customWidth="1"/>
    <col min="7" max="7" width="12.140625" style="312" bestFit="1" customWidth="1"/>
    <col min="8" max="8" width="14.85546875" style="312" bestFit="1" customWidth="1"/>
    <col min="9" max="11" width="9.140625" style="312"/>
    <col min="12" max="12" width="15.140625" style="312" customWidth="1"/>
    <col min="13" max="13" width="17.7109375" style="312" customWidth="1"/>
    <col min="14" max="14" width="19.140625" style="312" customWidth="1"/>
    <col min="15" max="15" width="19.5703125" style="312" customWidth="1"/>
    <col min="16" max="16" width="18.85546875" style="312" customWidth="1"/>
    <col min="17" max="17" width="22.7109375" style="312" customWidth="1"/>
    <col min="18" max="18" width="20.28515625" style="312" customWidth="1"/>
    <col min="19" max="19" width="15" style="312" customWidth="1"/>
    <col min="20" max="20" width="16.42578125" style="312" customWidth="1"/>
    <col min="21" max="21" width="22.42578125" style="312" customWidth="1"/>
    <col min="22" max="16384" width="9.140625" style="312"/>
  </cols>
  <sheetData>
    <row r="1" spans="1:21" s="310" customFormat="1" ht="33.75" customHeight="1">
      <c r="A1" s="310" t="s">
        <v>401</v>
      </c>
      <c r="B1" s="310" t="s">
        <v>203</v>
      </c>
      <c r="C1" s="310" t="s">
        <v>73</v>
      </c>
      <c r="D1" s="310" t="s">
        <v>106</v>
      </c>
      <c r="E1" s="310" t="s">
        <v>111</v>
      </c>
      <c r="F1" s="310" t="s">
        <v>402</v>
      </c>
      <c r="G1" s="310" t="s">
        <v>403</v>
      </c>
      <c r="H1" s="310" t="s">
        <v>404</v>
      </c>
      <c r="I1" s="310" t="s">
        <v>113</v>
      </c>
      <c r="J1" s="310" t="s">
        <v>405</v>
      </c>
      <c r="K1" s="310" t="s">
        <v>9</v>
      </c>
      <c r="L1" s="311" t="s">
        <v>213</v>
      </c>
      <c r="M1" s="310" t="s">
        <v>216</v>
      </c>
      <c r="N1" s="310" t="s">
        <v>406</v>
      </c>
      <c r="O1" s="310" t="s">
        <v>407</v>
      </c>
      <c r="P1" s="310" t="s">
        <v>187</v>
      </c>
      <c r="Q1" s="310" t="s">
        <v>408</v>
      </c>
      <c r="R1" s="310" t="s">
        <v>409</v>
      </c>
      <c r="S1" s="310" t="s">
        <v>410</v>
      </c>
      <c r="T1" s="310" t="s">
        <v>275</v>
      </c>
      <c r="U1" s="310" t="s">
        <v>411</v>
      </c>
    </row>
    <row r="2" spans="1:21">
      <c r="A2" s="313" t="str">
        <f>'BD Team'!B9</f>
        <v>G2G</v>
      </c>
      <c r="B2" s="313" t="str">
        <f>'BD Team'!C9</f>
        <v>M940</v>
      </c>
      <c r="C2" s="313" t="str">
        <f>'BD Team'!D9</f>
        <v>CORNOR WINDOW FIXED GLASS</v>
      </c>
      <c r="D2" s="313" t="str">
        <f>'BD Team'!E9</f>
        <v>13.52MM (ST-167)</v>
      </c>
      <c r="E2" s="313" t="str">
        <f>'BD Team'!G9</f>
        <v>GF - VISITORS ROOM</v>
      </c>
      <c r="F2" s="313" t="str">
        <f>'BD Team'!F9</f>
        <v>NO</v>
      </c>
      <c r="I2" s="313">
        <f>'BD Team'!H9</f>
        <v>2430</v>
      </c>
      <c r="J2" s="313">
        <f>'BD Team'!I9</f>
        <v>1450</v>
      </c>
      <c r="K2" s="313">
        <f>'BD Team'!J9</f>
        <v>2</v>
      </c>
      <c r="L2" s="314">
        <f>'BD Team'!K9</f>
        <v>60.63</v>
      </c>
      <c r="M2" s="313">
        <f>Pricing!O4</f>
        <v>5276</v>
      </c>
      <c r="N2" s="313">
        <f>Pricing!Q4</f>
        <v>0</v>
      </c>
      <c r="O2" s="313">
        <f>Pricing!R4</f>
        <v>0</v>
      </c>
      <c r="P2" s="313">
        <f>Pricing!S4</f>
        <v>0</v>
      </c>
      <c r="Q2" s="314">
        <f>'Cost Calculation'!L8</f>
        <v>0</v>
      </c>
      <c r="R2" s="314">
        <f>'Cost Calculation'!M8</f>
        <v>0</v>
      </c>
      <c r="S2" s="314">
        <f>'Cost Calculation'!N8</f>
        <v>0</v>
      </c>
      <c r="T2" s="313">
        <f>Pricing!P4</f>
        <v>0</v>
      </c>
      <c r="U2" s="312">
        <f>'Cost Calculation'!AC8</f>
        <v>0</v>
      </c>
    </row>
    <row r="3" spans="1:21">
      <c r="A3" s="313" t="str">
        <f>'BD Team'!B10</f>
        <v>SW1</v>
      </c>
      <c r="B3" s="313" t="str">
        <f>'BD Team'!C10</f>
        <v>M14600</v>
      </c>
      <c r="C3" s="313" t="str">
        <f>'BD Team'!D10</f>
        <v>3 TRACK 2 SHUTTER SLIDING WINDOW</v>
      </c>
      <c r="D3" s="313" t="str">
        <f>'BD Team'!E10</f>
        <v>13.52MM (ST-167)</v>
      </c>
      <c r="E3" s="313" t="str">
        <f>'BD Team'!G10</f>
        <v>GF - VISITORS ROOM</v>
      </c>
      <c r="F3" s="313" t="str">
        <f>'BD Team'!F10</f>
        <v>SS</v>
      </c>
      <c r="I3" s="313">
        <f>'BD Team'!H10</f>
        <v>3130</v>
      </c>
      <c r="J3" s="313">
        <f>'BD Team'!I10</f>
        <v>1450</v>
      </c>
      <c r="K3" s="313">
        <f>'BD Team'!J10</f>
        <v>1</v>
      </c>
      <c r="L3" s="314">
        <f>'BD Team'!K10</f>
        <v>400.42</v>
      </c>
      <c r="M3" s="313">
        <f>Pricing!O5</f>
        <v>5276</v>
      </c>
      <c r="N3" s="313">
        <f>Pricing!Q5</f>
        <v>538.19999999999993</v>
      </c>
      <c r="O3" s="313">
        <f>Pricing!R5</f>
        <v>0</v>
      </c>
      <c r="P3" s="313">
        <f>Pricing!S5</f>
        <v>0</v>
      </c>
      <c r="Q3" s="314">
        <f>'Cost Calculation'!L9</f>
        <v>0</v>
      </c>
      <c r="R3" s="314">
        <f>'Cost Calculation'!M9</f>
        <v>0</v>
      </c>
      <c r="S3" s="314">
        <f>'Cost Calculation'!N9</f>
        <v>0</v>
      </c>
      <c r="T3" s="313">
        <f>Pricing!P5</f>
        <v>0</v>
      </c>
      <c r="U3" s="312">
        <f>'Cost Calculation'!AC9</f>
        <v>0</v>
      </c>
    </row>
    <row r="4" spans="1:21">
      <c r="A4" s="313" t="str">
        <f>'BD Team'!B11</f>
        <v>CW1</v>
      </c>
      <c r="B4" s="313" t="str">
        <f>'BD Team'!C11</f>
        <v>M940</v>
      </c>
      <c r="C4" s="313" t="str">
        <f>'BD Team'!D11</f>
        <v>FIXED GLASS</v>
      </c>
      <c r="D4" s="313" t="str">
        <f>'BD Team'!E11</f>
        <v>13.52MM (ST-167)</v>
      </c>
      <c r="E4" s="313" t="str">
        <f>'BD Team'!G11</f>
        <v>GF - VISITORS ROOM</v>
      </c>
      <c r="F4" s="313" t="str">
        <f>'BD Team'!F11</f>
        <v>NO</v>
      </c>
      <c r="I4" s="313">
        <f>'BD Team'!H11</f>
        <v>1160</v>
      </c>
      <c r="J4" s="313">
        <f>'BD Team'!I11</f>
        <v>2360</v>
      </c>
      <c r="K4" s="313">
        <f>'BD Team'!J11</f>
        <v>1</v>
      </c>
      <c r="L4" s="314">
        <f>'BD Team'!K11</f>
        <v>54.89</v>
      </c>
      <c r="M4" s="313">
        <f>Pricing!O6</f>
        <v>5276</v>
      </c>
      <c r="N4" s="313">
        <f>Pricing!Q6</f>
        <v>0</v>
      </c>
      <c r="O4" s="313">
        <f>Pricing!R6</f>
        <v>0</v>
      </c>
      <c r="P4" s="313">
        <f>Pricing!S6</f>
        <v>0</v>
      </c>
      <c r="Q4" s="314">
        <f>'Cost Calculation'!L10</f>
        <v>0</v>
      </c>
      <c r="R4" s="314">
        <f>'Cost Calculation'!M10</f>
        <v>0</v>
      </c>
      <c r="S4" s="314">
        <f>'Cost Calculation'!N10</f>
        <v>0</v>
      </c>
      <c r="T4" s="313">
        <f>Pricing!P6</f>
        <v>0</v>
      </c>
      <c r="U4" s="312">
        <f>'Cost Calculation'!AC10</f>
        <v>0</v>
      </c>
    </row>
    <row r="5" spans="1:21">
      <c r="A5" s="313" t="str">
        <f>'BD Team'!B12</f>
        <v>SW2</v>
      </c>
      <c r="B5" s="313" t="str">
        <f>'BD Team'!C12</f>
        <v>M900</v>
      </c>
      <c r="C5" s="313" t="str">
        <f>'BD Team'!D12</f>
        <v>3 TRACK 2 SHUTTER SLIDING WINDOW</v>
      </c>
      <c r="D5" s="313" t="str">
        <f>'BD Team'!E12</f>
        <v>6MM (ST-167)</v>
      </c>
      <c r="E5" s="313" t="str">
        <f>'BD Team'!G12</f>
        <v>GF - POOJA ROOM</v>
      </c>
      <c r="F5" s="313" t="str">
        <f>'BD Team'!F12</f>
        <v>SS</v>
      </c>
      <c r="I5" s="313">
        <f>'BD Team'!H12</f>
        <v>1524</v>
      </c>
      <c r="J5" s="313">
        <f>'BD Team'!I12</f>
        <v>610</v>
      </c>
      <c r="K5" s="313">
        <f>'BD Team'!J12</f>
        <v>1</v>
      </c>
      <c r="L5" s="314">
        <f>'BD Team'!K12</f>
        <v>105.16</v>
      </c>
      <c r="M5" s="313">
        <f>Pricing!O7</f>
        <v>1870</v>
      </c>
      <c r="N5" s="313">
        <f>Pricing!Q7</f>
        <v>538.19999999999993</v>
      </c>
      <c r="O5" s="313">
        <f>Pricing!R7</f>
        <v>0</v>
      </c>
      <c r="P5" s="313">
        <f>Pricing!S7</f>
        <v>0</v>
      </c>
      <c r="Q5" s="314">
        <f>'Cost Calculation'!L11</f>
        <v>0</v>
      </c>
      <c r="R5" s="314">
        <f>'Cost Calculation'!M11</f>
        <v>0</v>
      </c>
      <c r="S5" s="314">
        <f>'Cost Calculation'!N11</f>
        <v>0</v>
      </c>
      <c r="T5" s="313">
        <f>Pricing!P7</f>
        <v>0</v>
      </c>
      <c r="U5" s="312">
        <f>'Cost Calculation'!AC11</f>
        <v>0</v>
      </c>
    </row>
    <row r="6" spans="1:21">
      <c r="A6" s="313" t="str">
        <f>'BD Team'!B13</f>
        <v>G2G 2</v>
      </c>
      <c r="B6" s="313" t="str">
        <f>'BD Team'!C13</f>
        <v>M900</v>
      </c>
      <c r="C6" s="313" t="str">
        <f>'BD Team'!D13</f>
        <v>CORNOR WINDOW FIXED GLASS</v>
      </c>
      <c r="D6" s="313" t="str">
        <f>'BD Team'!E13</f>
        <v>12MM (ST-167)</v>
      </c>
      <c r="E6" s="313" t="str">
        <f>'BD Team'!G13</f>
        <v>GF - LIVING</v>
      </c>
      <c r="F6" s="313" t="str">
        <f>'BD Team'!F13</f>
        <v>NO</v>
      </c>
      <c r="I6" s="313">
        <f>'BD Team'!H13</f>
        <v>3270</v>
      </c>
      <c r="J6" s="313">
        <f>'BD Team'!I13</f>
        <v>2360</v>
      </c>
      <c r="K6" s="313">
        <f>'BD Team'!J13</f>
        <v>1</v>
      </c>
      <c r="L6" s="314">
        <f>'BD Team'!K13</f>
        <v>61.73</v>
      </c>
      <c r="M6" s="313">
        <f>Pricing!O8</f>
        <v>2758</v>
      </c>
      <c r="N6" s="313">
        <f>Pricing!Q8</f>
        <v>0</v>
      </c>
      <c r="O6" s="313">
        <f>Pricing!R8</f>
        <v>0</v>
      </c>
      <c r="P6" s="313">
        <f>Pricing!S8</f>
        <v>0</v>
      </c>
      <c r="Q6" s="314">
        <f>'Cost Calculation'!L12</f>
        <v>0</v>
      </c>
      <c r="R6" s="314">
        <f>'Cost Calculation'!M12</f>
        <v>0</v>
      </c>
      <c r="S6" s="314">
        <f>'Cost Calculation'!N12</f>
        <v>0</v>
      </c>
      <c r="T6" s="313">
        <f>Pricing!P8</f>
        <v>0</v>
      </c>
      <c r="U6" s="312">
        <f>'Cost Calculation'!AC12</f>
        <v>0</v>
      </c>
    </row>
    <row r="7" spans="1:21">
      <c r="A7" s="313" t="str">
        <f>'BD Team'!B14</f>
        <v>SD1</v>
      </c>
      <c r="B7" s="313" t="str">
        <f>'BD Team'!C14</f>
        <v>M14600</v>
      </c>
      <c r="C7" s="313" t="str">
        <f>'BD Team'!D14</f>
        <v>3 TRACK 4 SHUTTER SLIDING DOOR</v>
      </c>
      <c r="D7" s="313" t="str">
        <f>'BD Team'!E14</f>
        <v>8MM (ST-167)</v>
      </c>
      <c r="E7" s="313" t="str">
        <f>'BD Team'!G14</f>
        <v>GF - LIVING</v>
      </c>
      <c r="F7" s="313" t="str">
        <f>'BD Team'!F14</f>
        <v>SS</v>
      </c>
      <c r="I7" s="313">
        <f>'BD Team'!H14</f>
        <v>3585</v>
      </c>
      <c r="J7" s="313">
        <f>'BD Team'!I14</f>
        <v>2800</v>
      </c>
      <c r="K7" s="313">
        <f>'BD Team'!J14</f>
        <v>1</v>
      </c>
      <c r="L7" s="314">
        <f>'BD Team'!K14</f>
        <v>1093.8800000000001</v>
      </c>
      <c r="M7" s="313">
        <f>Pricing!O9</f>
        <v>2190</v>
      </c>
      <c r="N7" s="313">
        <f>Pricing!Q9</f>
        <v>538.19999999999993</v>
      </c>
      <c r="O7" s="313">
        <f>Pricing!R9</f>
        <v>0</v>
      </c>
      <c r="P7" s="313">
        <f>Pricing!S9</f>
        <v>0</v>
      </c>
      <c r="Q7" s="314">
        <f>'Cost Calculation'!L13</f>
        <v>0</v>
      </c>
      <c r="R7" s="314">
        <f>'Cost Calculation'!M13</f>
        <v>0</v>
      </c>
      <c r="S7" s="314">
        <f>'Cost Calculation'!N13</f>
        <v>0</v>
      </c>
      <c r="T7" s="313">
        <f>Pricing!P9</f>
        <v>0</v>
      </c>
      <c r="U7" s="312">
        <f>'Cost Calculation'!AC13</f>
        <v>0</v>
      </c>
    </row>
    <row r="8" spans="1:21">
      <c r="A8" s="313" t="str">
        <f>'BD Team'!B15</f>
        <v>SW3</v>
      </c>
      <c r="B8" s="313" t="str">
        <f>'BD Team'!C15</f>
        <v>M900</v>
      </c>
      <c r="C8" s="313" t="str">
        <f>'BD Team'!D15</f>
        <v>3 TRACK 2 SHUTTER SLIDING WINDOW</v>
      </c>
      <c r="D8" s="313" t="str">
        <f>'BD Team'!E15</f>
        <v>6MM (ST-167)</v>
      </c>
      <c r="E8" s="313" t="str">
        <f>'BD Team'!G15</f>
        <v>GF - KITCHEN</v>
      </c>
      <c r="F8" s="313" t="str">
        <f>'BD Team'!F15</f>
        <v>SS</v>
      </c>
      <c r="I8" s="313">
        <f>'BD Team'!H15</f>
        <v>1380</v>
      </c>
      <c r="J8" s="313">
        <f>'BD Team'!I15</f>
        <v>550</v>
      </c>
      <c r="K8" s="313">
        <f>'BD Team'!J15</f>
        <v>1</v>
      </c>
      <c r="L8" s="314">
        <f>'BD Team'!K15</f>
        <v>98.24</v>
      </c>
      <c r="M8" s="313">
        <f>Pricing!O10</f>
        <v>1870</v>
      </c>
      <c r="N8" s="313">
        <f>Pricing!Q10</f>
        <v>538.19999999999993</v>
      </c>
      <c r="O8" s="313">
        <f>Pricing!R10</f>
        <v>0</v>
      </c>
      <c r="P8" s="313">
        <f>Pricing!S10</f>
        <v>0</v>
      </c>
      <c r="Q8" s="314">
        <f>'Cost Calculation'!L14</f>
        <v>0</v>
      </c>
      <c r="R8" s="314">
        <f>'Cost Calculation'!M14</f>
        <v>0</v>
      </c>
      <c r="S8" s="314">
        <f>'Cost Calculation'!N14</f>
        <v>0</v>
      </c>
      <c r="T8" s="313">
        <f>Pricing!P10</f>
        <v>0</v>
      </c>
      <c r="U8" s="312">
        <f>'Cost Calculation'!AC14</f>
        <v>0</v>
      </c>
    </row>
    <row r="9" spans="1:21">
      <c r="A9" s="313" t="str">
        <f>'BD Team'!B16</f>
        <v>CW2</v>
      </c>
      <c r="B9" s="313" t="str">
        <f>'BD Team'!C16</f>
        <v>M940</v>
      </c>
      <c r="C9" s="313" t="str">
        <f>'BD Team'!D16</f>
        <v>SIDE HUNG WINDOW</v>
      </c>
      <c r="D9" s="313" t="str">
        <f>'BD Team'!E16</f>
        <v>6MM (ST-167)</v>
      </c>
      <c r="E9" s="313" t="str">
        <f>'BD Team'!G16</f>
        <v>GF - KITCHEN</v>
      </c>
      <c r="F9" s="313" t="str">
        <f>'BD Team'!F16</f>
        <v>NO</v>
      </c>
      <c r="I9" s="313">
        <f>'BD Team'!H16</f>
        <v>760</v>
      </c>
      <c r="J9" s="313">
        <f>'BD Team'!I16</f>
        <v>1220</v>
      </c>
      <c r="K9" s="313">
        <f>'BD Team'!J16</f>
        <v>2</v>
      </c>
      <c r="L9" s="314">
        <f>'BD Team'!K16</f>
        <v>110.28</v>
      </c>
      <c r="M9" s="313">
        <f>Pricing!O11</f>
        <v>1870</v>
      </c>
      <c r="N9" s="313">
        <f>Pricing!Q11</f>
        <v>0</v>
      </c>
      <c r="O9" s="313">
        <f>Pricing!R11</f>
        <v>0</v>
      </c>
      <c r="P9" s="313">
        <f>Pricing!S11</f>
        <v>0</v>
      </c>
      <c r="Q9" s="314">
        <f>'Cost Calculation'!L15</f>
        <v>0</v>
      </c>
      <c r="R9" s="314">
        <f>'Cost Calculation'!M15</f>
        <v>0</v>
      </c>
      <c r="S9" s="314">
        <f>'Cost Calculation'!N15</f>
        <v>0</v>
      </c>
      <c r="T9" s="313">
        <f>Pricing!P11</f>
        <v>0</v>
      </c>
      <c r="U9" s="312">
        <f>'Cost Calculation'!AC15</f>
        <v>0</v>
      </c>
    </row>
    <row r="10" spans="1:21">
      <c r="A10" s="313" t="str">
        <f>'BD Team'!B17</f>
        <v>CW3</v>
      </c>
      <c r="B10" s="313" t="str">
        <f>'BD Team'!C17</f>
        <v>M940</v>
      </c>
      <c r="C10" s="313" t="str">
        <f>'BD Team'!D17</f>
        <v>TOP HUNG WINDOW</v>
      </c>
      <c r="D10" s="313" t="str">
        <f>'BD Team'!E17</f>
        <v>6MM (ST-167)</v>
      </c>
      <c r="E10" s="313" t="str">
        <f>'BD Team'!G17</f>
        <v>GF - STORE</v>
      </c>
      <c r="F10" s="313" t="str">
        <f>'BD Team'!F17</f>
        <v>NO</v>
      </c>
      <c r="I10" s="313">
        <f>'BD Team'!H17</f>
        <v>720</v>
      </c>
      <c r="J10" s="313">
        <f>'BD Team'!I17</f>
        <v>840</v>
      </c>
      <c r="K10" s="313">
        <f>'BD Team'!J17</f>
        <v>1</v>
      </c>
      <c r="L10" s="314">
        <f>'BD Team'!K17</f>
        <v>119.39</v>
      </c>
      <c r="M10" s="313">
        <f>Pricing!O12</f>
        <v>1870</v>
      </c>
      <c r="N10" s="313">
        <f>Pricing!Q12</f>
        <v>0</v>
      </c>
      <c r="O10" s="313">
        <f>Pricing!R12</f>
        <v>0</v>
      </c>
      <c r="P10" s="313">
        <f>Pricing!S12</f>
        <v>0</v>
      </c>
      <c r="Q10" s="314">
        <f>'Cost Calculation'!L16</f>
        <v>0</v>
      </c>
      <c r="R10" s="314">
        <f>'Cost Calculation'!M16</f>
        <v>0</v>
      </c>
      <c r="S10" s="314">
        <f>'Cost Calculation'!N16</f>
        <v>0</v>
      </c>
      <c r="T10" s="313">
        <f>Pricing!P12</f>
        <v>0</v>
      </c>
      <c r="U10" s="312">
        <f>'Cost Calculation'!AC16</f>
        <v>0</v>
      </c>
    </row>
    <row r="11" spans="1:21">
      <c r="A11" s="313" t="str">
        <f>'BD Team'!B18</f>
        <v>SD2</v>
      </c>
      <c r="B11" s="313" t="str">
        <f>'BD Team'!C18</f>
        <v>M14600</v>
      </c>
      <c r="C11" s="313" t="str">
        <f>'BD Team'!D18</f>
        <v>3 TRACK 2 SHUTTER SLIDING DOOR</v>
      </c>
      <c r="D11" s="313" t="str">
        <f>'BD Team'!E18</f>
        <v>8MM (ST-167)</v>
      </c>
      <c r="E11" s="313" t="str">
        <f>'BD Team'!G18</f>
        <v>GF - DINING &amp; 1F - BALCONY</v>
      </c>
      <c r="F11" s="313" t="str">
        <f>'BD Team'!F18</f>
        <v>SS</v>
      </c>
      <c r="I11" s="313">
        <f>'BD Team'!H18</f>
        <v>2700</v>
      </c>
      <c r="J11" s="313">
        <f>'BD Team'!I18</f>
        <v>2350</v>
      </c>
      <c r="K11" s="313">
        <f>'BD Team'!J18</f>
        <v>2</v>
      </c>
      <c r="L11" s="314">
        <f>'BD Team'!K18</f>
        <v>484.58</v>
      </c>
      <c r="M11" s="313">
        <f>Pricing!O13</f>
        <v>2190</v>
      </c>
      <c r="N11" s="313">
        <f>Pricing!Q13</f>
        <v>538.19999999999993</v>
      </c>
      <c r="O11" s="313">
        <f>Pricing!R13</f>
        <v>0</v>
      </c>
      <c r="P11" s="313">
        <f>Pricing!S13</f>
        <v>0</v>
      </c>
      <c r="Q11" s="314">
        <f>'Cost Calculation'!L17</f>
        <v>0</v>
      </c>
      <c r="R11" s="314">
        <f>'Cost Calculation'!M17</f>
        <v>0</v>
      </c>
      <c r="S11" s="314">
        <f>'Cost Calculation'!N17</f>
        <v>0</v>
      </c>
      <c r="T11" s="313">
        <f>Pricing!P13</f>
        <v>0</v>
      </c>
      <c r="U11" s="312">
        <f>'Cost Calculation'!AC17</f>
        <v>0</v>
      </c>
    </row>
    <row r="12" spans="1:21">
      <c r="A12" s="313" t="str">
        <f>'BD Team'!B19</f>
        <v>SW4</v>
      </c>
      <c r="B12" s="313" t="str">
        <f>'BD Team'!C19</f>
        <v>M14600</v>
      </c>
      <c r="C12" s="313" t="str">
        <f>'BD Team'!D19</f>
        <v>3 TRACK 2 SHUTTER SLIDING WINDOW</v>
      </c>
      <c r="D12" s="313" t="str">
        <f>'BD Team'!E19</f>
        <v>6MM (ST-167)</v>
      </c>
      <c r="E12" s="313" t="str">
        <f>'BD Team'!G19</f>
        <v>GF - MASTER BEDROOM</v>
      </c>
      <c r="F12" s="313" t="str">
        <f>'BD Team'!F19</f>
        <v>SS</v>
      </c>
      <c r="I12" s="313">
        <f>'BD Team'!H19</f>
        <v>1575</v>
      </c>
      <c r="J12" s="313">
        <f>'BD Team'!I19</f>
        <v>1700</v>
      </c>
      <c r="K12" s="313">
        <f>'BD Team'!J19</f>
        <v>1</v>
      </c>
      <c r="L12" s="314">
        <f>'BD Team'!K19</f>
        <v>332.88</v>
      </c>
      <c r="M12" s="313">
        <f>Pricing!O14</f>
        <v>1870</v>
      </c>
      <c r="N12" s="313">
        <f>Pricing!Q14</f>
        <v>538.19999999999993</v>
      </c>
      <c r="O12" s="313">
        <f>Pricing!R14</f>
        <v>0</v>
      </c>
      <c r="P12" s="313">
        <f>Pricing!S14</f>
        <v>0</v>
      </c>
      <c r="Q12" s="314">
        <f>'Cost Calculation'!L18</f>
        <v>0</v>
      </c>
      <c r="R12" s="314">
        <f>'Cost Calculation'!M18</f>
        <v>0</v>
      </c>
      <c r="S12" s="314">
        <f>'Cost Calculation'!N18</f>
        <v>0</v>
      </c>
      <c r="T12" s="313">
        <f>Pricing!P14</f>
        <v>0</v>
      </c>
      <c r="U12" s="312">
        <f>'Cost Calculation'!AC18</f>
        <v>0</v>
      </c>
    </row>
    <row r="13" spans="1:21">
      <c r="A13" s="313" t="str">
        <f>'BD Team'!B20</f>
        <v>SW5</v>
      </c>
      <c r="B13" s="313" t="str">
        <f>'BD Team'!C20</f>
        <v>M14600</v>
      </c>
      <c r="C13" s="313" t="str">
        <f>'BD Team'!D20</f>
        <v>3 TRACK 2 SHUTTER SLIDING WINDOW</v>
      </c>
      <c r="D13" s="313" t="str">
        <f>'BD Team'!E20</f>
        <v>6MM (ST-167)</v>
      </c>
      <c r="E13" s="313" t="str">
        <f>'BD Team'!G20</f>
        <v>GF &amp; 1F - MASTER BEDROOM</v>
      </c>
      <c r="F13" s="313" t="str">
        <f>'BD Team'!F20</f>
        <v>SS</v>
      </c>
      <c r="I13" s="313">
        <f>'BD Team'!H20</f>
        <v>2400</v>
      </c>
      <c r="J13" s="313">
        <f>'BD Team'!I20</f>
        <v>1700</v>
      </c>
      <c r="K13" s="313">
        <f>'BD Team'!J20</f>
        <v>2</v>
      </c>
      <c r="L13" s="314">
        <f>'BD Team'!K20</f>
        <v>381.27</v>
      </c>
      <c r="M13" s="313">
        <f>Pricing!O15</f>
        <v>1870</v>
      </c>
      <c r="N13" s="313">
        <f>Pricing!Q15</f>
        <v>538.19999999999993</v>
      </c>
      <c r="O13" s="313">
        <f>Pricing!R15</f>
        <v>0</v>
      </c>
      <c r="P13" s="313">
        <f>Pricing!S15</f>
        <v>0</v>
      </c>
      <c r="Q13" s="314">
        <f>'Cost Calculation'!L19</f>
        <v>0</v>
      </c>
      <c r="R13" s="314">
        <f>'Cost Calculation'!M19</f>
        <v>0</v>
      </c>
      <c r="S13" s="314">
        <f>'Cost Calculation'!N19</f>
        <v>0</v>
      </c>
      <c r="T13" s="313">
        <f>Pricing!P15</f>
        <v>0</v>
      </c>
      <c r="U13" s="312">
        <f>'Cost Calculation'!AC19</f>
        <v>0</v>
      </c>
    </row>
    <row r="14" spans="1:21">
      <c r="A14" s="313" t="str">
        <f>'BD Team'!B21</f>
        <v>V</v>
      </c>
      <c r="B14" s="313" t="str">
        <f>'BD Team'!C21</f>
        <v>M940</v>
      </c>
      <c r="C14" s="313" t="str">
        <f>'BD Team'!D21</f>
        <v>TOP HUNG WINDOW WITH FIXED GLASS</v>
      </c>
      <c r="D14" s="313" t="str">
        <f>'BD Team'!E21</f>
        <v>6MM (F)</v>
      </c>
      <c r="E14" s="313" t="str">
        <f>'BD Team'!G21</f>
        <v>TOILET</v>
      </c>
      <c r="F14" s="313" t="str">
        <f>'BD Team'!F21</f>
        <v>NO</v>
      </c>
      <c r="I14" s="313">
        <f>'BD Team'!H21</f>
        <v>1220</v>
      </c>
      <c r="J14" s="313">
        <f>'BD Team'!I21</f>
        <v>610</v>
      </c>
      <c r="K14" s="313">
        <f>'BD Team'!J21</f>
        <v>1</v>
      </c>
      <c r="L14" s="314">
        <f>'BD Team'!K21</f>
        <v>153.85</v>
      </c>
      <c r="M14" s="313">
        <f>Pricing!O16</f>
        <v>2003</v>
      </c>
      <c r="N14" s="313">
        <f>Pricing!Q16</f>
        <v>0</v>
      </c>
      <c r="O14" s="313">
        <f>Pricing!R16</f>
        <v>0</v>
      </c>
      <c r="P14" s="313">
        <f>Pricing!S16</f>
        <v>0</v>
      </c>
      <c r="Q14" s="314">
        <f>'Cost Calculation'!L20</f>
        <v>0</v>
      </c>
      <c r="R14" s="314">
        <f>'Cost Calculation'!M20</f>
        <v>0</v>
      </c>
      <c r="S14" s="314">
        <f>'Cost Calculation'!N20</f>
        <v>0</v>
      </c>
      <c r="T14" s="313">
        <f>Pricing!P16</f>
        <v>0</v>
      </c>
      <c r="U14" s="312">
        <f>'Cost Calculation'!AC20</f>
        <v>0</v>
      </c>
    </row>
    <row r="15" spans="1:21">
      <c r="A15" s="313" t="str">
        <f>'BD Team'!B22</f>
        <v>SW6</v>
      </c>
      <c r="B15" s="313" t="str">
        <f>'BD Team'!C22</f>
        <v>M14600</v>
      </c>
      <c r="C15" s="313" t="str">
        <f>'BD Team'!D22</f>
        <v>3 TRACK 2 SHUTTER SLIDING WINDOW</v>
      </c>
      <c r="D15" s="313" t="str">
        <f>'BD Team'!E22</f>
        <v>6MM (ST-167)</v>
      </c>
      <c r="E15" s="313" t="str">
        <f>'BD Team'!G22</f>
        <v>GUEST BEDROOM &amp; GYM</v>
      </c>
      <c r="F15" s="313" t="str">
        <f>'BD Team'!F22</f>
        <v>SS</v>
      </c>
      <c r="I15" s="313">
        <f>'BD Team'!H22</f>
        <v>1830</v>
      </c>
      <c r="J15" s="313">
        <f>'BD Team'!I22</f>
        <v>1700</v>
      </c>
      <c r="K15" s="313">
        <f>'BD Team'!J22</f>
        <v>2</v>
      </c>
      <c r="L15" s="314">
        <f>'BD Team'!K22</f>
        <v>347.84</v>
      </c>
      <c r="M15" s="313">
        <f>Pricing!O17</f>
        <v>1870</v>
      </c>
      <c r="N15" s="313">
        <f>Pricing!Q17</f>
        <v>538.19999999999993</v>
      </c>
      <c r="O15" s="313">
        <f>Pricing!R17</f>
        <v>0</v>
      </c>
      <c r="P15" s="313">
        <f>Pricing!S17</f>
        <v>0</v>
      </c>
      <c r="Q15" s="314">
        <f>'Cost Calculation'!L21</f>
        <v>0</v>
      </c>
      <c r="R15" s="314">
        <f>'Cost Calculation'!M21</f>
        <v>0</v>
      </c>
      <c r="S15" s="314">
        <f>'Cost Calculation'!N21</f>
        <v>0</v>
      </c>
      <c r="T15" s="313">
        <f>Pricing!P17</f>
        <v>0</v>
      </c>
      <c r="U15" s="312">
        <f>'Cost Calculation'!AC21</f>
        <v>0</v>
      </c>
    </row>
    <row r="16" spans="1:21">
      <c r="A16" s="313" t="str">
        <f>'BD Team'!B23</f>
        <v>SW7</v>
      </c>
      <c r="B16" s="313" t="str">
        <f>'BD Team'!C23</f>
        <v>M14600</v>
      </c>
      <c r="C16" s="313" t="str">
        <f>'BD Team'!D23</f>
        <v>3 TRACK 2 SHUTTER SLIDING WINDOW</v>
      </c>
      <c r="D16" s="313" t="str">
        <f>'BD Team'!E23</f>
        <v>13.52MM (ST-167)</v>
      </c>
      <c r="E16" s="313" t="str">
        <f>'BD Team'!G23</f>
        <v>GUEST BEDROOM</v>
      </c>
      <c r="F16" s="313" t="str">
        <f>'BD Team'!F23</f>
        <v>SS</v>
      </c>
      <c r="I16" s="313">
        <f>'BD Team'!H23</f>
        <v>2440</v>
      </c>
      <c r="J16" s="313">
        <f>'BD Team'!I23</f>
        <v>830</v>
      </c>
      <c r="K16" s="313">
        <f>'BD Team'!J23</f>
        <v>2</v>
      </c>
      <c r="L16" s="314">
        <f>'BD Team'!K23</f>
        <v>295.97000000000003</v>
      </c>
      <c r="M16" s="313">
        <f>Pricing!O18</f>
        <v>5276</v>
      </c>
      <c r="N16" s="313">
        <f>Pricing!Q18</f>
        <v>538.19999999999993</v>
      </c>
      <c r="O16" s="313">
        <f>Pricing!R18</f>
        <v>0</v>
      </c>
      <c r="P16" s="313">
        <f>Pricing!S18</f>
        <v>0</v>
      </c>
      <c r="Q16" s="314">
        <f>'Cost Calculation'!L22</f>
        <v>0</v>
      </c>
      <c r="R16" s="314">
        <f>'Cost Calculation'!M22</f>
        <v>0</v>
      </c>
      <c r="S16" s="314">
        <f>'Cost Calculation'!N22</f>
        <v>0</v>
      </c>
      <c r="T16" s="313">
        <f>Pricing!P18</f>
        <v>0</v>
      </c>
      <c r="U16" s="312">
        <f>'Cost Calculation'!AC22</f>
        <v>0</v>
      </c>
    </row>
    <row r="17" spans="1:21">
      <c r="A17" s="313" t="str">
        <f>'BD Team'!B24</f>
        <v>SW8</v>
      </c>
      <c r="B17" s="313" t="str">
        <f>'BD Team'!C24</f>
        <v>M14600</v>
      </c>
      <c r="C17" s="313" t="str">
        <f>'BD Team'!D24</f>
        <v>3 TRACK 2 SHUTTER SLIDING WINDOW</v>
      </c>
      <c r="D17" s="313" t="str">
        <f>'BD Team'!E24</f>
        <v>6MM (ST-167)</v>
      </c>
      <c r="E17" s="313" t="str">
        <f>'BD Team'!G24</f>
        <v>CBR &amp; MBR</v>
      </c>
      <c r="F17" s="313" t="str">
        <f>'BD Team'!F24</f>
        <v>SS</v>
      </c>
      <c r="I17" s="313">
        <f>'BD Team'!H24</f>
        <v>1220</v>
      </c>
      <c r="J17" s="313">
        <f>'BD Team'!I24</f>
        <v>1700</v>
      </c>
      <c r="K17" s="313">
        <f>'BD Team'!J24</f>
        <v>4</v>
      </c>
      <c r="L17" s="314">
        <f>'BD Team'!K24</f>
        <v>312.06</v>
      </c>
      <c r="M17" s="313">
        <f>Pricing!O19</f>
        <v>1870</v>
      </c>
      <c r="N17" s="313">
        <f>Pricing!Q19</f>
        <v>538.19999999999993</v>
      </c>
      <c r="O17" s="313">
        <f>Pricing!R19</f>
        <v>0</v>
      </c>
      <c r="P17" s="313">
        <f>Pricing!S19</f>
        <v>0</v>
      </c>
      <c r="Q17" s="314">
        <f>'Cost Calculation'!L23</f>
        <v>0</v>
      </c>
      <c r="R17" s="314">
        <f>'Cost Calculation'!M23</f>
        <v>0</v>
      </c>
      <c r="S17" s="314">
        <f>'Cost Calculation'!N23</f>
        <v>0</v>
      </c>
      <c r="T17" s="313">
        <f>Pricing!P19</f>
        <v>0</v>
      </c>
      <c r="U17" s="312">
        <f>'Cost Calculation'!AC23</f>
        <v>0</v>
      </c>
    </row>
    <row r="18" spans="1:21">
      <c r="A18" s="313" t="str">
        <f>'BD Team'!B25</f>
        <v>GSG 3</v>
      </c>
      <c r="B18" s="313" t="str">
        <f>'BD Team'!C25</f>
        <v>M900</v>
      </c>
      <c r="C18" s="313" t="str">
        <f>'BD Team'!D25</f>
        <v>CORNOR WINDOW FIXED GLASS</v>
      </c>
      <c r="D18" s="313" t="str">
        <f>'BD Team'!E25</f>
        <v>12MM (ST-167)</v>
      </c>
      <c r="E18" s="313" t="str">
        <f>'BD Team'!G25</f>
        <v>CBR</v>
      </c>
      <c r="F18" s="313" t="str">
        <f>'BD Team'!F25</f>
        <v>NO</v>
      </c>
      <c r="I18" s="313">
        <f>'BD Team'!H25</f>
        <v>3375</v>
      </c>
      <c r="J18" s="313">
        <f>'BD Team'!I25</f>
        <v>2170</v>
      </c>
      <c r="K18" s="313">
        <f>'BD Team'!J25</f>
        <v>1</v>
      </c>
      <c r="L18" s="314">
        <f>'BD Team'!K25</f>
        <v>60.82</v>
      </c>
      <c r="M18" s="313">
        <f>Pricing!O20</f>
        <v>2758</v>
      </c>
      <c r="N18" s="313">
        <f>Pricing!Q20</f>
        <v>0</v>
      </c>
      <c r="O18" s="313">
        <f>Pricing!R20</f>
        <v>0</v>
      </c>
      <c r="P18" s="313">
        <f>Pricing!S20</f>
        <v>0</v>
      </c>
      <c r="Q18" s="314">
        <f>'Cost Calculation'!L24</f>
        <v>0</v>
      </c>
      <c r="R18" s="314">
        <f>'Cost Calculation'!M24</f>
        <v>0</v>
      </c>
      <c r="S18" s="314">
        <f>'Cost Calculation'!N24</f>
        <v>0</v>
      </c>
      <c r="T18" s="313">
        <f>Pricing!P20</f>
        <v>0</v>
      </c>
      <c r="U18" s="312">
        <f>'Cost Calculation'!AC24</f>
        <v>0</v>
      </c>
    </row>
    <row r="19" spans="1:21">
      <c r="A19" s="313" t="str">
        <f>'BD Team'!B26</f>
        <v>CW3</v>
      </c>
      <c r="B19" s="313" t="str">
        <f>'BD Team'!C26</f>
        <v>M940</v>
      </c>
      <c r="C19" s="313" t="str">
        <f>'BD Team'!D26</f>
        <v>SIDE HUNG WINDOW WITH TOP FIXED</v>
      </c>
      <c r="D19" s="313" t="str">
        <f>'BD Team'!E26</f>
        <v>6MM (ST-167)</v>
      </c>
      <c r="E19" s="313" t="str">
        <f>'BD Team'!G26</f>
        <v>CBR</v>
      </c>
      <c r="F19" s="313" t="str">
        <f>'BD Team'!F26</f>
        <v>NO</v>
      </c>
      <c r="I19" s="313">
        <f>'BD Team'!H26</f>
        <v>700</v>
      </c>
      <c r="J19" s="313">
        <f>'BD Team'!I26</f>
        <v>2170</v>
      </c>
      <c r="K19" s="313">
        <f>'BD Team'!J26</f>
        <v>1</v>
      </c>
      <c r="L19" s="314">
        <f>'BD Team'!K26</f>
        <v>161.80000000000001</v>
      </c>
      <c r="M19" s="313">
        <f>Pricing!O21</f>
        <v>1870</v>
      </c>
      <c r="N19" s="313">
        <f>Pricing!Q21</f>
        <v>0</v>
      </c>
      <c r="O19" s="313">
        <f>Pricing!R21</f>
        <v>0</v>
      </c>
      <c r="P19" s="313">
        <f>Pricing!S21</f>
        <v>0</v>
      </c>
      <c r="Q19" s="314">
        <f>'Cost Calculation'!L25</f>
        <v>0</v>
      </c>
      <c r="R19" s="314">
        <f>'Cost Calculation'!M25</f>
        <v>0</v>
      </c>
      <c r="S19" s="314">
        <f>'Cost Calculation'!N25</f>
        <v>0</v>
      </c>
      <c r="T19" s="313">
        <f>Pricing!P21</f>
        <v>0</v>
      </c>
      <c r="U19" s="312">
        <f>'Cost Calculation'!AC25</f>
        <v>0</v>
      </c>
    </row>
    <row r="20" spans="1:21">
      <c r="A20" s="313" t="str">
        <f>'BD Team'!B27</f>
        <v>SD3</v>
      </c>
      <c r="B20" s="313" t="str">
        <f>'BD Team'!C27</f>
        <v>M14600</v>
      </c>
      <c r="C20" s="313" t="str">
        <f>'BD Team'!D27</f>
        <v>3 TRACK 2 SHUTTER SLIDING DOOR</v>
      </c>
      <c r="D20" s="313" t="str">
        <f>'BD Team'!E27</f>
        <v>13.52MM (ST-167)</v>
      </c>
      <c r="E20" s="313" t="str">
        <f>'BD Team'!G27</f>
        <v>BALCONY NORTH</v>
      </c>
      <c r="F20" s="313" t="str">
        <f>'BD Team'!F27</f>
        <v>SS</v>
      </c>
      <c r="I20" s="313">
        <f>'BD Team'!H27</f>
        <v>2000</v>
      </c>
      <c r="J20" s="313">
        <f>'BD Team'!I27</f>
        <v>2400</v>
      </c>
      <c r="K20" s="313">
        <f>'BD Team'!J27</f>
        <v>1</v>
      </c>
      <c r="L20" s="314">
        <f>'BD Team'!K27</f>
        <v>412.36</v>
      </c>
      <c r="M20" s="313">
        <f>Pricing!O22</f>
        <v>5276</v>
      </c>
      <c r="N20" s="313">
        <f>Pricing!Q22</f>
        <v>538.19999999999993</v>
      </c>
      <c r="O20" s="313">
        <f>Pricing!R22</f>
        <v>0</v>
      </c>
      <c r="P20" s="313">
        <f>Pricing!S22</f>
        <v>0</v>
      </c>
      <c r="Q20" s="314">
        <f>'Cost Calculation'!L26</f>
        <v>0</v>
      </c>
      <c r="R20" s="314">
        <f>'Cost Calculation'!M26</f>
        <v>0</v>
      </c>
      <c r="S20" s="314">
        <f>'Cost Calculation'!N26</f>
        <v>0</v>
      </c>
      <c r="T20" s="313">
        <f>Pricing!P22</f>
        <v>0</v>
      </c>
      <c r="U20" s="312">
        <f>'Cost Calculation'!AC26</f>
        <v>0</v>
      </c>
    </row>
    <row r="21" spans="1:21">
      <c r="A21" s="313" t="str">
        <f>'BD Team'!B28</f>
        <v>CW5</v>
      </c>
      <c r="B21" s="313" t="str">
        <f>'BD Team'!C28</f>
        <v>M940</v>
      </c>
      <c r="C21" s="313" t="str">
        <f>'BD Team'!D28</f>
        <v>FIXED GLASS 2 NO'S</v>
      </c>
      <c r="D21" s="313" t="str">
        <f>'BD Team'!E28</f>
        <v>12MM (ST-167)</v>
      </c>
      <c r="E21" s="313" t="str">
        <f>'BD Team'!G28</f>
        <v>GYM</v>
      </c>
      <c r="F21" s="313" t="str">
        <f>'BD Team'!F28</f>
        <v>NO</v>
      </c>
      <c r="I21" s="313">
        <f>'BD Team'!H28</f>
        <v>3900</v>
      </c>
      <c r="J21" s="313">
        <f>'BD Team'!I28</f>
        <v>2400</v>
      </c>
      <c r="K21" s="313">
        <f>'BD Team'!J28</f>
        <v>1</v>
      </c>
      <c r="L21" s="314">
        <f>'BD Team'!K28</f>
        <v>156.53</v>
      </c>
      <c r="M21" s="313">
        <f>Pricing!O23</f>
        <v>2758</v>
      </c>
      <c r="N21" s="313">
        <f>Pricing!Q23</f>
        <v>0</v>
      </c>
      <c r="O21" s="313">
        <f>Pricing!R23</f>
        <v>0</v>
      </c>
      <c r="P21" s="313">
        <f>Pricing!S23</f>
        <v>0</v>
      </c>
      <c r="Q21" s="314">
        <f>'Cost Calculation'!L27</f>
        <v>0</v>
      </c>
      <c r="R21" s="314">
        <f>'Cost Calculation'!M27</f>
        <v>0</v>
      </c>
      <c r="S21" s="314">
        <f>'Cost Calculation'!N27</f>
        <v>0</v>
      </c>
      <c r="T21" s="313">
        <f>Pricing!P23</f>
        <v>0</v>
      </c>
      <c r="U21" s="312">
        <f>'Cost Calculation'!AC27</f>
        <v>0</v>
      </c>
    </row>
    <row r="22" spans="1:21">
      <c r="A22" s="313" t="str">
        <f>'BD Team'!B29</f>
        <v>V1</v>
      </c>
      <c r="B22" s="313" t="str">
        <f>'BD Team'!C29</f>
        <v>M940</v>
      </c>
      <c r="C22" s="313" t="str">
        <f>'BD Team'!D29</f>
        <v>TOP HUNG WINDOW WITH BOTTOM FIXED</v>
      </c>
      <c r="D22" s="313" t="str">
        <f>'BD Team'!E29</f>
        <v>6MM (F)</v>
      </c>
      <c r="E22" s="313" t="str">
        <f>'BD Team'!G29</f>
        <v>GYM TOILET</v>
      </c>
      <c r="F22" s="313" t="str">
        <f>'BD Team'!F29</f>
        <v>NO</v>
      </c>
      <c r="I22" s="313">
        <f>'BD Team'!H29</f>
        <v>760</v>
      </c>
      <c r="J22" s="313">
        <f>'BD Team'!I29</f>
        <v>1720</v>
      </c>
      <c r="K22" s="313">
        <f>'BD Team'!J29</f>
        <v>1</v>
      </c>
      <c r="L22" s="314">
        <f>'BD Team'!K29</f>
        <v>158.41</v>
      </c>
      <c r="M22" s="313">
        <f>Pricing!O24</f>
        <v>2003</v>
      </c>
      <c r="N22" s="313">
        <f>Pricing!Q24</f>
        <v>0</v>
      </c>
      <c r="O22" s="313">
        <f>Pricing!R24</f>
        <v>0</v>
      </c>
      <c r="P22" s="313">
        <f>Pricing!S24</f>
        <v>0</v>
      </c>
      <c r="Q22" s="314">
        <f>'Cost Calculation'!L28</f>
        <v>0</v>
      </c>
      <c r="R22" s="314">
        <f>'Cost Calculation'!M28</f>
        <v>0</v>
      </c>
      <c r="S22" s="314">
        <f>'Cost Calculation'!N28</f>
        <v>0</v>
      </c>
      <c r="T22" s="313">
        <f>Pricing!P24</f>
        <v>0</v>
      </c>
      <c r="U22" s="312">
        <f>'Cost Calculation'!AC28</f>
        <v>0</v>
      </c>
    </row>
    <row r="23" spans="1:21">
      <c r="A23" s="313" t="str">
        <f>'BD Team'!B30</f>
        <v>CW6</v>
      </c>
      <c r="B23" s="313" t="str">
        <f>'BD Team'!C30</f>
        <v>M940</v>
      </c>
      <c r="C23" s="313" t="str">
        <f>'BD Team'!D30</f>
        <v>FIXED GLASS 2 NO'S</v>
      </c>
      <c r="D23" s="313" t="str">
        <f>'BD Team'!E30</f>
        <v>18.28MM (ST-167)</v>
      </c>
      <c r="E23" s="313" t="str">
        <f>'BD Team'!G30</f>
        <v>GYM</v>
      </c>
      <c r="F23" s="313" t="str">
        <f>'BD Team'!F30</f>
        <v>NO</v>
      </c>
      <c r="I23" s="313">
        <f>'BD Team'!H30</f>
        <v>3585</v>
      </c>
      <c r="J23" s="313">
        <f>'BD Team'!I30</f>
        <v>2800</v>
      </c>
      <c r="K23" s="313">
        <f>'BD Team'!J30</f>
        <v>1</v>
      </c>
      <c r="L23" s="314">
        <f>'BD Team'!K30</f>
        <v>210.33</v>
      </c>
      <c r="M23" s="313">
        <f>Pricing!O25</f>
        <v>7253</v>
      </c>
      <c r="N23" s="313">
        <f>Pricing!Q25</f>
        <v>0</v>
      </c>
      <c r="O23" s="313">
        <f>Pricing!R25</f>
        <v>0</v>
      </c>
      <c r="P23" s="313">
        <f>Pricing!S25</f>
        <v>0</v>
      </c>
      <c r="Q23" s="314">
        <f>'Cost Calculation'!L29</f>
        <v>0</v>
      </c>
      <c r="R23" s="314">
        <f>'Cost Calculation'!M29</f>
        <v>0</v>
      </c>
      <c r="S23" s="314">
        <f>'Cost Calculation'!N29</f>
        <v>0</v>
      </c>
      <c r="T23" s="313">
        <f>Pricing!P25</f>
        <v>0</v>
      </c>
      <c r="U23" s="312">
        <f>'Cost Calculation'!AC29</f>
        <v>0</v>
      </c>
    </row>
    <row r="24" spans="1:21">
      <c r="A24" s="313" t="str">
        <f>'BD Team'!B31</f>
        <v>SW9</v>
      </c>
      <c r="B24" s="313" t="str">
        <f>'BD Team'!C31</f>
        <v>M14600</v>
      </c>
      <c r="C24" s="313" t="str">
        <f>'BD Team'!D31</f>
        <v>3 TRACK 2 SHUTTER SLIDING WINDOW</v>
      </c>
      <c r="D24" s="313" t="str">
        <f>'BD Team'!E31</f>
        <v>6MM (ST-167)</v>
      </c>
      <c r="E24" s="313" t="str">
        <f>'BD Team'!G31</f>
        <v>POOL</v>
      </c>
      <c r="F24" s="313" t="str">
        <f>'BD Team'!F31</f>
        <v>SS</v>
      </c>
      <c r="I24" s="313">
        <f>'BD Team'!H31</f>
        <v>1160</v>
      </c>
      <c r="J24" s="313">
        <f>'BD Team'!I31</f>
        <v>1670</v>
      </c>
      <c r="K24" s="313">
        <f>'BD Team'!J31</f>
        <v>2</v>
      </c>
      <c r="L24" s="314">
        <f>'BD Team'!K31</f>
        <v>305.93</v>
      </c>
      <c r="M24" s="313">
        <f>Pricing!O26</f>
        <v>1870</v>
      </c>
      <c r="N24" s="313">
        <f>Pricing!Q26</f>
        <v>538.19999999999993</v>
      </c>
      <c r="O24" s="313">
        <f>Pricing!R26</f>
        <v>0</v>
      </c>
      <c r="P24" s="313">
        <f>Pricing!S26</f>
        <v>0</v>
      </c>
      <c r="Q24" s="314">
        <f>'Cost Calculation'!L30</f>
        <v>0</v>
      </c>
      <c r="R24" s="314">
        <f>'Cost Calculation'!M30</f>
        <v>0</v>
      </c>
      <c r="S24" s="314">
        <f>'Cost Calculation'!N30</f>
        <v>0</v>
      </c>
      <c r="T24" s="313">
        <f>Pricing!P26</f>
        <v>0</v>
      </c>
      <c r="U24" s="312">
        <f>'Cost Calculation'!AC30</f>
        <v>0</v>
      </c>
    </row>
    <row r="25" spans="1:21">
      <c r="A25" s="313" t="str">
        <f>'BD Team'!B32</f>
        <v>CW7</v>
      </c>
      <c r="B25" s="313" t="str">
        <f>'BD Team'!C32</f>
        <v>M940</v>
      </c>
      <c r="C25" s="313" t="str">
        <f>'BD Team'!D32</f>
        <v>FIXED GLASS</v>
      </c>
      <c r="D25" s="313" t="str">
        <f>'BD Team'!E32</f>
        <v>18.28MM (ST-167)</v>
      </c>
      <c r="E25" s="313" t="str">
        <f>'BD Team'!G32</f>
        <v>POOL</v>
      </c>
      <c r="F25" s="313" t="str">
        <f>'BD Team'!F32</f>
        <v>NO</v>
      </c>
      <c r="I25" s="313">
        <f>'BD Team'!H32</f>
        <v>2300</v>
      </c>
      <c r="J25" s="313">
        <f>'BD Team'!I32</f>
        <v>2380</v>
      </c>
      <c r="K25" s="313">
        <f>'BD Team'!J32</f>
        <v>1</v>
      </c>
      <c r="L25" s="314">
        <f>'BD Team'!K32</f>
        <v>71.650000000000006</v>
      </c>
      <c r="M25" s="313">
        <f>Pricing!O27</f>
        <v>7253</v>
      </c>
      <c r="N25" s="313">
        <f>Pricing!Q27</f>
        <v>0</v>
      </c>
      <c r="O25" s="313">
        <f>Pricing!R27</f>
        <v>0</v>
      </c>
      <c r="P25" s="313">
        <f>Pricing!S27</f>
        <v>0</v>
      </c>
      <c r="Q25" s="314">
        <f>'Cost Calculation'!L31</f>
        <v>0</v>
      </c>
      <c r="R25" s="314">
        <f>'Cost Calculation'!M31</f>
        <v>0</v>
      </c>
      <c r="S25" s="314">
        <f>'Cost Calculation'!N31</f>
        <v>0</v>
      </c>
      <c r="T25" s="313">
        <f>Pricing!P27</f>
        <v>0</v>
      </c>
      <c r="U25" s="312">
        <f>'Cost Calculation'!AC31</f>
        <v>0</v>
      </c>
    </row>
    <row r="26" spans="1:21">
      <c r="A26" s="313" t="str">
        <f>'BD Team'!B33</f>
        <v>CW8</v>
      </c>
      <c r="B26" s="313" t="str">
        <f>'BD Team'!C33</f>
        <v>M940</v>
      </c>
      <c r="C26" s="313" t="str">
        <f>'BD Team'!D33</f>
        <v>FIXED GLASS 2 NO'S</v>
      </c>
      <c r="D26" s="313" t="str">
        <f>'BD Team'!E33</f>
        <v>18.28MM (ST-167)</v>
      </c>
      <c r="E26" s="313" t="str">
        <f>'BD Team'!G33</f>
        <v>GYM</v>
      </c>
      <c r="F26" s="313" t="str">
        <f>'BD Team'!F33</f>
        <v>NO</v>
      </c>
      <c r="I26" s="313">
        <f>'BD Team'!H33</f>
        <v>3060</v>
      </c>
      <c r="J26" s="313">
        <f>'BD Team'!I33</f>
        <v>2480</v>
      </c>
      <c r="K26" s="313">
        <f>'BD Team'!J33</f>
        <v>1</v>
      </c>
      <c r="L26" s="314">
        <f>'BD Team'!K33</f>
        <v>185.81</v>
      </c>
      <c r="M26" s="313">
        <f>Pricing!O28</f>
        <v>7253</v>
      </c>
      <c r="N26" s="313">
        <f>Pricing!Q28</f>
        <v>0</v>
      </c>
      <c r="O26" s="313">
        <f>Pricing!R28</f>
        <v>0</v>
      </c>
      <c r="P26" s="313">
        <f>Pricing!S28</f>
        <v>0</v>
      </c>
      <c r="Q26" s="314">
        <f>'Cost Calculation'!L32</f>
        <v>0</v>
      </c>
      <c r="R26" s="314">
        <f>'Cost Calculation'!M32</f>
        <v>0</v>
      </c>
      <c r="S26" s="314">
        <f>'Cost Calculation'!N32</f>
        <v>0</v>
      </c>
      <c r="T26" s="313">
        <f>Pricing!P28</f>
        <v>0</v>
      </c>
      <c r="U26" s="312">
        <f>'Cost Calculation'!AC32</f>
        <v>0</v>
      </c>
    </row>
    <row r="27" spans="1:21">
      <c r="A27" s="313" t="str">
        <f>'BD Team'!B34</f>
        <v>CW9</v>
      </c>
      <c r="B27" s="313" t="str">
        <f>'BD Team'!C34</f>
        <v>M940</v>
      </c>
      <c r="C27" s="313" t="str">
        <f>'BD Team'!D34</f>
        <v>FIXED GLASS 2 NO'S</v>
      </c>
      <c r="D27" s="313" t="str">
        <f>'BD Team'!E34</f>
        <v>18.28MM (ST-167)</v>
      </c>
      <c r="E27" s="313" t="str">
        <f>'BD Team'!G34</f>
        <v>POOL &amp; BAR</v>
      </c>
      <c r="F27" s="313" t="str">
        <f>'BD Team'!F34</f>
        <v>NO</v>
      </c>
      <c r="I27" s="313">
        <f>'BD Team'!H34</f>
        <v>2650</v>
      </c>
      <c r="J27" s="313">
        <f>'BD Team'!I34</f>
        <v>2480</v>
      </c>
      <c r="K27" s="313">
        <f>'BD Team'!J34</f>
        <v>2</v>
      </c>
      <c r="L27" s="314">
        <f>'BD Team'!K34</f>
        <v>150.84</v>
      </c>
      <c r="M27" s="313">
        <f>Pricing!O29</f>
        <v>7253</v>
      </c>
      <c r="N27" s="313">
        <f>Pricing!Q29</f>
        <v>0</v>
      </c>
      <c r="O27" s="313">
        <f>Pricing!R29</f>
        <v>0</v>
      </c>
      <c r="P27" s="313">
        <f>Pricing!S29</f>
        <v>0</v>
      </c>
      <c r="Q27" s="314">
        <f>'Cost Calculation'!L33</f>
        <v>0</v>
      </c>
      <c r="R27" s="314">
        <f>'Cost Calculation'!M33</f>
        <v>0</v>
      </c>
      <c r="S27" s="314">
        <f>'Cost Calculation'!N33</f>
        <v>0</v>
      </c>
      <c r="T27" s="313">
        <f>Pricing!P29</f>
        <v>0</v>
      </c>
      <c r="U27" s="312">
        <f>'Cost Calculation'!AC33</f>
        <v>0</v>
      </c>
    </row>
    <row r="28" spans="1:21">
      <c r="A28" s="313" t="str">
        <f>'BD Team'!B35</f>
        <v>CW10</v>
      </c>
      <c r="B28" s="313" t="str">
        <f>'BD Team'!C35</f>
        <v>M940</v>
      </c>
      <c r="C28" s="313" t="str">
        <f>'BD Team'!D35</f>
        <v>FRENCH CASEMENT WINDOW</v>
      </c>
      <c r="D28" s="313" t="str">
        <f>'BD Team'!E35</f>
        <v>18.28MM (ST-167)</v>
      </c>
      <c r="E28" s="313" t="str">
        <f>'BD Team'!G35</f>
        <v>HOME THEATER</v>
      </c>
      <c r="F28" s="313" t="str">
        <f>'BD Team'!F35</f>
        <v>NO</v>
      </c>
      <c r="I28" s="313">
        <f>'BD Team'!H35</f>
        <v>1220</v>
      </c>
      <c r="J28" s="313">
        <f>'BD Team'!I35</f>
        <v>1220</v>
      </c>
      <c r="K28" s="313">
        <f>'BD Team'!J35</f>
        <v>1</v>
      </c>
      <c r="L28" s="314">
        <f>'BD Team'!K35</f>
        <v>192.14</v>
      </c>
      <c r="M28" s="313">
        <f>Pricing!O30</f>
        <v>7253</v>
      </c>
      <c r="N28" s="313">
        <f>Pricing!Q30</f>
        <v>0</v>
      </c>
      <c r="O28" s="313">
        <f>Pricing!R30</f>
        <v>0</v>
      </c>
      <c r="P28" s="313">
        <f>Pricing!S30</f>
        <v>0</v>
      </c>
      <c r="Q28" s="314">
        <f>'Cost Calculation'!L34</f>
        <v>0</v>
      </c>
      <c r="R28" s="314">
        <f>'Cost Calculation'!M34</f>
        <v>0</v>
      </c>
      <c r="S28" s="314">
        <f>'Cost Calculation'!N34</f>
        <v>0</v>
      </c>
      <c r="T28" s="313">
        <f>Pricing!P30</f>
        <v>0</v>
      </c>
      <c r="U28" s="312">
        <f>'Cost Calculation'!AC34</f>
        <v>0</v>
      </c>
    </row>
    <row r="29" spans="1:21">
      <c r="A29" s="313" t="str">
        <f>'BD Team'!B36</f>
        <v>SW10</v>
      </c>
      <c r="B29" s="313" t="str">
        <f>'BD Team'!C36</f>
        <v>M900</v>
      </c>
      <c r="C29" s="313" t="str">
        <f>'BD Team'!D36</f>
        <v>3 TRACK 2 SHUTTER SLIDING WINDOW</v>
      </c>
      <c r="D29" s="313" t="str">
        <f>'BD Team'!E36</f>
        <v>6MM (ST-167)</v>
      </c>
      <c r="E29" s="313" t="str">
        <f>'BD Team'!G36</f>
        <v>STAIRCASE</v>
      </c>
      <c r="F29" s="313" t="str">
        <f>'BD Team'!F36</f>
        <v>SS</v>
      </c>
      <c r="I29" s="313">
        <f>'BD Team'!H36</f>
        <v>2440</v>
      </c>
      <c r="J29" s="313">
        <f>'BD Team'!I36</f>
        <v>1220</v>
      </c>
      <c r="K29" s="313">
        <f>'BD Team'!J36</f>
        <v>2</v>
      </c>
      <c r="L29" s="314">
        <f>'BD Team'!K36</f>
        <v>160.13999999999999</v>
      </c>
      <c r="M29" s="313">
        <f>Pricing!O31</f>
        <v>1870</v>
      </c>
      <c r="N29" s="313">
        <f>Pricing!Q31</f>
        <v>538.19999999999993</v>
      </c>
      <c r="O29" s="313">
        <f>Pricing!R31</f>
        <v>0</v>
      </c>
      <c r="P29" s="313">
        <f>Pricing!S31</f>
        <v>0</v>
      </c>
      <c r="Q29" s="314">
        <f>'Cost Calculation'!L35</f>
        <v>0</v>
      </c>
      <c r="R29" s="314">
        <f>'Cost Calculation'!M35</f>
        <v>0</v>
      </c>
      <c r="S29" s="314">
        <f>'Cost Calculation'!N35</f>
        <v>0</v>
      </c>
      <c r="T29" s="313">
        <f>Pricing!P31</f>
        <v>0</v>
      </c>
      <c r="U29" s="312">
        <f>'Cost Calculation'!AC35</f>
        <v>0</v>
      </c>
    </row>
    <row r="30" spans="1:21">
      <c r="A30" s="313" t="str">
        <f>'BD Team'!B37</f>
        <v>SW11</v>
      </c>
      <c r="B30" s="313" t="str">
        <f>'BD Team'!C37</f>
        <v>M900</v>
      </c>
      <c r="C30" s="313" t="str">
        <f>'BD Team'!D37</f>
        <v>3 TRACK 2 SHUTTER SLIDING WINDOW</v>
      </c>
      <c r="D30" s="313" t="str">
        <f>'BD Team'!E37</f>
        <v>6MM (ST-167)</v>
      </c>
      <c r="E30" s="313" t="str">
        <f>'BD Team'!G37</f>
        <v>DOG ROOM</v>
      </c>
      <c r="F30" s="313" t="str">
        <f>'BD Team'!F37</f>
        <v>SS</v>
      </c>
      <c r="I30" s="313">
        <f>'BD Team'!H37</f>
        <v>915</v>
      </c>
      <c r="J30" s="313">
        <f>'BD Team'!I37</f>
        <v>1220</v>
      </c>
      <c r="K30" s="313">
        <f>'BD Team'!J37</f>
        <v>2</v>
      </c>
      <c r="L30" s="314">
        <f>'BD Team'!K37</f>
        <v>117.41</v>
      </c>
      <c r="M30" s="313">
        <f>Pricing!O32</f>
        <v>1870</v>
      </c>
      <c r="N30" s="313">
        <f>Pricing!Q32</f>
        <v>538.19999999999993</v>
      </c>
      <c r="O30" s="313">
        <f>Pricing!R32</f>
        <v>0</v>
      </c>
      <c r="P30" s="313">
        <f>Pricing!S32</f>
        <v>0</v>
      </c>
      <c r="Q30" s="314">
        <f>'Cost Calculation'!L36</f>
        <v>0</v>
      </c>
      <c r="R30" s="314">
        <f>'Cost Calculation'!M36</f>
        <v>0</v>
      </c>
      <c r="S30" s="314">
        <f>'Cost Calculation'!N36</f>
        <v>0</v>
      </c>
      <c r="T30" s="313">
        <f>Pricing!P32</f>
        <v>0</v>
      </c>
      <c r="U30" s="312">
        <f>'Cost Calculation'!AC36</f>
        <v>0</v>
      </c>
    </row>
    <row r="31" spans="1:21">
      <c r="A31" s="313" t="str">
        <f>'BD Team'!B38</f>
        <v>V2</v>
      </c>
      <c r="B31" s="313" t="str">
        <f>'BD Team'!C38</f>
        <v>M940</v>
      </c>
      <c r="C31" s="313" t="str">
        <f>'BD Team'!D38</f>
        <v>TOP HUNG WINDOW</v>
      </c>
      <c r="D31" s="313" t="str">
        <f>'BD Team'!E38</f>
        <v>6MM (F)</v>
      </c>
      <c r="E31" s="313" t="str">
        <f>'BD Team'!G38</f>
        <v>TOILET CELLAR</v>
      </c>
      <c r="F31" s="313" t="str">
        <f>'BD Team'!F38</f>
        <v>NO</v>
      </c>
      <c r="I31" s="313">
        <f>'BD Team'!H38</f>
        <v>760</v>
      </c>
      <c r="J31" s="313">
        <f>'BD Team'!I38</f>
        <v>910</v>
      </c>
      <c r="K31" s="313">
        <f>'BD Team'!J38</f>
        <v>2</v>
      </c>
      <c r="L31" s="314">
        <f>'BD Team'!K38</f>
        <v>122.64</v>
      </c>
      <c r="M31" s="313">
        <f>Pricing!O33</f>
        <v>2003</v>
      </c>
      <c r="N31" s="313">
        <f>Pricing!Q33</f>
        <v>0</v>
      </c>
      <c r="O31" s="313">
        <f>Pricing!R33</f>
        <v>0</v>
      </c>
      <c r="P31" s="313">
        <f>Pricing!S33</f>
        <v>0</v>
      </c>
      <c r="Q31" s="314">
        <f>'Cost Calculation'!L37</f>
        <v>0</v>
      </c>
      <c r="R31" s="314">
        <f>'Cost Calculation'!M37</f>
        <v>0</v>
      </c>
      <c r="S31" s="314">
        <f>'Cost Calculation'!N37</f>
        <v>0</v>
      </c>
      <c r="T31" s="313">
        <f>Pricing!P33</f>
        <v>0</v>
      </c>
      <c r="U31" s="312">
        <f>'Cost Calculation'!AC37</f>
        <v>0</v>
      </c>
    </row>
    <row r="32" spans="1:21">
      <c r="A32" s="313" t="str">
        <f>'BD Team'!B39</f>
        <v>SW12</v>
      </c>
      <c r="B32" s="313" t="str">
        <f>'BD Team'!C39</f>
        <v>M900</v>
      </c>
      <c r="C32" s="313" t="str">
        <f>'BD Team'!D39</f>
        <v>3 TRACK 2 SHUTTER SLIDING WINDOW</v>
      </c>
      <c r="D32" s="313" t="str">
        <f>'BD Team'!E39</f>
        <v>6MM</v>
      </c>
      <c r="E32" s="313" t="str">
        <f>'BD Team'!G39</f>
        <v>OFFICE</v>
      </c>
      <c r="F32" s="313" t="str">
        <f>'BD Team'!F39</f>
        <v>SS</v>
      </c>
      <c r="I32" s="313">
        <f>'BD Team'!H39</f>
        <v>1220</v>
      </c>
      <c r="J32" s="313">
        <f>'BD Team'!I39</f>
        <v>1350</v>
      </c>
      <c r="K32" s="313">
        <f>'BD Team'!J39</f>
        <v>1</v>
      </c>
      <c r="L32" s="314">
        <f>'BD Team'!K39</f>
        <v>132.21</v>
      </c>
      <c r="M32" s="313">
        <f>Pricing!O34</f>
        <v>1002</v>
      </c>
      <c r="N32" s="313">
        <f>Pricing!Q34</f>
        <v>538.19999999999993</v>
      </c>
      <c r="O32" s="313">
        <f>Pricing!R34</f>
        <v>0</v>
      </c>
      <c r="P32" s="313">
        <f>Pricing!S34</f>
        <v>0</v>
      </c>
      <c r="Q32" s="314">
        <f>'Cost Calculation'!L38</f>
        <v>0</v>
      </c>
      <c r="R32" s="314">
        <f>'Cost Calculation'!M38</f>
        <v>0</v>
      </c>
      <c r="S32" s="314">
        <f>'Cost Calculation'!N38</f>
        <v>0</v>
      </c>
      <c r="T32" s="313">
        <f>Pricing!P34</f>
        <v>0</v>
      </c>
      <c r="U32" s="312">
        <f>'Cost Calculation'!AC38</f>
        <v>0</v>
      </c>
    </row>
    <row r="33" spans="1:21">
      <c r="A33" s="313" t="str">
        <f>'BD Team'!B40</f>
        <v>SW13</v>
      </c>
      <c r="B33" s="313" t="str">
        <f>'BD Team'!C40</f>
        <v>M900</v>
      </c>
      <c r="C33" s="313" t="str">
        <f>'BD Team'!D40</f>
        <v>3 TRACK 2 SHUTTER SLIDING WINDOW</v>
      </c>
      <c r="D33" s="313" t="str">
        <f>'BD Team'!E40</f>
        <v>6MM</v>
      </c>
      <c r="E33" s="313" t="str">
        <f>'BD Team'!G40</f>
        <v>DRIVER / SERVANT</v>
      </c>
      <c r="F33" s="313" t="str">
        <f>'BD Team'!F40</f>
        <v>SS</v>
      </c>
      <c r="I33" s="313">
        <f>'BD Team'!H40</f>
        <v>1220</v>
      </c>
      <c r="J33" s="313">
        <f>'BD Team'!I40</f>
        <v>1350</v>
      </c>
      <c r="K33" s="313">
        <f>'BD Team'!J40</f>
        <v>2</v>
      </c>
      <c r="L33" s="314">
        <f>'BD Team'!K40</f>
        <v>132.21</v>
      </c>
      <c r="M33" s="313">
        <f>Pricing!O35</f>
        <v>1002</v>
      </c>
      <c r="N33" s="313">
        <f>Pricing!Q35</f>
        <v>538.19999999999993</v>
      </c>
      <c r="O33" s="313">
        <f>Pricing!R35</f>
        <v>0</v>
      </c>
      <c r="P33" s="313">
        <f>Pricing!S35</f>
        <v>0</v>
      </c>
      <c r="Q33" s="314">
        <f>'Cost Calculation'!L39</f>
        <v>0</v>
      </c>
      <c r="R33" s="314">
        <f>'Cost Calculation'!M39</f>
        <v>0</v>
      </c>
      <c r="S33" s="314">
        <f>'Cost Calculation'!N39</f>
        <v>0</v>
      </c>
      <c r="T33" s="313">
        <f>Pricing!P35</f>
        <v>0</v>
      </c>
      <c r="U33" s="312">
        <f>'Cost Calculation'!AC39</f>
        <v>0</v>
      </c>
    </row>
    <row r="34" spans="1:21">
      <c r="A34" s="313" t="str">
        <f>'BD Team'!B41</f>
        <v>CW12</v>
      </c>
      <c r="B34" s="313" t="str">
        <f>'BD Team'!C41</f>
        <v>M940</v>
      </c>
      <c r="C34" s="313" t="str">
        <f>'BD Team'!D41</f>
        <v>FRENCH CASEMENT WINDOW</v>
      </c>
      <c r="D34" s="313" t="str">
        <f>'BD Team'!E41</f>
        <v>6MM</v>
      </c>
      <c r="E34" s="313" t="str">
        <f>'BD Team'!G41</f>
        <v>SERVANT HALL</v>
      </c>
      <c r="F34" s="313" t="str">
        <f>'BD Team'!F41</f>
        <v>NO</v>
      </c>
      <c r="I34" s="313">
        <f>'BD Team'!H41</f>
        <v>915</v>
      </c>
      <c r="J34" s="313">
        <f>'BD Team'!I41</f>
        <v>1365</v>
      </c>
      <c r="K34" s="313">
        <f>'BD Team'!J41</f>
        <v>1</v>
      </c>
      <c r="L34" s="314">
        <f>'BD Team'!K41</f>
        <v>189.79</v>
      </c>
      <c r="M34" s="313">
        <f>Pricing!O36</f>
        <v>1002</v>
      </c>
      <c r="N34" s="313">
        <f>Pricing!Q36</f>
        <v>0</v>
      </c>
      <c r="O34" s="313">
        <f>Pricing!R36</f>
        <v>0</v>
      </c>
      <c r="P34" s="313">
        <f>Pricing!S36</f>
        <v>0</v>
      </c>
      <c r="Q34" s="314">
        <f>'Cost Calculation'!L40</f>
        <v>0</v>
      </c>
      <c r="R34" s="314">
        <f>'Cost Calculation'!M40</f>
        <v>0</v>
      </c>
      <c r="S34" s="314">
        <f>'Cost Calculation'!N40</f>
        <v>0</v>
      </c>
      <c r="T34" s="313">
        <f>Pricing!P36</f>
        <v>0</v>
      </c>
      <c r="U34" s="312">
        <f>'Cost Calculation'!AC40</f>
        <v>0</v>
      </c>
    </row>
    <row r="35" spans="1:21">
      <c r="A35" s="313" t="str">
        <f>'BD Team'!B42</f>
        <v>CW13</v>
      </c>
      <c r="B35" s="313" t="str">
        <f>'BD Team'!C42</f>
        <v>M940</v>
      </c>
      <c r="C35" s="313" t="str">
        <f>'BD Team'!D42</f>
        <v>SIDE HUNG WINDOW</v>
      </c>
      <c r="D35" s="313" t="str">
        <f>'BD Team'!E42</f>
        <v>6MM</v>
      </c>
      <c r="E35" s="313" t="str">
        <f>'BD Team'!G42</f>
        <v>SERVANT KITCHEN</v>
      </c>
      <c r="F35" s="313" t="str">
        <f>'BD Team'!F42</f>
        <v>NO</v>
      </c>
      <c r="I35" s="313">
        <f>'BD Team'!H42</f>
        <v>720</v>
      </c>
      <c r="J35" s="313">
        <f>'BD Team'!I42</f>
        <v>1365</v>
      </c>
      <c r="K35" s="313">
        <f>'BD Team'!J42</f>
        <v>2</v>
      </c>
      <c r="L35" s="314">
        <f>'BD Team'!K42</f>
        <v>117.9</v>
      </c>
      <c r="M35" s="313">
        <f>Pricing!O37</f>
        <v>1002</v>
      </c>
      <c r="N35" s="313">
        <f>Pricing!Q37</f>
        <v>0</v>
      </c>
      <c r="O35" s="313">
        <f>Pricing!R37</f>
        <v>0</v>
      </c>
      <c r="P35" s="313">
        <f>Pricing!S37</f>
        <v>0</v>
      </c>
      <c r="Q35" s="314">
        <f>'Cost Calculation'!L41</f>
        <v>0</v>
      </c>
      <c r="R35" s="314">
        <f>'Cost Calculation'!M41</f>
        <v>0</v>
      </c>
      <c r="S35" s="314">
        <f>'Cost Calculation'!N41</f>
        <v>0</v>
      </c>
      <c r="T35" s="313">
        <f>Pricing!P37</f>
        <v>0</v>
      </c>
      <c r="U35" s="312">
        <f>'Cost Calculation'!AC41</f>
        <v>0</v>
      </c>
    </row>
    <row r="36" spans="1:21">
      <c r="A36" s="313" t="str">
        <f>'BD Team'!B43</f>
        <v>CW14</v>
      </c>
      <c r="B36" s="313" t="str">
        <f>'BD Team'!C43</f>
        <v>M940</v>
      </c>
      <c r="C36" s="313" t="str">
        <f>'BD Team'!D43</f>
        <v>SIDE HUNG WINDOW</v>
      </c>
      <c r="D36" s="313" t="str">
        <f>'BD Team'!E43</f>
        <v>6MM</v>
      </c>
      <c r="E36" s="313" t="str">
        <f>'BD Team'!G43</f>
        <v>SERVANT KITCHEN</v>
      </c>
      <c r="F36" s="313" t="str">
        <f>'BD Team'!F43</f>
        <v>NO</v>
      </c>
      <c r="I36" s="313">
        <f>'BD Team'!H43</f>
        <v>720</v>
      </c>
      <c r="J36" s="313">
        <f>'BD Team'!I43</f>
        <v>1220</v>
      </c>
      <c r="K36" s="313">
        <f>'BD Team'!J43</f>
        <v>1</v>
      </c>
      <c r="L36" s="314">
        <f>'BD Team'!K43</f>
        <v>109.08</v>
      </c>
      <c r="M36" s="313">
        <f>Pricing!O38</f>
        <v>1002</v>
      </c>
      <c r="N36" s="313">
        <f>Pricing!Q38</f>
        <v>0</v>
      </c>
      <c r="O36" s="313">
        <f>Pricing!R38</f>
        <v>0</v>
      </c>
      <c r="P36" s="313">
        <f>Pricing!S38</f>
        <v>0</v>
      </c>
      <c r="Q36" s="314">
        <f>'Cost Calculation'!L42</f>
        <v>0</v>
      </c>
      <c r="R36" s="314">
        <f>'Cost Calculation'!M42</f>
        <v>0</v>
      </c>
      <c r="S36" s="314">
        <f>'Cost Calculation'!N42</f>
        <v>0</v>
      </c>
      <c r="T36" s="313">
        <f>Pricing!P38</f>
        <v>0</v>
      </c>
      <c r="U36" s="312">
        <f>'Cost Calculation'!AC42</f>
        <v>0</v>
      </c>
    </row>
    <row r="37" spans="1:21">
      <c r="A37" s="313" t="str">
        <f>'BD Team'!B44</f>
        <v>V4</v>
      </c>
      <c r="B37" s="313" t="str">
        <f>'BD Team'!C44</f>
        <v>M940</v>
      </c>
      <c r="C37" s="313" t="str">
        <f>'BD Team'!D44</f>
        <v>TOP HUNG WINDOW</v>
      </c>
      <c r="D37" s="313" t="str">
        <f>'BD Team'!E44</f>
        <v>6MM (F)</v>
      </c>
      <c r="E37" s="313" t="str">
        <f>'BD Team'!G44</f>
        <v>TOILET</v>
      </c>
      <c r="F37" s="313" t="str">
        <f>'BD Team'!F44</f>
        <v>NO</v>
      </c>
      <c r="I37" s="313">
        <f>'BD Team'!H44</f>
        <v>760</v>
      </c>
      <c r="J37" s="313">
        <f>'BD Team'!I44</f>
        <v>760</v>
      </c>
      <c r="K37" s="313">
        <f>'BD Team'!J44</f>
        <v>2</v>
      </c>
      <c r="L37" s="314">
        <f>'BD Team'!K44</f>
        <v>109.48</v>
      </c>
      <c r="M37" s="313">
        <f>Pricing!O39</f>
        <v>2003</v>
      </c>
      <c r="N37" s="313">
        <f>Pricing!Q39</f>
        <v>0</v>
      </c>
      <c r="O37" s="313">
        <f>Pricing!R39</f>
        <v>0</v>
      </c>
      <c r="P37" s="313">
        <f>Pricing!S39</f>
        <v>0</v>
      </c>
      <c r="Q37" s="314">
        <f>'Cost Calculation'!L43</f>
        <v>0</v>
      </c>
      <c r="R37" s="314">
        <f>'Cost Calculation'!M43</f>
        <v>0</v>
      </c>
      <c r="S37" s="314">
        <f>'Cost Calculation'!N43</f>
        <v>0</v>
      </c>
      <c r="T37" s="313">
        <f>Pricing!P39</f>
        <v>0</v>
      </c>
      <c r="U37" s="312">
        <f>'Cost Calculation'!AC43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13" sqref="K1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6" t="s">
        <v>125</v>
      </c>
      <c r="B2" s="326"/>
      <c r="C2" s="326"/>
      <c r="D2" s="326"/>
      <c r="E2" s="162" t="s">
        <v>417</v>
      </c>
      <c r="F2" s="137"/>
      <c r="G2" s="163"/>
      <c r="H2" s="327" t="s">
        <v>182</v>
      </c>
      <c r="I2" s="328"/>
      <c r="J2" s="165" t="s">
        <v>421</v>
      </c>
      <c r="K2" s="167"/>
      <c r="L2" s="104" t="s">
        <v>205</v>
      </c>
      <c r="M2" s="104" t="s">
        <v>377</v>
      </c>
    </row>
    <row r="3" spans="1:13" s="104" customFormat="1">
      <c r="A3" s="326" t="s">
        <v>126</v>
      </c>
      <c r="B3" s="326"/>
      <c r="C3" s="326"/>
      <c r="D3" s="326"/>
      <c r="E3" s="162" t="s">
        <v>418</v>
      </c>
      <c r="F3" s="136" t="s">
        <v>180</v>
      </c>
      <c r="G3" s="162" t="s">
        <v>420</v>
      </c>
      <c r="H3" s="327" t="s">
        <v>183</v>
      </c>
      <c r="I3" s="328"/>
      <c r="J3" s="166">
        <v>43704</v>
      </c>
      <c r="K3" s="167"/>
      <c r="L3" s="104" t="s">
        <v>255</v>
      </c>
      <c r="M3" s="104" t="s">
        <v>378</v>
      </c>
    </row>
    <row r="4" spans="1:13" s="104" customFormat="1" ht="18">
      <c r="A4" s="326" t="s">
        <v>166</v>
      </c>
      <c r="B4" s="326"/>
      <c r="C4" s="326"/>
      <c r="D4" s="326"/>
      <c r="E4" s="162" t="s">
        <v>279</v>
      </c>
      <c r="F4" s="135"/>
      <c r="G4" s="164"/>
      <c r="H4" s="327" t="s">
        <v>184</v>
      </c>
      <c r="I4" s="328"/>
      <c r="J4" s="165" t="s">
        <v>381</v>
      </c>
      <c r="K4" s="167"/>
      <c r="L4" s="104" t="s">
        <v>256</v>
      </c>
      <c r="M4" s="104" t="s">
        <v>379</v>
      </c>
    </row>
    <row r="5" spans="1:13" s="104" customFormat="1">
      <c r="A5" s="326" t="s">
        <v>174</v>
      </c>
      <c r="B5" s="326"/>
      <c r="C5" s="326"/>
      <c r="D5" s="326"/>
      <c r="E5" s="162" t="s">
        <v>419</v>
      </c>
      <c r="F5" s="136" t="s">
        <v>181</v>
      </c>
      <c r="G5" s="162" t="s">
        <v>205</v>
      </c>
      <c r="H5" s="327" t="s">
        <v>371</v>
      </c>
      <c r="I5" s="328"/>
      <c r="J5" s="165" t="s">
        <v>422</v>
      </c>
      <c r="K5" s="167"/>
      <c r="L5" s="104" t="s">
        <v>257</v>
      </c>
      <c r="M5" s="104" t="s">
        <v>380</v>
      </c>
    </row>
    <row r="6" spans="1:13" ht="18">
      <c r="A6" s="326"/>
      <c r="B6" s="326"/>
      <c r="C6" s="326"/>
      <c r="D6" s="326"/>
      <c r="E6" s="133"/>
      <c r="F6" s="133"/>
      <c r="G6" s="320"/>
      <c r="H6" s="320"/>
      <c r="I6" s="320"/>
      <c r="J6" s="320"/>
      <c r="K6" s="134"/>
      <c r="L6" s="47" t="s">
        <v>258</v>
      </c>
      <c r="M6" s="47" t="s">
        <v>110</v>
      </c>
    </row>
    <row r="7" spans="1:13" ht="38.25" customHeight="1">
      <c r="A7" s="321" t="s">
        <v>62</v>
      </c>
      <c r="B7" s="323" t="s">
        <v>115</v>
      </c>
      <c r="C7" s="151" t="s">
        <v>203</v>
      </c>
      <c r="D7" s="323" t="s">
        <v>117</v>
      </c>
      <c r="E7" s="323" t="s">
        <v>116</v>
      </c>
      <c r="F7" s="323" t="s">
        <v>118</v>
      </c>
      <c r="G7" s="150" t="s">
        <v>111</v>
      </c>
      <c r="H7" s="125" t="s">
        <v>113</v>
      </c>
      <c r="I7" s="117" t="s">
        <v>114</v>
      </c>
      <c r="J7" s="119" t="s">
        <v>9</v>
      </c>
      <c r="K7" s="318" t="s">
        <v>217</v>
      </c>
      <c r="L7" s="47" t="s">
        <v>259</v>
      </c>
      <c r="M7" s="47" t="s">
        <v>381</v>
      </c>
    </row>
    <row r="8" spans="1:13">
      <c r="A8" s="322"/>
      <c r="B8" s="324"/>
      <c r="C8" s="152"/>
      <c r="D8" s="324"/>
      <c r="E8" s="324"/>
      <c r="F8" s="325"/>
      <c r="G8" s="102" t="s">
        <v>2</v>
      </c>
      <c r="H8" s="102" t="s">
        <v>68</v>
      </c>
      <c r="I8" s="115" t="s">
        <v>68</v>
      </c>
      <c r="J8" s="116" t="s">
        <v>112</v>
      </c>
      <c r="K8" s="319"/>
      <c r="M8" s="47" t="s">
        <v>398</v>
      </c>
    </row>
    <row r="9" spans="1:13" ht="20.100000000000001" customHeight="1">
      <c r="A9" s="113">
        <v>1</v>
      </c>
      <c r="B9" s="113" t="s">
        <v>423</v>
      </c>
      <c r="C9" s="113" t="s">
        <v>424</v>
      </c>
      <c r="D9" s="113" t="s">
        <v>425</v>
      </c>
      <c r="E9" s="113" t="s">
        <v>426</v>
      </c>
      <c r="F9" s="113" t="s">
        <v>427</v>
      </c>
      <c r="G9" s="113" t="s">
        <v>428</v>
      </c>
      <c r="H9" s="113">
        <v>2430</v>
      </c>
      <c r="I9" s="113">
        <v>1450</v>
      </c>
      <c r="J9" s="113">
        <v>2</v>
      </c>
      <c r="K9" s="123">
        <v>60.63</v>
      </c>
    </row>
    <row r="10" spans="1:13" ht="20.100000000000001" customHeight="1">
      <c r="A10" s="113">
        <v>2</v>
      </c>
      <c r="B10" s="113" t="s">
        <v>429</v>
      </c>
      <c r="C10" s="113" t="s">
        <v>430</v>
      </c>
      <c r="D10" s="113" t="s">
        <v>431</v>
      </c>
      <c r="E10" s="113" t="s">
        <v>426</v>
      </c>
      <c r="F10" s="113" t="s">
        <v>432</v>
      </c>
      <c r="G10" s="113" t="s">
        <v>428</v>
      </c>
      <c r="H10" s="113">
        <v>3130</v>
      </c>
      <c r="I10" s="113">
        <v>1450</v>
      </c>
      <c r="J10" s="113">
        <v>1</v>
      </c>
      <c r="K10" s="123">
        <v>400.42</v>
      </c>
      <c r="L10" s="47" t="s">
        <v>280</v>
      </c>
    </row>
    <row r="11" spans="1:13" ht="20.100000000000001" customHeight="1">
      <c r="A11" s="113">
        <v>3</v>
      </c>
      <c r="B11" s="113" t="s">
        <v>433</v>
      </c>
      <c r="C11" s="113" t="s">
        <v>424</v>
      </c>
      <c r="D11" s="113" t="s">
        <v>434</v>
      </c>
      <c r="E11" s="113" t="s">
        <v>426</v>
      </c>
      <c r="F11" s="113" t="s">
        <v>427</v>
      </c>
      <c r="G11" s="113" t="s">
        <v>428</v>
      </c>
      <c r="H11" s="113">
        <v>1160</v>
      </c>
      <c r="I11" s="113">
        <v>2360</v>
      </c>
      <c r="J11" s="113">
        <v>1</v>
      </c>
      <c r="K11" s="123">
        <v>54.89</v>
      </c>
      <c r="L11" s="47" t="s">
        <v>279</v>
      </c>
    </row>
    <row r="12" spans="1:13" ht="20.100000000000001" customHeight="1">
      <c r="A12" s="113">
        <v>4</v>
      </c>
      <c r="B12" s="113" t="s">
        <v>435</v>
      </c>
      <c r="C12" s="113" t="s">
        <v>436</v>
      </c>
      <c r="D12" s="113" t="s">
        <v>431</v>
      </c>
      <c r="E12" s="113" t="s">
        <v>437</v>
      </c>
      <c r="F12" s="113" t="s">
        <v>432</v>
      </c>
      <c r="G12" s="113" t="s">
        <v>438</v>
      </c>
      <c r="H12" s="113">
        <v>1524</v>
      </c>
      <c r="I12" s="113">
        <v>610</v>
      </c>
      <c r="J12" s="113">
        <v>1</v>
      </c>
      <c r="K12" s="123">
        <f>79.98+25.18</f>
        <v>105.16</v>
      </c>
      <c r="L12" s="47" t="s">
        <v>362</v>
      </c>
    </row>
    <row r="13" spans="1:13" ht="20.100000000000001" customHeight="1">
      <c r="A13" s="113">
        <v>5</v>
      </c>
      <c r="B13" s="113" t="s">
        <v>469</v>
      </c>
      <c r="C13" s="113" t="s">
        <v>436</v>
      </c>
      <c r="D13" s="113" t="s">
        <v>425</v>
      </c>
      <c r="E13" s="113" t="s">
        <v>439</v>
      </c>
      <c r="F13" s="113" t="s">
        <v>427</v>
      </c>
      <c r="G13" s="113" t="s">
        <v>440</v>
      </c>
      <c r="H13" s="113">
        <v>3270</v>
      </c>
      <c r="I13" s="113">
        <v>2360</v>
      </c>
      <c r="J13" s="113">
        <v>1</v>
      </c>
      <c r="K13" s="123">
        <v>61.73</v>
      </c>
      <c r="L13" s="47" t="s">
        <v>363</v>
      </c>
    </row>
    <row r="14" spans="1:13">
      <c r="A14" s="113">
        <v>6</v>
      </c>
      <c r="B14" s="113" t="s">
        <v>441</v>
      </c>
      <c r="C14" s="113" t="s">
        <v>430</v>
      </c>
      <c r="D14" s="113" t="s">
        <v>442</v>
      </c>
      <c r="E14" s="113" t="s">
        <v>443</v>
      </c>
      <c r="F14" s="113" t="s">
        <v>432</v>
      </c>
      <c r="G14" s="113" t="s">
        <v>440</v>
      </c>
      <c r="H14" s="113">
        <v>3585</v>
      </c>
      <c r="I14" s="113">
        <v>2800</v>
      </c>
      <c r="J14" s="113">
        <v>1</v>
      </c>
      <c r="K14" s="123">
        <v>1093.8800000000001</v>
      </c>
      <c r="L14" s="47" t="s">
        <v>364</v>
      </c>
    </row>
    <row r="15" spans="1:13" ht="20.100000000000001" customHeight="1">
      <c r="A15" s="113">
        <v>7</v>
      </c>
      <c r="B15" s="113" t="s">
        <v>444</v>
      </c>
      <c r="C15" s="113" t="s">
        <v>436</v>
      </c>
      <c r="D15" s="113" t="s">
        <v>431</v>
      </c>
      <c r="E15" s="113" t="s">
        <v>437</v>
      </c>
      <c r="F15" s="113" t="s">
        <v>432</v>
      </c>
      <c r="G15" s="113" t="s">
        <v>445</v>
      </c>
      <c r="H15" s="113">
        <v>1380</v>
      </c>
      <c r="I15" s="113">
        <v>550</v>
      </c>
      <c r="J15" s="113">
        <v>1</v>
      </c>
      <c r="K15" s="123">
        <f>75.05+23.19</f>
        <v>98.24</v>
      </c>
      <c r="L15" s="47" t="s">
        <v>365</v>
      </c>
    </row>
    <row r="16" spans="1:13" ht="20.100000000000001" customHeight="1">
      <c r="A16" s="113">
        <v>8</v>
      </c>
      <c r="B16" s="113" t="s">
        <v>446</v>
      </c>
      <c r="C16" s="113" t="s">
        <v>424</v>
      </c>
      <c r="D16" s="113" t="s">
        <v>447</v>
      </c>
      <c r="E16" s="113" t="s">
        <v>437</v>
      </c>
      <c r="F16" s="113" t="s">
        <v>427</v>
      </c>
      <c r="G16" s="113" t="s">
        <v>445</v>
      </c>
      <c r="H16" s="113">
        <v>760</v>
      </c>
      <c r="I16" s="113">
        <v>1220</v>
      </c>
      <c r="J16" s="113">
        <v>2</v>
      </c>
      <c r="K16" s="123">
        <v>110.28</v>
      </c>
      <c r="L16" s="47" t="s">
        <v>366</v>
      </c>
    </row>
    <row r="17" spans="1:13" ht="20.100000000000001" customHeight="1">
      <c r="A17" s="113">
        <v>9</v>
      </c>
      <c r="B17" s="113" t="s">
        <v>448</v>
      </c>
      <c r="C17" s="113" t="s">
        <v>424</v>
      </c>
      <c r="D17" s="113" t="s">
        <v>449</v>
      </c>
      <c r="E17" s="113" t="s">
        <v>437</v>
      </c>
      <c r="F17" s="113" t="s">
        <v>427</v>
      </c>
      <c r="G17" s="113" t="s">
        <v>450</v>
      </c>
      <c r="H17" s="113">
        <v>720</v>
      </c>
      <c r="I17" s="113">
        <v>840</v>
      </c>
      <c r="J17" s="113">
        <v>1</v>
      </c>
      <c r="K17" s="123">
        <v>119.39</v>
      </c>
      <c r="L17" s="47" t="s">
        <v>367</v>
      </c>
    </row>
    <row r="18" spans="1:13" ht="20.100000000000001" customHeight="1">
      <c r="A18" s="113">
        <v>10</v>
      </c>
      <c r="B18" s="113" t="s">
        <v>451</v>
      </c>
      <c r="C18" s="113" t="s">
        <v>430</v>
      </c>
      <c r="D18" s="113" t="s">
        <v>452</v>
      </c>
      <c r="E18" s="113" t="s">
        <v>443</v>
      </c>
      <c r="F18" s="113" t="s">
        <v>432</v>
      </c>
      <c r="G18" s="113" t="s">
        <v>453</v>
      </c>
      <c r="H18" s="113">
        <v>2700</v>
      </c>
      <c r="I18" s="113">
        <v>2350</v>
      </c>
      <c r="J18" s="113">
        <v>2</v>
      </c>
      <c r="K18" s="123">
        <v>484.58</v>
      </c>
      <c r="L18" s="47" t="s">
        <v>368</v>
      </c>
    </row>
    <row r="19" spans="1:13" ht="20.100000000000001" customHeight="1">
      <c r="A19" s="113">
        <v>11</v>
      </c>
      <c r="B19" s="113" t="s">
        <v>454</v>
      </c>
      <c r="C19" s="113" t="s">
        <v>430</v>
      </c>
      <c r="D19" s="113" t="s">
        <v>431</v>
      </c>
      <c r="E19" s="113" t="s">
        <v>437</v>
      </c>
      <c r="F19" s="113" t="s">
        <v>432</v>
      </c>
      <c r="G19" s="113" t="s">
        <v>455</v>
      </c>
      <c r="H19" s="113">
        <v>1575</v>
      </c>
      <c r="I19" s="113">
        <v>1700</v>
      </c>
      <c r="J19" s="113">
        <v>1</v>
      </c>
      <c r="K19" s="123">
        <v>332.88</v>
      </c>
      <c r="L19" s="47" t="s">
        <v>369</v>
      </c>
    </row>
    <row r="20" spans="1:13">
      <c r="A20" s="113">
        <v>12</v>
      </c>
      <c r="B20" s="113" t="s">
        <v>456</v>
      </c>
      <c r="C20" s="113" t="s">
        <v>430</v>
      </c>
      <c r="D20" s="113" t="s">
        <v>431</v>
      </c>
      <c r="E20" s="113" t="s">
        <v>437</v>
      </c>
      <c r="F20" s="113" t="s">
        <v>432</v>
      </c>
      <c r="G20" s="113" t="s">
        <v>457</v>
      </c>
      <c r="H20" s="113">
        <v>2400</v>
      </c>
      <c r="I20" s="113">
        <v>1700</v>
      </c>
      <c r="J20" s="113">
        <v>2</v>
      </c>
      <c r="K20" s="123">
        <v>381.27</v>
      </c>
      <c r="L20" s="47" t="s">
        <v>382</v>
      </c>
    </row>
    <row r="21" spans="1:13" ht="20.100000000000001" customHeight="1">
      <c r="A21" s="113">
        <v>13</v>
      </c>
      <c r="B21" s="113" t="s">
        <v>458</v>
      </c>
      <c r="C21" s="113" t="s">
        <v>424</v>
      </c>
      <c r="D21" s="113" t="s">
        <v>459</v>
      </c>
      <c r="E21" s="113" t="s">
        <v>460</v>
      </c>
      <c r="F21" s="113" t="s">
        <v>427</v>
      </c>
      <c r="G21" s="113" t="s">
        <v>461</v>
      </c>
      <c r="H21" s="113">
        <v>1220</v>
      </c>
      <c r="I21" s="113">
        <v>610</v>
      </c>
      <c r="J21" s="113">
        <v>1</v>
      </c>
      <c r="K21" s="123">
        <v>153.85</v>
      </c>
      <c r="L21" s="47" t="s">
        <v>383</v>
      </c>
    </row>
    <row r="22" spans="1:13" ht="20.100000000000001" customHeight="1">
      <c r="A22" s="113">
        <v>14</v>
      </c>
      <c r="B22" s="113" t="s">
        <v>462</v>
      </c>
      <c r="C22" s="113" t="s">
        <v>430</v>
      </c>
      <c r="D22" s="113" t="s">
        <v>431</v>
      </c>
      <c r="E22" s="113" t="s">
        <v>437</v>
      </c>
      <c r="F22" s="113" t="s">
        <v>432</v>
      </c>
      <c r="G22" s="113" t="s">
        <v>463</v>
      </c>
      <c r="H22" s="113">
        <v>1830</v>
      </c>
      <c r="I22" s="113">
        <v>1700</v>
      </c>
      <c r="J22" s="113">
        <v>2</v>
      </c>
      <c r="K22" s="123">
        <v>347.84</v>
      </c>
      <c r="L22" s="47" t="s">
        <v>384</v>
      </c>
    </row>
    <row r="23" spans="1:13" ht="20.100000000000001" customHeight="1">
      <c r="A23" s="113">
        <v>15</v>
      </c>
      <c r="B23" s="113" t="s">
        <v>464</v>
      </c>
      <c r="C23" s="113" t="s">
        <v>430</v>
      </c>
      <c r="D23" s="113" t="s">
        <v>431</v>
      </c>
      <c r="E23" s="113" t="s">
        <v>426</v>
      </c>
      <c r="F23" s="113" t="s">
        <v>432</v>
      </c>
      <c r="G23" s="113" t="s">
        <v>465</v>
      </c>
      <c r="H23" s="113">
        <v>2440</v>
      </c>
      <c r="I23" s="113">
        <v>830</v>
      </c>
      <c r="J23" s="113">
        <v>2</v>
      </c>
      <c r="K23" s="123">
        <v>295.97000000000003</v>
      </c>
      <c r="L23" s="47" t="s">
        <v>399</v>
      </c>
    </row>
    <row r="24" spans="1:13" ht="20.100000000000001" customHeight="1">
      <c r="A24" s="113">
        <v>16</v>
      </c>
      <c r="B24" s="113" t="s">
        <v>466</v>
      </c>
      <c r="C24" s="113" t="s">
        <v>430</v>
      </c>
      <c r="D24" s="113" t="s">
        <v>431</v>
      </c>
      <c r="E24" s="113" t="s">
        <v>437</v>
      </c>
      <c r="F24" s="113" t="s">
        <v>432</v>
      </c>
      <c r="G24" s="113" t="s">
        <v>467</v>
      </c>
      <c r="H24" s="113">
        <v>1220</v>
      </c>
      <c r="I24" s="113">
        <v>1700</v>
      </c>
      <c r="J24" s="113">
        <v>4</v>
      </c>
      <c r="K24" s="123">
        <v>312.06</v>
      </c>
      <c r="L24" s="47" t="s">
        <v>412</v>
      </c>
    </row>
    <row r="25" spans="1:13" ht="20.100000000000001" customHeight="1">
      <c r="A25" s="113">
        <v>17</v>
      </c>
      <c r="B25" s="113" t="s">
        <v>468</v>
      </c>
      <c r="C25" s="113" t="s">
        <v>436</v>
      </c>
      <c r="D25" s="113" t="s">
        <v>425</v>
      </c>
      <c r="E25" s="113" t="s">
        <v>439</v>
      </c>
      <c r="F25" s="113" t="s">
        <v>427</v>
      </c>
      <c r="G25" s="113" t="s">
        <v>470</v>
      </c>
      <c r="H25" s="113">
        <v>3375</v>
      </c>
      <c r="I25" s="113">
        <v>2170</v>
      </c>
      <c r="J25" s="113">
        <v>1</v>
      </c>
      <c r="K25" s="123">
        <v>60.82</v>
      </c>
      <c r="L25" s="47" t="s">
        <v>413</v>
      </c>
    </row>
    <row r="26" spans="1:13">
      <c r="A26" s="113">
        <v>18</v>
      </c>
      <c r="B26" s="113" t="s">
        <v>448</v>
      </c>
      <c r="C26" s="113" t="s">
        <v>424</v>
      </c>
      <c r="D26" s="113" t="s">
        <v>471</v>
      </c>
      <c r="E26" s="113" t="s">
        <v>437</v>
      </c>
      <c r="F26" s="113" t="s">
        <v>427</v>
      </c>
      <c r="G26" s="113" t="s">
        <v>470</v>
      </c>
      <c r="H26" s="113">
        <v>700</v>
      </c>
      <c r="I26" s="113">
        <v>2170</v>
      </c>
      <c r="J26" s="113">
        <v>1</v>
      </c>
      <c r="K26" s="123">
        <v>161.80000000000001</v>
      </c>
      <c r="L26" s="47" t="s">
        <v>414</v>
      </c>
      <c r="M26" s="47" t="s">
        <v>415</v>
      </c>
    </row>
    <row r="27" spans="1:13" ht="20.100000000000001" customHeight="1">
      <c r="A27" s="113">
        <v>19</v>
      </c>
      <c r="B27" s="113" t="s">
        <v>472</v>
      </c>
      <c r="C27" s="113" t="s">
        <v>430</v>
      </c>
      <c r="D27" s="113" t="s">
        <v>452</v>
      </c>
      <c r="E27" s="113" t="s">
        <v>426</v>
      </c>
      <c r="F27" s="113" t="s">
        <v>432</v>
      </c>
      <c r="G27" s="113" t="s">
        <v>473</v>
      </c>
      <c r="H27" s="113">
        <v>2000</v>
      </c>
      <c r="I27" s="113">
        <v>2400</v>
      </c>
      <c r="J27" s="113">
        <v>1</v>
      </c>
      <c r="K27" s="123">
        <v>412.36</v>
      </c>
    </row>
    <row r="28" spans="1:13" ht="20.100000000000001" customHeight="1">
      <c r="A28" s="113">
        <v>20</v>
      </c>
      <c r="B28" s="113" t="s">
        <v>474</v>
      </c>
      <c r="C28" s="113" t="s">
        <v>424</v>
      </c>
      <c r="D28" s="113" t="s">
        <v>475</v>
      </c>
      <c r="E28" s="113" t="s">
        <v>439</v>
      </c>
      <c r="F28" s="113" t="s">
        <v>427</v>
      </c>
      <c r="G28" s="113" t="s">
        <v>476</v>
      </c>
      <c r="H28" s="113">
        <v>3900</v>
      </c>
      <c r="I28" s="113">
        <v>2400</v>
      </c>
      <c r="J28" s="113">
        <v>1</v>
      </c>
      <c r="K28" s="123">
        <v>156.53</v>
      </c>
    </row>
    <row r="29" spans="1:13" ht="20.100000000000001" customHeight="1">
      <c r="A29" s="113">
        <v>21</v>
      </c>
      <c r="B29" s="113" t="s">
        <v>477</v>
      </c>
      <c r="C29" s="113" t="s">
        <v>424</v>
      </c>
      <c r="D29" s="113" t="s">
        <v>478</v>
      </c>
      <c r="E29" s="113" t="s">
        <v>460</v>
      </c>
      <c r="F29" s="113" t="s">
        <v>427</v>
      </c>
      <c r="G29" s="113" t="s">
        <v>479</v>
      </c>
      <c r="H29" s="113">
        <v>760</v>
      </c>
      <c r="I29" s="113">
        <v>1720</v>
      </c>
      <c r="J29" s="113">
        <v>1</v>
      </c>
      <c r="K29" s="123">
        <v>158.41</v>
      </c>
    </row>
    <row r="30" spans="1:13" ht="20.100000000000001" customHeight="1">
      <c r="A30" s="113">
        <v>22</v>
      </c>
      <c r="B30" s="113" t="s">
        <v>480</v>
      </c>
      <c r="C30" s="113" t="s">
        <v>424</v>
      </c>
      <c r="D30" s="113" t="s">
        <v>475</v>
      </c>
      <c r="E30" s="113" t="s">
        <v>481</v>
      </c>
      <c r="F30" s="113" t="s">
        <v>427</v>
      </c>
      <c r="G30" s="113" t="s">
        <v>476</v>
      </c>
      <c r="H30" s="113">
        <v>3585</v>
      </c>
      <c r="I30" s="113">
        <v>2800</v>
      </c>
      <c r="J30" s="113">
        <v>1</v>
      </c>
      <c r="K30" s="123">
        <v>210.33</v>
      </c>
    </row>
    <row r="31" spans="1:13" ht="20.100000000000001" customHeight="1">
      <c r="A31" s="113">
        <v>23</v>
      </c>
      <c r="B31" s="113" t="s">
        <v>482</v>
      </c>
      <c r="C31" s="113" t="s">
        <v>430</v>
      </c>
      <c r="D31" s="113" t="s">
        <v>431</v>
      </c>
      <c r="E31" s="113" t="s">
        <v>437</v>
      </c>
      <c r="F31" s="113" t="s">
        <v>432</v>
      </c>
      <c r="G31" s="113" t="s">
        <v>483</v>
      </c>
      <c r="H31" s="113">
        <v>1160</v>
      </c>
      <c r="I31" s="113">
        <v>1670</v>
      </c>
      <c r="J31" s="113">
        <v>2</v>
      </c>
      <c r="K31" s="123">
        <v>305.93</v>
      </c>
    </row>
    <row r="32" spans="1:13">
      <c r="A32" s="113">
        <v>24</v>
      </c>
      <c r="B32" s="113" t="s">
        <v>484</v>
      </c>
      <c r="C32" s="113" t="s">
        <v>424</v>
      </c>
      <c r="D32" s="113" t="s">
        <v>434</v>
      </c>
      <c r="E32" s="113" t="s">
        <v>481</v>
      </c>
      <c r="F32" s="113" t="s">
        <v>427</v>
      </c>
      <c r="G32" s="113" t="s">
        <v>483</v>
      </c>
      <c r="H32" s="113">
        <v>2300</v>
      </c>
      <c r="I32" s="113">
        <v>2380</v>
      </c>
      <c r="J32" s="113">
        <v>1</v>
      </c>
      <c r="K32" s="123">
        <v>71.650000000000006</v>
      </c>
    </row>
    <row r="33" spans="1:11" ht="20.100000000000001" customHeight="1">
      <c r="A33" s="113">
        <v>25</v>
      </c>
      <c r="B33" s="113" t="s">
        <v>485</v>
      </c>
      <c r="C33" s="113" t="s">
        <v>424</v>
      </c>
      <c r="D33" s="113" t="s">
        <v>475</v>
      </c>
      <c r="E33" s="113" t="s">
        <v>481</v>
      </c>
      <c r="F33" s="113" t="s">
        <v>427</v>
      </c>
      <c r="G33" s="113" t="s">
        <v>476</v>
      </c>
      <c r="H33" s="113">
        <v>3060</v>
      </c>
      <c r="I33" s="113">
        <v>2480</v>
      </c>
      <c r="J33" s="113">
        <v>1</v>
      </c>
      <c r="K33" s="123">
        <v>185.81</v>
      </c>
    </row>
    <row r="34" spans="1:11" ht="20.100000000000001" customHeight="1">
      <c r="A34" s="113">
        <v>26</v>
      </c>
      <c r="B34" s="113" t="s">
        <v>486</v>
      </c>
      <c r="C34" s="113" t="s">
        <v>424</v>
      </c>
      <c r="D34" s="113" t="s">
        <v>475</v>
      </c>
      <c r="E34" s="113" t="s">
        <v>481</v>
      </c>
      <c r="F34" s="113" t="s">
        <v>427</v>
      </c>
      <c r="G34" s="113" t="s">
        <v>487</v>
      </c>
      <c r="H34" s="113">
        <v>2650</v>
      </c>
      <c r="I34" s="113">
        <v>2480</v>
      </c>
      <c r="J34" s="113">
        <v>2</v>
      </c>
      <c r="K34" s="123">
        <v>150.84</v>
      </c>
    </row>
    <row r="35" spans="1:11" ht="20.100000000000001" customHeight="1">
      <c r="A35" s="113">
        <v>27</v>
      </c>
      <c r="B35" s="113" t="s">
        <v>488</v>
      </c>
      <c r="C35" s="113" t="s">
        <v>424</v>
      </c>
      <c r="D35" s="113" t="s">
        <v>489</v>
      </c>
      <c r="E35" s="113" t="s">
        <v>481</v>
      </c>
      <c r="F35" s="113" t="s">
        <v>427</v>
      </c>
      <c r="G35" s="113" t="s">
        <v>490</v>
      </c>
      <c r="H35" s="113">
        <v>1220</v>
      </c>
      <c r="I35" s="113">
        <v>1220</v>
      </c>
      <c r="J35" s="113">
        <v>1</v>
      </c>
      <c r="K35" s="123">
        <v>192.14</v>
      </c>
    </row>
    <row r="36" spans="1:11" ht="20.100000000000001" customHeight="1">
      <c r="A36" s="113">
        <v>28</v>
      </c>
      <c r="B36" s="113" t="s">
        <v>491</v>
      </c>
      <c r="C36" s="113" t="s">
        <v>436</v>
      </c>
      <c r="D36" s="113" t="s">
        <v>431</v>
      </c>
      <c r="E36" s="113" t="s">
        <v>437</v>
      </c>
      <c r="F36" s="113" t="s">
        <v>432</v>
      </c>
      <c r="G36" s="113" t="s">
        <v>492</v>
      </c>
      <c r="H36" s="113">
        <v>2440</v>
      </c>
      <c r="I36" s="113">
        <v>1220</v>
      </c>
      <c r="J36" s="113">
        <v>2</v>
      </c>
      <c r="K36" s="123">
        <f>119.28+40.86</f>
        <v>160.13999999999999</v>
      </c>
    </row>
    <row r="37" spans="1:11" ht="20.100000000000001" customHeight="1">
      <c r="A37" s="113">
        <v>29</v>
      </c>
      <c r="B37" s="113" t="s">
        <v>493</v>
      </c>
      <c r="C37" s="113" t="s">
        <v>436</v>
      </c>
      <c r="D37" s="113" t="s">
        <v>431</v>
      </c>
      <c r="E37" s="113" t="s">
        <v>437</v>
      </c>
      <c r="F37" s="113" t="s">
        <v>432</v>
      </c>
      <c r="G37" s="113" t="s">
        <v>494</v>
      </c>
      <c r="H37" s="113">
        <v>915</v>
      </c>
      <c r="I37" s="113">
        <v>1220</v>
      </c>
      <c r="J37" s="113">
        <v>2</v>
      </c>
      <c r="K37" s="123">
        <f>89.1+28.31</f>
        <v>117.41</v>
      </c>
    </row>
    <row r="38" spans="1:11">
      <c r="A38" s="113">
        <v>30</v>
      </c>
      <c r="B38" s="113" t="s">
        <v>495</v>
      </c>
      <c r="C38" s="113" t="s">
        <v>424</v>
      </c>
      <c r="D38" s="113" t="s">
        <v>449</v>
      </c>
      <c r="E38" s="113" t="s">
        <v>460</v>
      </c>
      <c r="F38" s="113" t="s">
        <v>427</v>
      </c>
      <c r="G38" s="113" t="s">
        <v>496</v>
      </c>
      <c r="H38" s="113">
        <v>760</v>
      </c>
      <c r="I38" s="113">
        <v>910</v>
      </c>
      <c r="J38" s="113">
        <v>2</v>
      </c>
      <c r="K38" s="123">
        <v>122.64</v>
      </c>
    </row>
    <row r="39" spans="1:11" ht="20.100000000000001" customHeight="1">
      <c r="A39" s="113">
        <v>31</v>
      </c>
      <c r="B39" s="113" t="s">
        <v>497</v>
      </c>
      <c r="C39" s="113" t="s">
        <v>436</v>
      </c>
      <c r="D39" s="113" t="s">
        <v>431</v>
      </c>
      <c r="E39" s="113" t="s">
        <v>500</v>
      </c>
      <c r="F39" s="113" t="s">
        <v>432</v>
      </c>
      <c r="G39" s="113" t="s">
        <v>498</v>
      </c>
      <c r="H39" s="113">
        <v>1220</v>
      </c>
      <c r="I39" s="113">
        <v>1350</v>
      </c>
      <c r="J39" s="113">
        <v>1</v>
      </c>
      <c r="K39" s="123">
        <f>99.65+32.56</f>
        <v>132.21</v>
      </c>
    </row>
    <row r="40" spans="1:11" ht="20.100000000000001" customHeight="1">
      <c r="A40" s="113">
        <v>32</v>
      </c>
      <c r="B40" s="113" t="s">
        <v>499</v>
      </c>
      <c r="C40" s="113" t="s">
        <v>436</v>
      </c>
      <c r="D40" s="113" t="s">
        <v>431</v>
      </c>
      <c r="E40" s="113" t="s">
        <v>500</v>
      </c>
      <c r="F40" s="113" t="s">
        <v>432</v>
      </c>
      <c r="G40" s="113" t="s">
        <v>501</v>
      </c>
      <c r="H40" s="113">
        <v>1220</v>
      </c>
      <c r="I40" s="113">
        <v>1350</v>
      </c>
      <c r="J40" s="113">
        <v>2</v>
      </c>
      <c r="K40" s="123">
        <f>99.65+32.56</f>
        <v>132.21</v>
      </c>
    </row>
    <row r="41" spans="1:11" ht="20.100000000000001" customHeight="1">
      <c r="A41" s="113">
        <v>33</v>
      </c>
      <c r="B41" s="113" t="s">
        <v>502</v>
      </c>
      <c r="C41" s="113" t="s">
        <v>424</v>
      </c>
      <c r="D41" s="113" t="s">
        <v>489</v>
      </c>
      <c r="E41" s="113" t="s">
        <v>500</v>
      </c>
      <c r="F41" s="113" t="s">
        <v>427</v>
      </c>
      <c r="G41" s="113" t="s">
        <v>503</v>
      </c>
      <c r="H41" s="113">
        <v>915</v>
      </c>
      <c r="I41" s="113">
        <v>1365</v>
      </c>
      <c r="J41" s="113">
        <v>1</v>
      </c>
      <c r="K41" s="123">
        <v>189.79</v>
      </c>
    </row>
    <row r="42" spans="1:11">
      <c r="A42" s="113">
        <v>34</v>
      </c>
      <c r="B42" s="113" t="s">
        <v>504</v>
      </c>
      <c r="C42" s="113" t="s">
        <v>424</v>
      </c>
      <c r="D42" s="113" t="s">
        <v>447</v>
      </c>
      <c r="E42" s="113" t="s">
        <v>500</v>
      </c>
      <c r="F42" s="113" t="s">
        <v>427</v>
      </c>
      <c r="G42" s="113" t="s">
        <v>505</v>
      </c>
      <c r="H42" s="113">
        <v>720</v>
      </c>
      <c r="I42" s="113">
        <v>1365</v>
      </c>
      <c r="J42" s="113">
        <v>2</v>
      </c>
      <c r="K42" s="123">
        <v>117.9</v>
      </c>
    </row>
    <row r="43" spans="1:11" ht="20.100000000000001" customHeight="1">
      <c r="A43" s="113">
        <v>35</v>
      </c>
      <c r="B43" s="113" t="s">
        <v>506</v>
      </c>
      <c r="C43" s="113" t="s">
        <v>424</v>
      </c>
      <c r="D43" s="113" t="s">
        <v>447</v>
      </c>
      <c r="E43" s="113" t="s">
        <v>500</v>
      </c>
      <c r="F43" s="113" t="s">
        <v>427</v>
      </c>
      <c r="G43" s="113" t="s">
        <v>505</v>
      </c>
      <c r="H43" s="113">
        <v>720</v>
      </c>
      <c r="I43" s="113">
        <v>1220</v>
      </c>
      <c r="J43" s="113">
        <v>1</v>
      </c>
      <c r="K43" s="123">
        <v>109.08</v>
      </c>
    </row>
    <row r="44" spans="1:11" ht="20.100000000000001" customHeight="1">
      <c r="A44" s="113">
        <v>36</v>
      </c>
      <c r="B44" s="113" t="s">
        <v>507</v>
      </c>
      <c r="C44" s="113" t="s">
        <v>424</v>
      </c>
      <c r="D44" s="113" t="s">
        <v>449</v>
      </c>
      <c r="E44" s="113" t="s">
        <v>460</v>
      </c>
      <c r="F44" s="113" t="s">
        <v>427</v>
      </c>
      <c r="G44" s="113" t="s">
        <v>461</v>
      </c>
      <c r="H44" s="113">
        <v>760</v>
      </c>
      <c r="I44" s="113">
        <v>760</v>
      </c>
      <c r="J44" s="113">
        <v>2</v>
      </c>
      <c r="K44" s="123">
        <v>109.48</v>
      </c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29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29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29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29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29"/>
      <c r="F88" s="113"/>
      <c r="G88" s="229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29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L24" sqref="L24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22.5703125" style="168" bestFit="1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29" t="s">
        <v>119</v>
      </c>
      <c r="B1" s="330"/>
      <c r="C1" s="330"/>
      <c r="D1" s="330"/>
      <c r="E1" s="330"/>
      <c r="F1" s="330"/>
      <c r="G1" s="330"/>
      <c r="H1" s="330"/>
      <c r="I1" s="330"/>
      <c r="J1" s="330"/>
    </row>
    <row r="2" spans="1:25" ht="38.25" customHeight="1">
      <c r="A2" s="120" t="s">
        <v>62</v>
      </c>
      <c r="B2" s="120" t="s">
        <v>185</v>
      </c>
      <c r="C2" s="120" t="s">
        <v>203</v>
      </c>
      <c r="D2" s="120" t="s">
        <v>37</v>
      </c>
      <c r="E2" s="120" t="s">
        <v>118</v>
      </c>
      <c r="F2" s="161" t="s">
        <v>111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213</v>
      </c>
      <c r="L2" s="169" t="s">
        <v>214</v>
      </c>
      <c r="M2" s="170" t="s">
        <v>215</v>
      </c>
      <c r="N2" s="170" t="s">
        <v>106</v>
      </c>
      <c r="O2" s="170" t="s">
        <v>216</v>
      </c>
      <c r="P2" s="237" t="s">
        <v>275</v>
      </c>
      <c r="Q2" s="169" t="s">
        <v>235</v>
      </c>
      <c r="R2" s="169" t="s">
        <v>236</v>
      </c>
      <c r="S2" s="305" t="s">
        <v>187</v>
      </c>
      <c r="T2" s="331" t="s">
        <v>395</v>
      </c>
      <c r="U2" s="331"/>
      <c r="V2" s="331"/>
      <c r="W2" s="331"/>
      <c r="X2" s="331"/>
      <c r="Y2" s="331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224</v>
      </c>
      <c r="P3" s="235"/>
      <c r="Q3" s="171" t="s">
        <v>224</v>
      </c>
      <c r="R3" s="171" t="s">
        <v>224</v>
      </c>
      <c r="S3" s="306" t="s">
        <v>225</v>
      </c>
      <c r="T3" s="308" t="s">
        <v>386</v>
      </c>
      <c r="U3" s="308" t="s">
        <v>392</v>
      </c>
      <c r="V3" s="308" t="s">
        <v>387</v>
      </c>
      <c r="W3" s="308" t="s">
        <v>393</v>
      </c>
      <c r="X3" s="308" t="s">
        <v>394</v>
      </c>
      <c r="Y3" s="308" t="s">
        <v>220</v>
      </c>
    </row>
    <row r="4" spans="1:25">
      <c r="A4" s="118">
        <f>'BD Team'!A9</f>
        <v>1</v>
      </c>
      <c r="B4" s="118" t="str">
        <f>'BD Team'!B9</f>
        <v>G2G</v>
      </c>
      <c r="C4" s="118" t="str">
        <f>'BD Team'!C9</f>
        <v>M940</v>
      </c>
      <c r="D4" s="118" t="str">
        <f>'BD Team'!D9</f>
        <v>CORNOR WINDOW FIXED GLASS</v>
      </c>
      <c r="E4" s="118" t="str">
        <f>'BD Team'!F9</f>
        <v>NO</v>
      </c>
      <c r="F4" s="121" t="str">
        <f>'BD Team'!G9</f>
        <v>GF - VISITORS ROOM</v>
      </c>
      <c r="G4" s="118">
        <f>'BD Team'!H9</f>
        <v>2430</v>
      </c>
      <c r="H4" s="118">
        <f>'BD Team'!I9</f>
        <v>1450</v>
      </c>
      <c r="I4" s="118">
        <f>'BD Team'!J9</f>
        <v>2</v>
      </c>
      <c r="J4" s="103">
        <f t="shared" ref="J4:J53" si="0">G4*H4*I4*10.764/1000000</f>
        <v>75.853908000000004</v>
      </c>
      <c r="K4" s="172">
        <f>'BD Team'!K9</f>
        <v>60.63</v>
      </c>
      <c r="L4" s="171">
        <f>K4*I4</f>
        <v>121.26</v>
      </c>
      <c r="M4" s="170">
        <f>L4*'Changable Values'!$D$4</f>
        <v>10064.58</v>
      </c>
      <c r="N4" s="170" t="str">
        <f>'BD Team'!E9</f>
        <v>13.52MM (ST-167)</v>
      </c>
      <c r="O4" s="172">
        <v>5276</v>
      </c>
      <c r="P4" s="236"/>
      <c r="Q4" s="173"/>
      <c r="R4" s="180"/>
      <c r="S4" s="307"/>
      <c r="T4" s="308">
        <f>(G4+H4)*I4*2/300</f>
        <v>51.733333333333334</v>
      </c>
      <c r="U4" s="308">
        <f>SUM(G4:H4)*I4*2*4/1000</f>
        <v>62.08</v>
      </c>
      <c r="V4" s="308">
        <f>SUM(G4:H4)*I4*5*5*4/(1000*240)</f>
        <v>3.2333333333333334</v>
      </c>
      <c r="W4" s="308">
        <f>T4</f>
        <v>51.733333333333334</v>
      </c>
      <c r="X4" s="308">
        <f>W4*2</f>
        <v>103.46666666666667</v>
      </c>
      <c r="Y4" s="308">
        <f>SUM(G4:H4)*I4*4/1000</f>
        <v>31.04</v>
      </c>
    </row>
    <row r="5" spans="1:25">
      <c r="A5" s="118">
        <f>'BD Team'!A10</f>
        <v>2</v>
      </c>
      <c r="B5" s="118" t="str">
        <f>'BD Team'!B10</f>
        <v>SW1</v>
      </c>
      <c r="C5" s="118" t="str">
        <f>'BD Team'!C10</f>
        <v>M14600</v>
      </c>
      <c r="D5" s="118" t="str">
        <f>'BD Team'!D10</f>
        <v>3 TRACK 2 SHUTTER SLIDING WINDOW</v>
      </c>
      <c r="E5" s="118" t="str">
        <f>'BD Team'!F10</f>
        <v>SS</v>
      </c>
      <c r="F5" s="121" t="str">
        <f>'BD Team'!G10</f>
        <v>GF - VISITORS ROOM</v>
      </c>
      <c r="G5" s="118">
        <f>'BD Team'!H10</f>
        <v>3130</v>
      </c>
      <c r="H5" s="118">
        <f>'BD Team'!I10</f>
        <v>1450</v>
      </c>
      <c r="I5" s="118">
        <f>'BD Team'!J10</f>
        <v>1</v>
      </c>
      <c r="J5" s="103">
        <f t="shared" si="0"/>
        <v>48.852414000000003</v>
      </c>
      <c r="K5" s="172">
        <f>'BD Team'!K10</f>
        <v>400.42</v>
      </c>
      <c r="L5" s="171">
        <f t="shared" ref="L5:L53" si="1">K5*I5</f>
        <v>400.42</v>
      </c>
      <c r="M5" s="170">
        <f>L5*'Changable Values'!$D$4</f>
        <v>33234.86</v>
      </c>
      <c r="N5" s="170" t="str">
        <f>'BD Team'!E10</f>
        <v>13.52MM (ST-167)</v>
      </c>
      <c r="O5" s="172">
        <v>5276</v>
      </c>
      <c r="P5" s="236"/>
      <c r="Q5" s="173">
        <f>50*10.764</f>
        <v>538.19999999999993</v>
      </c>
      <c r="R5" s="180"/>
      <c r="S5" s="307"/>
      <c r="T5" s="308">
        <f t="shared" ref="T5:T68" si="2">(G5+H5)*I5*2/300</f>
        <v>30.533333333333335</v>
      </c>
      <c r="U5" s="308">
        <f t="shared" ref="U5:U68" si="3">SUM(G5:H5)*I5*2*4/1000</f>
        <v>36.64</v>
      </c>
      <c r="V5" s="308">
        <f t="shared" ref="V5:V68" si="4">SUM(G5:H5)*I5*5*5*4/(1000*240)</f>
        <v>1.9083333333333334</v>
      </c>
      <c r="W5" s="308">
        <f t="shared" ref="W5:W68" si="5">T5</f>
        <v>30.533333333333335</v>
      </c>
      <c r="X5" s="308">
        <f t="shared" ref="X5:X68" si="6">W5*2</f>
        <v>61.06666666666667</v>
      </c>
      <c r="Y5" s="308">
        <f t="shared" ref="Y5:Y68" si="7">SUM(G5:H5)*I5*4/1000</f>
        <v>18.32</v>
      </c>
    </row>
    <row r="6" spans="1:25">
      <c r="A6" s="118">
        <f>'BD Team'!A11</f>
        <v>3</v>
      </c>
      <c r="B6" s="118" t="str">
        <f>'BD Team'!B11</f>
        <v>CW1</v>
      </c>
      <c r="C6" s="118" t="str">
        <f>'BD Team'!C11</f>
        <v>M940</v>
      </c>
      <c r="D6" s="118" t="str">
        <f>'BD Team'!D11</f>
        <v>FIXED GLASS</v>
      </c>
      <c r="E6" s="118" t="str">
        <f>'BD Team'!F11</f>
        <v>NO</v>
      </c>
      <c r="F6" s="121" t="str">
        <f>'BD Team'!G11</f>
        <v>GF - VISITORS ROOM</v>
      </c>
      <c r="G6" s="118">
        <f>'BD Team'!H11</f>
        <v>1160</v>
      </c>
      <c r="H6" s="118">
        <f>'BD Team'!I11</f>
        <v>2360</v>
      </c>
      <c r="I6" s="118">
        <f>'BD Team'!J11</f>
        <v>1</v>
      </c>
      <c r="J6" s="103">
        <f t="shared" si="0"/>
        <v>29.467526399999997</v>
      </c>
      <c r="K6" s="172">
        <f>'BD Team'!K11</f>
        <v>54.89</v>
      </c>
      <c r="L6" s="171">
        <f t="shared" si="1"/>
        <v>54.89</v>
      </c>
      <c r="M6" s="170">
        <f>L6*'Changable Values'!$D$4</f>
        <v>4555.87</v>
      </c>
      <c r="N6" s="170" t="str">
        <f>'BD Team'!E11</f>
        <v>13.52MM (ST-167)</v>
      </c>
      <c r="O6" s="172">
        <v>5276</v>
      </c>
      <c r="P6" s="236"/>
      <c r="Q6" s="173"/>
      <c r="R6" s="180"/>
      <c r="S6" s="307"/>
      <c r="T6" s="308">
        <f t="shared" si="2"/>
        <v>23.466666666666665</v>
      </c>
      <c r="U6" s="308">
        <f t="shared" si="3"/>
        <v>28.16</v>
      </c>
      <c r="V6" s="308">
        <f t="shared" si="4"/>
        <v>1.4666666666666666</v>
      </c>
      <c r="W6" s="308">
        <f t="shared" si="5"/>
        <v>23.466666666666665</v>
      </c>
      <c r="X6" s="308">
        <f t="shared" si="6"/>
        <v>46.93333333333333</v>
      </c>
      <c r="Y6" s="308">
        <f t="shared" si="7"/>
        <v>14.08</v>
      </c>
    </row>
    <row r="7" spans="1:25">
      <c r="A7" s="118">
        <f>'BD Team'!A12</f>
        <v>4</v>
      </c>
      <c r="B7" s="118" t="str">
        <f>'BD Team'!B12</f>
        <v>SW2</v>
      </c>
      <c r="C7" s="118" t="str">
        <f>'BD Team'!C12</f>
        <v>M900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GF - POOJA ROOM</v>
      </c>
      <c r="G7" s="118">
        <f>'BD Team'!H12</f>
        <v>1524</v>
      </c>
      <c r="H7" s="118">
        <f>'BD Team'!I12</f>
        <v>610</v>
      </c>
      <c r="I7" s="118">
        <f>'BD Team'!J12</f>
        <v>1</v>
      </c>
      <c r="J7" s="103">
        <f t="shared" si="0"/>
        <v>10.006644959999999</v>
      </c>
      <c r="K7" s="172">
        <f>'BD Team'!K12</f>
        <v>105.16</v>
      </c>
      <c r="L7" s="171">
        <f t="shared" si="1"/>
        <v>105.16</v>
      </c>
      <c r="M7" s="170">
        <f>L7*'Changable Values'!$D$4</f>
        <v>8728.2799999999988</v>
      </c>
      <c r="N7" s="170" t="str">
        <f>'BD Team'!E12</f>
        <v>6MM (ST-167)</v>
      </c>
      <c r="O7" s="172">
        <v>1870</v>
      </c>
      <c r="P7" s="236"/>
      <c r="Q7" s="173">
        <f>50*10.764</f>
        <v>538.19999999999993</v>
      </c>
      <c r="R7" s="180"/>
      <c r="S7" s="307"/>
      <c r="T7" s="308">
        <f t="shared" si="2"/>
        <v>14.226666666666667</v>
      </c>
      <c r="U7" s="308">
        <f t="shared" si="3"/>
        <v>17.071999999999999</v>
      </c>
      <c r="V7" s="308">
        <f t="shared" si="4"/>
        <v>0.88916666666666666</v>
      </c>
      <c r="W7" s="308">
        <f t="shared" si="5"/>
        <v>14.226666666666667</v>
      </c>
      <c r="X7" s="308">
        <f t="shared" si="6"/>
        <v>28.453333333333333</v>
      </c>
      <c r="Y7" s="308">
        <f t="shared" si="7"/>
        <v>8.5359999999999996</v>
      </c>
    </row>
    <row r="8" spans="1:25">
      <c r="A8" s="118">
        <f>'BD Team'!A13</f>
        <v>5</v>
      </c>
      <c r="B8" s="118" t="str">
        <f>'BD Team'!B13</f>
        <v>G2G 2</v>
      </c>
      <c r="C8" s="118" t="str">
        <f>'BD Team'!C13</f>
        <v>M900</v>
      </c>
      <c r="D8" s="118" t="str">
        <f>'BD Team'!D13</f>
        <v>CORNOR WINDOW FIXED GLASS</v>
      </c>
      <c r="E8" s="118" t="str">
        <f>'BD Team'!F13</f>
        <v>NO</v>
      </c>
      <c r="F8" s="121" t="str">
        <f>'BD Team'!G13</f>
        <v>GF - LIVING</v>
      </c>
      <c r="G8" s="118">
        <f>'BD Team'!H13</f>
        <v>3270</v>
      </c>
      <c r="H8" s="118">
        <f>'BD Team'!I13</f>
        <v>2360</v>
      </c>
      <c r="I8" s="118">
        <f>'BD Team'!J13</f>
        <v>1</v>
      </c>
      <c r="J8" s="103">
        <f t="shared" si="0"/>
        <v>83.067940800000002</v>
      </c>
      <c r="K8" s="172">
        <f>'BD Team'!K13</f>
        <v>61.73</v>
      </c>
      <c r="L8" s="171">
        <f t="shared" si="1"/>
        <v>61.73</v>
      </c>
      <c r="M8" s="170">
        <f>L8*'Changable Values'!$D$4</f>
        <v>5123.59</v>
      </c>
      <c r="N8" s="170" t="str">
        <f>'BD Team'!E13</f>
        <v>12MM (ST-167)</v>
      </c>
      <c r="O8" s="172">
        <v>2758</v>
      </c>
      <c r="P8" s="236"/>
      <c r="Q8" s="173"/>
      <c r="R8" s="180"/>
      <c r="S8" s="307"/>
      <c r="T8" s="308">
        <f t="shared" si="2"/>
        <v>37.533333333333331</v>
      </c>
      <c r="U8" s="308">
        <f t="shared" si="3"/>
        <v>45.04</v>
      </c>
      <c r="V8" s="308">
        <f t="shared" si="4"/>
        <v>2.3458333333333332</v>
      </c>
      <c r="W8" s="308">
        <f t="shared" si="5"/>
        <v>37.533333333333331</v>
      </c>
      <c r="X8" s="308">
        <f t="shared" si="6"/>
        <v>75.066666666666663</v>
      </c>
      <c r="Y8" s="308">
        <f t="shared" si="7"/>
        <v>22.52</v>
      </c>
    </row>
    <row r="9" spans="1:25">
      <c r="A9" s="118">
        <f>'BD Team'!A14</f>
        <v>6</v>
      </c>
      <c r="B9" s="118" t="str">
        <f>'BD Team'!B14</f>
        <v>SD1</v>
      </c>
      <c r="C9" s="118" t="str">
        <f>'BD Team'!C14</f>
        <v>M14600</v>
      </c>
      <c r="D9" s="118" t="str">
        <f>'BD Team'!D14</f>
        <v>3 TRACK 4 SHUTTER SLIDING DOOR</v>
      </c>
      <c r="E9" s="118" t="str">
        <f>'BD Team'!F14</f>
        <v>SS</v>
      </c>
      <c r="F9" s="121" t="str">
        <f>'BD Team'!G14</f>
        <v>GF - LIVING</v>
      </c>
      <c r="G9" s="118">
        <f>'BD Team'!H14</f>
        <v>3585</v>
      </c>
      <c r="H9" s="118">
        <f>'BD Team'!I14</f>
        <v>2800</v>
      </c>
      <c r="I9" s="118">
        <f>'BD Team'!J14</f>
        <v>1</v>
      </c>
      <c r="J9" s="103">
        <f t="shared" si="0"/>
        <v>108.049032</v>
      </c>
      <c r="K9" s="172">
        <f>'BD Team'!K14</f>
        <v>1093.8800000000001</v>
      </c>
      <c r="L9" s="171">
        <f t="shared" si="1"/>
        <v>1093.8800000000001</v>
      </c>
      <c r="M9" s="170">
        <f>L9*'Changable Values'!$D$4</f>
        <v>90792.040000000008</v>
      </c>
      <c r="N9" s="170" t="str">
        <f>'BD Team'!E14</f>
        <v>8MM (ST-167)</v>
      </c>
      <c r="O9" s="172">
        <v>2190</v>
      </c>
      <c r="P9" s="236"/>
      <c r="Q9" s="173">
        <f t="shared" ref="Q9:Q10" si="8">50*10.764</f>
        <v>538.19999999999993</v>
      </c>
      <c r="R9" s="180"/>
      <c r="S9" s="307"/>
      <c r="T9" s="308">
        <f t="shared" si="2"/>
        <v>42.56666666666667</v>
      </c>
      <c r="U9" s="308">
        <f t="shared" si="3"/>
        <v>51.08</v>
      </c>
      <c r="V9" s="308">
        <f t="shared" si="4"/>
        <v>2.6604166666666669</v>
      </c>
      <c r="W9" s="308">
        <f t="shared" si="5"/>
        <v>42.56666666666667</v>
      </c>
      <c r="X9" s="308">
        <f t="shared" si="6"/>
        <v>85.13333333333334</v>
      </c>
      <c r="Y9" s="308">
        <f t="shared" si="7"/>
        <v>25.54</v>
      </c>
    </row>
    <row r="10" spans="1:25">
      <c r="A10" s="118">
        <f>'BD Team'!A15</f>
        <v>7</v>
      </c>
      <c r="B10" s="118" t="str">
        <f>'BD Team'!B15</f>
        <v>SW3</v>
      </c>
      <c r="C10" s="118" t="str">
        <f>'BD Team'!C15</f>
        <v>M900</v>
      </c>
      <c r="D10" s="118" t="str">
        <f>'BD Team'!D15</f>
        <v>3 TRACK 2 SHUTTER SLIDING WINDOW</v>
      </c>
      <c r="E10" s="118" t="str">
        <f>'BD Team'!F15</f>
        <v>SS</v>
      </c>
      <c r="F10" s="121" t="str">
        <f>'BD Team'!G15</f>
        <v>GF - KITCHEN</v>
      </c>
      <c r="G10" s="118">
        <f>'BD Team'!H15</f>
        <v>1380</v>
      </c>
      <c r="H10" s="118">
        <f>'BD Team'!I15</f>
        <v>550</v>
      </c>
      <c r="I10" s="118">
        <f>'BD Team'!J15</f>
        <v>1</v>
      </c>
      <c r="J10" s="103">
        <f t="shared" si="0"/>
        <v>8.1698759999999986</v>
      </c>
      <c r="K10" s="172">
        <f>'BD Team'!K15</f>
        <v>98.24</v>
      </c>
      <c r="L10" s="171">
        <f t="shared" si="1"/>
        <v>98.24</v>
      </c>
      <c r="M10" s="170">
        <f>L10*'Changable Values'!$D$4</f>
        <v>8153.9199999999992</v>
      </c>
      <c r="N10" s="170" t="str">
        <f>'BD Team'!E15</f>
        <v>6MM (ST-167)</v>
      </c>
      <c r="O10" s="172">
        <v>1870</v>
      </c>
      <c r="P10" s="236"/>
      <c r="Q10" s="173">
        <f t="shared" si="8"/>
        <v>538.19999999999993</v>
      </c>
      <c r="R10" s="180"/>
      <c r="S10" s="307"/>
      <c r="T10" s="308">
        <f t="shared" si="2"/>
        <v>12.866666666666667</v>
      </c>
      <c r="U10" s="308">
        <f t="shared" si="3"/>
        <v>15.44</v>
      </c>
      <c r="V10" s="308">
        <f t="shared" si="4"/>
        <v>0.8041666666666667</v>
      </c>
      <c r="W10" s="308">
        <f t="shared" si="5"/>
        <v>12.866666666666667</v>
      </c>
      <c r="X10" s="308">
        <f t="shared" si="6"/>
        <v>25.733333333333334</v>
      </c>
      <c r="Y10" s="308">
        <f t="shared" si="7"/>
        <v>7.72</v>
      </c>
    </row>
    <row r="11" spans="1:25">
      <c r="A11" s="118">
        <f>'BD Team'!A16</f>
        <v>8</v>
      </c>
      <c r="B11" s="118" t="str">
        <f>'BD Team'!B16</f>
        <v>CW2</v>
      </c>
      <c r="C11" s="118" t="str">
        <f>'BD Team'!C16</f>
        <v>M940</v>
      </c>
      <c r="D11" s="118" t="str">
        <f>'BD Team'!D16</f>
        <v>SIDE HUNG WINDOW</v>
      </c>
      <c r="E11" s="118" t="str">
        <f>'BD Team'!F16</f>
        <v>NO</v>
      </c>
      <c r="F11" s="121" t="str">
        <f>'BD Team'!G16</f>
        <v>GF - KITCHEN</v>
      </c>
      <c r="G11" s="118">
        <f>'BD Team'!H16</f>
        <v>760</v>
      </c>
      <c r="H11" s="118">
        <f>'BD Team'!I16</f>
        <v>1220</v>
      </c>
      <c r="I11" s="118">
        <f>'BD Team'!J16</f>
        <v>2</v>
      </c>
      <c r="J11" s="103">
        <f t="shared" si="0"/>
        <v>19.960761599999998</v>
      </c>
      <c r="K11" s="172">
        <f>'BD Team'!K16</f>
        <v>110.28</v>
      </c>
      <c r="L11" s="171">
        <f t="shared" si="1"/>
        <v>220.56</v>
      </c>
      <c r="M11" s="170">
        <f>L11*'Changable Values'!$D$4</f>
        <v>18306.48</v>
      </c>
      <c r="N11" s="170" t="str">
        <f>'BD Team'!E16</f>
        <v>6MM (ST-167)</v>
      </c>
      <c r="O11" s="172">
        <v>1870</v>
      </c>
      <c r="P11" s="236"/>
      <c r="Q11" s="173"/>
      <c r="R11" s="180"/>
      <c r="S11" s="307"/>
      <c r="T11" s="308">
        <f t="shared" si="2"/>
        <v>26.4</v>
      </c>
      <c r="U11" s="308">
        <f t="shared" si="3"/>
        <v>31.68</v>
      </c>
      <c r="V11" s="308">
        <f t="shared" si="4"/>
        <v>1.65</v>
      </c>
      <c r="W11" s="308">
        <f t="shared" si="5"/>
        <v>26.4</v>
      </c>
      <c r="X11" s="308">
        <f t="shared" si="6"/>
        <v>52.8</v>
      </c>
      <c r="Y11" s="308">
        <f t="shared" si="7"/>
        <v>15.84</v>
      </c>
    </row>
    <row r="12" spans="1:25">
      <c r="A12" s="118">
        <f>'BD Team'!A17</f>
        <v>9</v>
      </c>
      <c r="B12" s="118" t="str">
        <f>'BD Team'!B17</f>
        <v>CW3</v>
      </c>
      <c r="C12" s="118" t="str">
        <f>'BD Team'!C17</f>
        <v>M940</v>
      </c>
      <c r="D12" s="118" t="str">
        <f>'BD Team'!D17</f>
        <v>TOP HUNG WINDOW</v>
      </c>
      <c r="E12" s="118" t="str">
        <f>'BD Team'!F17</f>
        <v>NO</v>
      </c>
      <c r="F12" s="121" t="str">
        <f>'BD Team'!G17</f>
        <v>GF - STORE</v>
      </c>
      <c r="G12" s="118">
        <f>'BD Team'!H17</f>
        <v>720</v>
      </c>
      <c r="H12" s="118">
        <f>'BD Team'!I17</f>
        <v>840</v>
      </c>
      <c r="I12" s="118">
        <f>'BD Team'!J17</f>
        <v>1</v>
      </c>
      <c r="J12" s="103">
        <f t="shared" si="0"/>
        <v>6.5100671999999991</v>
      </c>
      <c r="K12" s="172">
        <f>'BD Team'!K17</f>
        <v>119.39</v>
      </c>
      <c r="L12" s="171">
        <f t="shared" si="1"/>
        <v>119.39</v>
      </c>
      <c r="M12" s="170">
        <f>L12*'Changable Values'!$D$4</f>
        <v>9909.3700000000008</v>
      </c>
      <c r="N12" s="170" t="str">
        <f>'BD Team'!E17</f>
        <v>6MM (ST-167)</v>
      </c>
      <c r="O12" s="172">
        <v>1870</v>
      </c>
      <c r="P12" s="236"/>
      <c r="Q12" s="173"/>
      <c r="R12" s="180"/>
      <c r="S12" s="307"/>
      <c r="T12" s="308">
        <f t="shared" si="2"/>
        <v>10.4</v>
      </c>
      <c r="U12" s="308">
        <f t="shared" si="3"/>
        <v>12.48</v>
      </c>
      <c r="V12" s="308">
        <f t="shared" si="4"/>
        <v>0.65</v>
      </c>
      <c r="W12" s="308">
        <f t="shared" si="5"/>
        <v>10.4</v>
      </c>
      <c r="X12" s="308">
        <f t="shared" si="6"/>
        <v>20.8</v>
      </c>
      <c r="Y12" s="308">
        <f t="shared" si="7"/>
        <v>6.24</v>
      </c>
    </row>
    <row r="13" spans="1:25">
      <c r="A13" s="118">
        <f>'BD Team'!A18</f>
        <v>10</v>
      </c>
      <c r="B13" s="118" t="str">
        <f>'BD Team'!B18</f>
        <v>SD2</v>
      </c>
      <c r="C13" s="118" t="str">
        <f>'BD Team'!C18</f>
        <v>M14600</v>
      </c>
      <c r="D13" s="118" t="str">
        <f>'BD Team'!D18</f>
        <v>3 TRACK 2 SHUTTER SLIDING DOOR</v>
      </c>
      <c r="E13" s="118" t="str">
        <f>'BD Team'!F18</f>
        <v>SS</v>
      </c>
      <c r="F13" s="121" t="str">
        <f>'BD Team'!G18</f>
        <v>GF - DINING &amp; 1F - BALCONY</v>
      </c>
      <c r="G13" s="118">
        <f>'BD Team'!H18</f>
        <v>2700</v>
      </c>
      <c r="H13" s="118">
        <f>'BD Team'!I18</f>
        <v>2350</v>
      </c>
      <c r="I13" s="118">
        <f>'BD Team'!J18</f>
        <v>2</v>
      </c>
      <c r="J13" s="103">
        <f t="shared" si="0"/>
        <v>136.59515999999999</v>
      </c>
      <c r="K13" s="172">
        <f>'BD Team'!K18</f>
        <v>484.58</v>
      </c>
      <c r="L13" s="171">
        <f t="shared" si="1"/>
        <v>969.16</v>
      </c>
      <c r="M13" s="170">
        <f>L13*'Changable Values'!$D$4</f>
        <v>80440.28</v>
      </c>
      <c r="N13" s="170" t="str">
        <f>'BD Team'!E18</f>
        <v>8MM (ST-167)</v>
      </c>
      <c r="O13" s="172">
        <v>2190</v>
      </c>
      <c r="P13" s="236"/>
      <c r="Q13" s="173">
        <f t="shared" ref="Q13:Q15" si="9">50*10.764</f>
        <v>538.19999999999993</v>
      </c>
      <c r="R13" s="180"/>
      <c r="S13" s="307"/>
      <c r="T13" s="308">
        <f t="shared" si="2"/>
        <v>67.333333333333329</v>
      </c>
      <c r="U13" s="308">
        <f t="shared" si="3"/>
        <v>80.8</v>
      </c>
      <c r="V13" s="308">
        <f t="shared" si="4"/>
        <v>4.208333333333333</v>
      </c>
      <c r="W13" s="308">
        <f t="shared" si="5"/>
        <v>67.333333333333329</v>
      </c>
      <c r="X13" s="308">
        <f t="shared" si="6"/>
        <v>134.66666666666666</v>
      </c>
      <c r="Y13" s="308">
        <f t="shared" si="7"/>
        <v>40.4</v>
      </c>
    </row>
    <row r="14" spans="1:25">
      <c r="A14" s="118">
        <f>'BD Team'!A19</f>
        <v>11</v>
      </c>
      <c r="B14" s="118" t="str">
        <f>'BD Team'!B19</f>
        <v>SW4</v>
      </c>
      <c r="C14" s="118" t="str">
        <f>'BD Team'!C19</f>
        <v>M14600</v>
      </c>
      <c r="D14" s="118" t="str">
        <f>'BD Team'!D19</f>
        <v>3 TRACK 2 SHUTTER SLIDING WINDOW</v>
      </c>
      <c r="E14" s="118" t="str">
        <f>'BD Team'!F19</f>
        <v>SS</v>
      </c>
      <c r="F14" s="121" t="str">
        <f>'BD Team'!G19</f>
        <v>GF - MASTER BEDROOM</v>
      </c>
      <c r="G14" s="118">
        <f>'BD Team'!H19</f>
        <v>1575</v>
      </c>
      <c r="H14" s="118">
        <f>'BD Team'!I19</f>
        <v>1700</v>
      </c>
      <c r="I14" s="118">
        <f>'BD Team'!J19</f>
        <v>1</v>
      </c>
      <c r="J14" s="103">
        <f t="shared" si="0"/>
        <v>28.820609999999999</v>
      </c>
      <c r="K14" s="172">
        <f>'BD Team'!K19</f>
        <v>332.88</v>
      </c>
      <c r="L14" s="171">
        <f t="shared" si="1"/>
        <v>332.88</v>
      </c>
      <c r="M14" s="170">
        <f>L14*'Changable Values'!$D$4</f>
        <v>27629.040000000001</v>
      </c>
      <c r="N14" s="170" t="str">
        <f>'BD Team'!E19</f>
        <v>6MM (ST-167)</v>
      </c>
      <c r="O14" s="172">
        <v>1870</v>
      </c>
      <c r="P14" s="236"/>
      <c r="Q14" s="173">
        <f t="shared" si="9"/>
        <v>538.19999999999993</v>
      </c>
      <c r="R14" s="180"/>
      <c r="S14" s="307"/>
      <c r="T14" s="308">
        <f t="shared" si="2"/>
        <v>21.833333333333332</v>
      </c>
      <c r="U14" s="308">
        <f t="shared" si="3"/>
        <v>26.2</v>
      </c>
      <c r="V14" s="308">
        <f t="shared" si="4"/>
        <v>1.3645833333333333</v>
      </c>
      <c r="W14" s="308">
        <f t="shared" si="5"/>
        <v>21.833333333333332</v>
      </c>
      <c r="X14" s="308">
        <f t="shared" si="6"/>
        <v>43.666666666666664</v>
      </c>
      <c r="Y14" s="308">
        <f t="shared" si="7"/>
        <v>13.1</v>
      </c>
    </row>
    <row r="15" spans="1:25" ht="28.5">
      <c r="A15" s="118">
        <f>'BD Team'!A20</f>
        <v>12</v>
      </c>
      <c r="B15" s="118" t="str">
        <f>'BD Team'!B20</f>
        <v>SW5</v>
      </c>
      <c r="C15" s="118" t="str">
        <f>'BD Team'!C20</f>
        <v>M14600</v>
      </c>
      <c r="D15" s="118" t="str">
        <f>'BD Team'!D20</f>
        <v>3 TRACK 2 SHUTTER SLIDING WINDOW</v>
      </c>
      <c r="E15" s="118" t="str">
        <f>'BD Team'!F20</f>
        <v>SS</v>
      </c>
      <c r="F15" s="121" t="str">
        <f>'BD Team'!G20</f>
        <v>GF &amp; 1F - MASTER BEDROOM</v>
      </c>
      <c r="G15" s="118">
        <f>'BD Team'!H20</f>
        <v>2400</v>
      </c>
      <c r="H15" s="118">
        <f>'BD Team'!I20</f>
        <v>1700</v>
      </c>
      <c r="I15" s="118">
        <f>'BD Team'!J20</f>
        <v>2</v>
      </c>
      <c r="J15" s="103">
        <f t="shared" si="0"/>
        <v>87.834239999999994</v>
      </c>
      <c r="K15" s="172">
        <f>'BD Team'!K20</f>
        <v>381.27</v>
      </c>
      <c r="L15" s="171">
        <f t="shared" si="1"/>
        <v>762.54</v>
      </c>
      <c r="M15" s="170">
        <f>L15*'Changable Values'!$D$4</f>
        <v>63290.82</v>
      </c>
      <c r="N15" s="170" t="str">
        <f>'BD Team'!E20</f>
        <v>6MM (ST-167)</v>
      </c>
      <c r="O15" s="172">
        <v>1870</v>
      </c>
      <c r="P15" s="236"/>
      <c r="Q15" s="173">
        <f t="shared" si="9"/>
        <v>538.19999999999993</v>
      </c>
      <c r="R15" s="180"/>
      <c r="S15" s="307"/>
      <c r="T15" s="308">
        <f t="shared" si="2"/>
        <v>54.666666666666664</v>
      </c>
      <c r="U15" s="308">
        <f t="shared" si="3"/>
        <v>65.599999999999994</v>
      </c>
      <c r="V15" s="308">
        <f t="shared" si="4"/>
        <v>3.4166666666666665</v>
      </c>
      <c r="W15" s="308">
        <f t="shared" si="5"/>
        <v>54.666666666666664</v>
      </c>
      <c r="X15" s="308">
        <f t="shared" si="6"/>
        <v>109.33333333333333</v>
      </c>
      <c r="Y15" s="308">
        <f t="shared" si="7"/>
        <v>32.799999999999997</v>
      </c>
    </row>
    <row r="16" spans="1:25">
      <c r="A16" s="118">
        <f>'BD Team'!A21</f>
        <v>13</v>
      </c>
      <c r="B16" s="118" t="str">
        <f>'BD Team'!B21</f>
        <v>V</v>
      </c>
      <c r="C16" s="118" t="str">
        <f>'BD Team'!C21</f>
        <v>M940</v>
      </c>
      <c r="D16" s="118" t="str">
        <f>'BD Team'!D21</f>
        <v>TOP HUNG WINDOW WITH FIXED GLASS</v>
      </c>
      <c r="E16" s="118" t="str">
        <f>'BD Team'!F21</f>
        <v>NO</v>
      </c>
      <c r="F16" s="121" t="str">
        <f>'BD Team'!G21</f>
        <v>TOILET</v>
      </c>
      <c r="G16" s="118">
        <f>'BD Team'!H21</f>
        <v>1220</v>
      </c>
      <c r="H16" s="118">
        <f>'BD Team'!I21</f>
        <v>610</v>
      </c>
      <c r="I16" s="118">
        <f>'BD Team'!J21</f>
        <v>1</v>
      </c>
      <c r="J16" s="103">
        <f t="shared" si="0"/>
        <v>8.0105687999999997</v>
      </c>
      <c r="K16" s="172">
        <f>'BD Team'!K21</f>
        <v>153.85</v>
      </c>
      <c r="L16" s="171">
        <f t="shared" si="1"/>
        <v>153.85</v>
      </c>
      <c r="M16" s="170">
        <f>L16*'Changable Values'!$D$4</f>
        <v>12769.55</v>
      </c>
      <c r="N16" s="170" t="str">
        <f>'BD Team'!E21</f>
        <v>6MM (F)</v>
      </c>
      <c r="O16" s="172">
        <v>2003</v>
      </c>
      <c r="P16" s="236"/>
      <c r="Q16" s="173"/>
      <c r="R16" s="180"/>
      <c r="S16" s="307"/>
      <c r="T16" s="308">
        <f t="shared" si="2"/>
        <v>12.2</v>
      </c>
      <c r="U16" s="308">
        <f t="shared" si="3"/>
        <v>14.64</v>
      </c>
      <c r="V16" s="308">
        <f t="shared" si="4"/>
        <v>0.76249999999999996</v>
      </c>
      <c r="W16" s="308">
        <f t="shared" si="5"/>
        <v>12.2</v>
      </c>
      <c r="X16" s="308">
        <f t="shared" si="6"/>
        <v>24.4</v>
      </c>
      <c r="Y16" s="308">
        <f t="shared" si="7"/>
        <v>7.32</v>
      </c>
    </row>
    <row r="17" spans="1:25">
      <c r="A17" s="118">
        <f>'BD Team'!A22</f>
        <v>14</v>
      </c>
      <c r="B17" s="118" t="str">
        <f>'BD Team'!B22</f>
        <v>SW6</v>
      </c>
      <c r="C17" s="118" t="str">
        <f>'BD Team'!C22</f>
        <v>M14600</v>
      </c>
      <c r="D17" s="118" t="str">
        <f>'BD Team'!D22</f>
        <v>3 TRACK 2 SHUTTER SLIDING WINDOW</v>
      </c>
      <c r="E17" s="118" t="str">
        <f>'BD Team'!F22</f>
        <v>SS</v>
      </c>
      <c r="F17" s="121" t="str">
        <f>'BD Team'!G22</f>
        <v>GUEST BEDROOM &amp; GYM</v>
      </c>
      <c r="G17" s="118">
        <f>'BD Team'!H22</f>
        <v>1830</v>
      </c>
      <c r="H17" s="118">
        <f>'BD Team'!I22</f>
        <v>1700</v>
      </c>
      <c r="I17" s="118">
        <f>'BD Team'!J22</f>
        <v>2</v>
      </c>
      <c r="J17" s="103">
        <f t="shared" si="0"/>
        <v>66.973607999999999</v>
      </c>
      <c r="K17" s="172">
        <f>'BD Team'!K22</f>
        <v>347.84</v>
      </c>
      <c r="L17" s="171">
        <f t="shared" si="1"/>
        <v>695.68</v>
      </c>
      <c r="M17" s="170">
        <f>L17*'Changable Values'!$D$4</f>
        <v>57741.439999999995</v>
      </c>
      <c r="N17" s="170" t="str">
        <f>'BD Team'!E22</f>
        <v>6MM (ST-167)</v>
      </c>
      <c r="O17" s="172">
        <v>1870</v>
      </c>
      <c r="P17" s="236"/>
      <c r="Q17" s="173">
        <f t="shared" ref="Q17:Q19" si="10">50*10.764</f>
        <v>538.19999999999993</v>
      </c>
      <c r="R17" s="180"/>
      <c r="S17" s="307"/>
      <c r="T17" s="308">
        <f t="shared" si="2"/>
        <v>47.06666666666667</v>
      </c>
      <c r="U17" s="308">
        <f t="shared" si="3"/>
        <v>56.48</v>
      </c>
      <c r="V17" s="308">
        <f t="shared" si="4"/>
        <v>2.9416666666666669</v>
      </c>
      <c r="W17" s="308">
        <f t="shared" si="5"/>
        <v>47.06666666666667</v>
      </c>
      <c r="X17" s="308">
        <f t="shared" si="6"/>
        <v>94.13333333333334</v>
      </c>
      <c r="Y17" s="308">
        <f t="shared" si="7"/>
        <v>28.24</v>
      </c>
    </row>
    <row r="18" spans="1:25">
      <c r="A18" s="118">
        <f>'BD Team'!A23</f>
        <v>15</v>
      </c>
      <c r="B18" s="118" t="str">
        <f>'BD Team'!B23</f>
        <v>SW7</v>
      </c>
      <c r="C18" s="118" t="str">
        <f>'BD Team'!C23</f>
        <v>M14600</v>
      </c>
      <c r="D18" s="118" t="str">
        <f>'BD Team'!D23</f>
        <v>3 TRACK 2 SHUTTER SLIDING WINDOW</v>
      </c>
      <c r="E18" s="118" t="str">
        <f>'BD Team'!F23</f>
        <v>SS</v>
      </c>
      <c r="F18" s="121" t="str">
        <f>'BD Team'!G23</f>
        <v>GUEST BEDROOM</v>
      </c>
      <c r="G18" s="118">
        <f>'BD Team'!H23</f>
        <v>2440</v>
      </c>
      <c r="H18" s="118">
        <f>'BD Team'!I23</f>
        <v>830</v>
      </c>
      <c r="I18" s="118">
        <f>'BD Team'!J23</f>
        <v>2</v>
      </c>
      <c r="J18" s="103">
        <f t="shared" si="0"/>
        <v>43.598505599999996</v>
      </c>
      <c r="K18" s="172">
        <f>'BD Team'!K23</f>
        <v>295.97000000000003</v>
      </c>
      <c r="L18" s="171">
        <f t="shared" si="1"/>
        <v>591.94000000000005</v>
      </c>
      <c r="M18" s="170">
        <f>L18*'Changable Values'!$D$4</f>
        <v>49131.020000000004</v>
      </c>
      <c r="N18" s="170" t="str">
        <f>'BD Team'!E23</f>
        <v>13.52MM (ST-167)</v>
      </c>
      <c r="O18" s="172">
        <v>5276</v>
      </c>
      <c r="P18" s="236"/>
      <c r="Q18" s="173">
        <f t="shared" si="10"/>
        <v>538.19999999999993</v>
      </c>
      <c r="R18" s="180"/>
      <c r="S18" s="307"/>
      <c r="T18" s="308">
        <f t="shared" si="2"/>
        <v>43.6</v>
      </c>
      <c r="U18" s="308">
        <f t="shared" si="3"/>
        <v>52.32</v>
      </c>
      <c r="V18" s="308">
        <f t="shared" si="4"/>
        <v>2.7250000000000001</v>
      </c>
      <c r="W18" s="308">
        <f t="shared" si="5"/>
        <v>43.6</v>
      </c>
      <c r="X18" s="308">
        <f t="shared" si="6"/>
        <v>87.2</v>
      </c>
      <c r="Y18" s="308">
        <f t="shared" si="7"/>
        <v>26.16</v>
      </c>
    </row>
    <row r="19" spans="1:25">
      <c r="A19" s="118">
        <f>'BD Team'!A24</f>
        <v>16</v>
      </c>
      <c r="B19" s="118" t="str">
        <f>'BD Team'!B24</f>
        <v>SW8</v>
      </c>
      <c r="C19" s="118" t="str">
        <f>'BD Team'!C24</f>
        <v>M14600</v>
      </c>
      <c r="D19" s="118" t="str">
        <f>'BD Team'!D24</f>
        <v>3 TRACK 2 SHUTTER SLIDING WINDOW</v>
      </c>
      <c r="E19" s="118" t="str">
        <f>'BD Team'!F24</f>
        <v>SS</v>
      </c>
      <c r="F19" s="121" t="str">
        <f>'BD Team'!G24</f>
        <v>CBR &amp; MBR</v>
      </c>
      <c r="G19" s="118">
        <f>'BD Team'!H24</f>
        <v>1220</v>
      </c>
      <c r="H19" s="118">
        <f>'BD Team'!I24</f>
        <v>1700</v>
      </c>
      <c r="I19" s="118">
        <f>'BD Team'!J24</f>
        <v>4</v>
      </c>
      <c r="J19" s="103">
        <f t="shared" si="0"/>
        <v>89.298143999999994</v>
      </c>
      <c r="K19" s="172">
        <f>'BD Team'!K24</f>
        <v>312.06</v>
      </c>
      <c r="L19" s="171">
        <f t="shared" si="1"/>
        <v>1248.24</v>
      </c>
      <c r="M19" s="170">
        <f>L19*'Changable Values'!$D$4</f>
        <v>103603.92</v>
      </c>
      <c r="N19" s="170" t="str">
        <f>'BD Team'!E24</f>
        <v>6MM (ST-167)</v>
      </c>
      <c r="O19" s="172">
        <v>1870</v>
      </c>
      <c r="P19" s="236"/>
      <c r="Q19" s="173">
        <f t="shared" si="10"/>
        <v>538.19999999999993</v>
      </c>
      <c r="R19" s="180"/>
      <c r="S19" s="307"/>
      <c r="T19" s="308">
        <f t="shared" si="2"/>
        <v>77.86666666666666</v>
      </c>
      <c r="U19" s="308">
        <f t="shared" si="3"/>
        <v>93.44</v>
      </c>
      <c r="V19" s="308">
        <f t="shared" si="4"/>
        <v>4.8666666666666663</v>
      </c>
      <c r="W19" s="308">
        <f t="shared" si="5"/>
        <v>77.86666666666666</v>
      </c>
      <c r="X19" s="308">
        <f t="shared" si="6"/>
        <v>155.73333333333332</v>
      </c>
      <c r="Y19" s="308">
        <f t="shared" si="7"/>
        <v>46.72</v>
      </c>
    </row>
    <row r="20" spans="1:25">
      <c r="A20" s="118">
        <f>'BD Team'!A25</f>
        <v>17</v>
      </c>
      <c r="B20" s="118" t="str">
        <f>'BD Team'!B25</f>
        <v>GSG 3</v>
      </c>
      <c r="C20" s="118" t="str">
        <f>'BD Team'!C25</f>
        <v>M900</v>
      </c>
      <c r="D20" s="118" t="str">
        <f>'BD Team'!D25</f>
        <v>CORNOR WINDOW FIXED GLASS</v>
      </c>
      <c r="E20" s="118" t="str">
        <f>'BD Team'!F25</f>
        <v>NO</v>
      </c>
      <c r="F20" s="121" t="str">
        <f>'BD Team'!G25</f>
        <v>CBR</v>
      </c>
      <c r="G20" s="118">
        <f>'BD Team'!H25</f>
        <v>3375</v>
      </c>
      <c r="H20" s="118">
        <f>'BD Team'!I25</f>
        <v>2170</v>
      </c>
      <c r="I20" s="118">
        <f>'BD Team'!J25</f>
        <v>1</v>
      </c>
      <c r="J20" s="103">
        <f t="shared" si="0"/>
        <v>78.832845000000006</v>
      </c>
      <c r="K20" s="172">
        <f>'BD Team'!K25</f>
        <v>60.82</v>
      </c>
      <c r="L20" s="171">
        <f t="shared" si="1"/>
        <v>60.82</v>
      </c>
      <c r="M20" s="170">
        <f>L20*'Changable Values'!$D$4</f>
        <v>5048.0600000000004</v>
      </c>
      <c r="N20" s="170" t="str">
        <f>'BD Team'!E25</f>
        <v>12MM (ST-167)</v>
      </c>
      <c r="O20" s="172">
        <v>2758</v>
      </c>
      <c r="P20" s="236"/>
      <c r="Q20" s="173"/>
      <c r="R20" s="180"/>
      <c r="S20" s="307"/>
      <c r="T20" s="308">
        <f t="shared" si="2"/>
        <v>36.966666666666669</v>
      </c>
      <c r="U20" s="308">
        <f t="shared" si="3"/>
        <v>44.36</v>
      </c>
      <c r="V20" s="308">
        <f t="shared" si="4"/>
        <v>2.3104166666666668</v>
      </c>
      <c r="W20" s="308">
        <f t="shared" si="5"/>
        <v>36.966666666666669</v>
      </c>
      <c r="X20" s="308">
        <f t="shared" si="6"/>
        <v>73.933333333333337</v>
      </c>
      <c r="Y20" s="308">
        <f t="shared" si="7"/>
        <v>22.18</v>
      </c>
    </row>
    <row r="21" spans="1:25">
      <c r="A21" s="118">
        <f>'BD Team'!A26</f>
        <v>18</v>
      </c>
      <c r="B21" s="118" t="str">
        <f>'BD Team'!B26</f>
        <v>CW3</v>
      </c>
      <c r="C21" s="118" t="str">
        <f>'BD Team'!C26</f>
        <v>M940</v>
      </c>
      <c r="D21" s="118" t="str">
        <f>'BD Team'!D26</f>
        <v>SIDE HUNG WINDOW WITH TOP FIXED</v>
      </c>
      <c r="E21" s="118" t="str">
        <f>'BD Team'!F26</f>
        <v>NO</v>
      </c>
      <c r="F21" s="121" t="str">
        <f>'BD Team'!G26</f>
        <v>CBR</v>
      </c>
      <c r="G21" s="118">
        <f>'BD Team'!H26</f>
        <v>700</v>
      </c>
      <c r="H21" s="118">
        <f>'BD Team'!I26</f>
        <v>2170</v>
      </c>
      <c r="I21" s="118">
        <f>'BD Team'!J26</f>
        <v>1</v>
      </c>
      <c r="J21" s="103">
        <f t="shared" si="0"/>
        <v>16.350515999999999</v>
      </c>
      <c r="K21" s="172">
        <f>'BD Team'!K26</f>
        <v>161.80000000000001</v>
      </c>
      <c r="L21" s="171">
        <f t="shared" si="1"/>
        <v>161.80000000000001</v>
      </c>
      <c r="M21" s="170">
        <f>L21*'Changable Values'!$D$4</f>
        <v>13429.400000000001</v>
      </c>
      <c r="N21" s="170" t="str">
        <f>'BD Team'!E26</f>
        <v>6MM (ST-167)</v>
      </c>
      <c r="O21" s="172">
        <v>1870</v>
      </c>
      <c r="P21" s="236"/>
      <c r="Q21" s="173"/>
      <c r="R21" s="180"/>
      <c r="S21" s="307"/>
      <c r="T21" s="308">
        <f t="shared" si="2"/>
        <v>19.133333333333333</v>
      </c>
      <c r="U21" s="308">
        <f t="shared" si="3"/>
        <v>22.96</v>
      </c>
      <c r="V21" s="308">
        <f t="shared" si="4"/>
        <v>1.1958333333333333</v>
      </c>
      <c r="W21" s="308">
        <f t="shared" si="5"/>
        <v>19.133333333333333</v>
      </c>
      <c r="X21" s="308">
        <f t="shared" si="6"/>
        <v>38.266666666666666</v>
      </c>
      <c r="Y21" s="308">
        <f t="shared" si="7"/>
        <v>11.48</v>
      </c>
    </row>
    <row r="22" spans="1:25">
      <c r="A22" s="118">
        <f>'BD Team'!A27</f>
        <v>19</v>
      </c>
      <c r="B22" s="118" t="str">
        <f>'BD Team'!B27</f>
        <v>SD3</v>
      </c>
      <c r="C22" s="118" t="str">
        <f>'BD Team'!C27</f>
        <v>M14600</v>
      </c>
      <c r="D22" s="118" t="str">
        <f>'BD Team'!D27</f>
        <v>3 TRACK 2 SHUTTER SLIDING DOOR</v>
      </c>
      <c r="E22" s="118" t="str">
        <f>'BD Team'!F27</f>
        <v>SS</v>
      </c>
      <c r="F22" s="121" t="str">
        <f>'BD Team'!G27</f>
        <v>BALCONY NORTH</v>
      </c>
      <c r="G22" s="118">
        <f>'BD Team'!H27</f>
        <v>2000</v>
      </c>
      <c r="H22" s="118">
        <f>'BD Team'!I27</f>
        <v>2400</v>
      </c>
      <c r="I22" s="118">
        <f>'BD Team'!J27</f>
        <v>1</v>
      </c>
      <c r="J22" s="103">
        <f t="shared" si="0"/>
        <v>51.667200000000001</v>
      </c>
      <c r="K22" s="172">
        <f>'BD Team'!K27</f>
        <v>412.36</v>
      </c>
      <c r="L22" s="171">
        <f t="shared" si="1"/>
        <v>412.36</v>
      </c>
      <c r="M22" s="170">
        <f>L22*'Changable Values'!$D$4</f>
        <v>34225.880000000005</v>
      </c>
      <c r="N22" s="170" t="str">
        <f>'BD Team'!E27</f>
        <v>13.52MM (ST-167)</v>
      </c>
      <c r="O22" s="172">
        <v>5276</v>
      </c>
      <c r="P22" s="236"/>
      <c r="Q22" s="173">
        <f>50*10.764</f>
        <v>538.19999999999993</v>
      </c>
      <c r="R22" s="180"/>
      <c r="S22" s="307"/>
      <c r="T22" s="308">
        <f t="shared" si="2"/>
        <v>29.333333333333332</v>
      </c>
      <c r="U22" s="308">
        <f t="shared" si="3"/>
        <v>35.200000000000003</v>
      </c>
      <c r="V22" s="308">
        <f t="shared" si="4"/>
        <v>1.8333333333333333</v>
      </c>
      <c r="W22" s="308">
        <f t="shared" si="5"/>
        <v>29.333333333333332</v>
      </c>
      <c r="X22" s="308">
        <f t="shared" si="6"/>
        <v>58.666666666666664</v>
      </c>
      <c r="Y22" s="308">
        <f t="shared" si="7"/>
        <v>17.600000000000001</v>
      </c>
    </row>
    <row r="23" spans="1:25">
      <c r="A23" s="118">
        <f>'BD Team'!A28</f>
        <v>20</v>
      </c>
      <c r="B23" s="118" t="str">
        <f>'BD Team'!B28</f>
        <v>CW5</v>
      </c>
      <c r="C23" s="118" t="str">
        <f>'BD Team'!C28</f>
        <v>M940</v>
      </c>
      <c r="D23" s="118" t="str">
        <f>'BD Team'!D28</f>
        <v>FIXED GLASS 2 NO'S</v>
      </c>
      <c r="E23" s="118" t="str">
        <f>'BD Team'!F28</f>
        <v>NO</v>
      </c>
      <c r="F23" s="121" t="str">
        <f>'BD Team'!G28</f>
        <v>GYM</v>
      </c>
      <c r="G23" s="118">
        <f>'BD Team'!H28</f>
        <v>3900</v>
      </c>
      <c r="H23" s="118">
        <f>'BD Team'!I28</f>
        <v>2400</v>
      </c>
      <c r="I23" s="118">
        <f>'BD Team'!J28</f>
        <v>1</v>
      </c>
      <c r="J23" s="103">
        <f t="shared" si="0"/>
        <v>100.75104</v>
      </c>
      <c r="K23" s="172">
        <f>'BD Team'!K28</f>
        <v>156.53</v>
      </c>
      <c r="L23" s="171">
        <f t="shared" si="1"/>
        <v>156.53</v>
      </c>
      <c r="M23" s="170">
        <f>L23*'Changable Values'!$D$4</f>
        <v>12991.99</v>
      </c>
      <c r="N23" s="170" t="str">
        <f>'BD Team'!E28</f>
        <v>12MM (ST-167)</v>
      </c>
      <c r="O23" s="172">
        <v>2758</v>
      </c>
      <c r="P23" s="236"/>
      <c r="Q23" s="173"/>
      <c r="R23" s="180"/>
      <c r="S23" s="307"/>
      <c r="T23" s="308">
        <f t="shared" si="2"/>
        <v>42</v>
      </c>
      <c r="U23" s="308">
        <f t="shared" si="3"/>
        <v>50.4</v>
      </c>
      <c r="V23" s="308">
        <f t="shared" si="4"/>
        <v>2.625</v>
      </c>
      <c r="W23" s="308">
        <f t="shared" si="5"/>
        <v>42</v>
      </c>
      <c r="X23" s="308">
        <f t="shared" si="6"/>
        <v>84</v>
      </c>
      <c r="Y23" s="308">
        <f t="shared" si="7"/>
        <v>25.2</v>
      </c>
    </row>
    <row r="24" spans="1:25">
      <c r="A24" s="118">
        <f>'BD Team'!A29</f>
        <v>21</v>
      </c>
      <c r="B24" s="118" t="str">
        <f>'BD Team'!B29</f>
        <v>V1</v>
      </c>
      <c r="C24" s="118" t="str">
        <f>'BD Team'!C29</f>
        <v>M940</v>
      </c>
      <c r="D24" s="118" t="str">
        <f>'BD Team'!D29</f>
        <v>TOP HUNG WINDOW WITH BOTTOM FIXED</v>
      </c>
      <c r="E24" s="118" t="str">
        <f>'BD Team'!F29</f>
        <v>NO</v>
      </c>
      <c r="F24" s="121" t="str">
        <f>'BD Team'!G29</f>
        <v>GYM TOILET</v>
      </c>
      <c r="G24" s="118">
        <f>'BD Team'!H29</f>
        <v>760</v>
      </c>
      <c r="H24" s="118">
        <f>'BD Team'!I29</f>
        <v>1720</v>
      </c>
      <c r="I24" s="118">
        <f>'BD Team'!J29</f>
        <v>1</v>
      </c>
      <c r="J24" s="103">
        <f t="shared" si="0"/>
        <v>14.070700799999999</v>
      </c>
      <c r="K24" s="172">
        <f>'BD Team'!K29</f>
        <v>158.41</v>
      </c>
      <c r="L24" s="171">
        <f t="shared" si="1"/>
        <v>158.41</v>
      </c>
      <c r="M24" s="170">
        <f>L24*'Changable Values'!$D$4</f>
        <v>13148.029999999999</v>
      </c>
      <c r="N24" s="170" t="str">
        <f>'BD Team'!E29</f>
        <v>6MM (F)</v>
      </c>
      <c r="O24" s="172">
        <v>2003</v>
      </c>
      <c r="P24" s="236"/>
      <c r="Q24" s="173"/>
      <c r="R24" s="180"/>
      <c r="S24" s="307"/>
      <c r="T24" s="308">
        <f t="shared" si="2"/>
        <v>16.533333333333335</v>
      </c>
      <c r="U24" s="308">
        <f t="shared" si="3"/>
        <v>19.84</v>
      </c>
      <c r="V24" s="308">
        <f t="shared" si="4"/>
        <v>1.0333333333333334</v>
      </c>
      <c r="W24" s="308">
        <f t="shared" si="5"/>
        <v>16.533333333333335</v>
      </c>
      <c r="X24" s="308">
        <f t="shared" si="6"/>
        <v>33.06666666666667</v>
      </c>
      <c r="Y24" s="308">
        <f t="shared" si="7"/>
        <v>9.92</v>
      </c>
    </row>
    <row r="25" spans="1:25">
      <c r="A25" s="118">
        <f>'BD Team'!A30</f>
        <v>22</v>
      </c>
      <c r="B25" s="118" t="str">
        <f>'BD Team'!B30</f>
        <v>CW6</v>
      </c>
      <c r="C25" s="118" t="str">
        <f>'BD Team'!C30</f>
        <v>M940</v>
      </c>
      <c r="D25" s="118" t="str">
        <f>'BD Team'!D30</f>
        <v>FIXED GLASS 2 NO'S</v>
      </c>
      <c r="E25" s="118" t="str">
        <f>'BD Team'!F30</f>
        <v>NO</v>
      </c>
      <c r="F25" s="121" t="str">
        <f>'BD Team'!G30</f>
        <v>GYM</v>
      </c>
      <c r="G25" s="118">
        <f>'BD Team'!H30</f>
        <v>3585</v>
      </c>
      <c r="H25" s="118">
        <f>'BD Team'!I30</f>
        <v>2800</v>
      </c>
      <c r="I25" s="118">
        <f>'BD Team'!J30</f>
        <v>1</v>
      </c>
      <c r="J25" s="103">
        <f t="shared" si="0"/>
        <v>108.049032</v>
      </c>
      <c r="K25" s="172">
        <f>'BD Team'!K30</f>
        <v>210.33</v>
      </c>
      <c r="L25" s="171">
        <f t="shared" si="1"/>
        <v>210.33</v>
      </c>
      <c r="M25" s="170">
        <f>L25*'Changable Values'!$D$4</f>
        <v>17457.39</v>
      </c>
      <c r="N25" s="170" t="str">
        <f>'BD Team'!E30</f>
        <v>18.28MM (ST-167)</v>
      </c>
      <c r="O25" s="172">
        <v>7253</v>
      </c>
      <c r="P25" s="236"/>
      <c r="Q25" s="173"/>
      <c r="R25" s="180"/>
      <c r="S25" s="307"/>
      <c r="T25" s="308">
        <f t="shared" si="2"/>
        <v>42.56666666666667</v>
      </c>
      <c r="U25" s="308">
        <f t="shared" si="3"/>
        <v>51.08</v>
      </c>
      <c r="V25" s="308">
        <f t="shared" si="4"/>
        <v>2.6604166666666669</v>
      </c>
      <c r="W25" s="308">
        <f t="shared" si="5"/>
        <v>42.56666666666667</v>
      </c>
      <c r="X25" s="308">
        <f t="shared" si="6"/>
        <v>85.13333333333334</v>
      </c>
      <c r="Y25" s="308">
        <f t="shared" si="7"/>
        <v>25.54</v>
      </c>
    </row>
    <row r="26" spans="1:25">
      <c r="A26" s="118">
        <f>'BD Team'!A31</f>
        <v>23</v>
      </c>
      <c r="B26" s="118" t="str">
        <f>'BD Team'!B31</f>
        <v>SW9</v>
      </c>
      <c r="C26" s="118" t="str">
        <f>'BD Team'!C31</f>
        <v>M14600</v>
      </c>
      <c r="D26" s="118" t="str">
        <f>'BD Team'!D31</f>
        <v>3 TRACK 2 SHUTTER SLIDING WINDOW</v>
      </c>
      <c r="E26" s="118" t="str">
        <f>'BD Team'!F31</f>
        <v>SS</v>
      </c>
      <c r="F26" s="121" t="str">
        <f>'BD Team'!G31</f>
        <v>POOL</v>
      </c>
      <c r="G26" s="118">
        <f>'BD Team'!H31</f>
        <v>1160</v>
      </c>
      <c r="H26" s="118">
        <f>'BD Team'!I31</f>
        <v>1670</v>
      </c>
      <c r="I26" s="118">
        <f>'BD Team'!J31</f>
        <v>2</v>
      </c>
      <c r="J26" s="103">
        <f t="shared" si="0"/>
        <v>41.704041599999996</v>
      </c>
      <c r="K26" s="172">
        <f>'BD Team'!K31</f>
        <v>305.93</v>
      </c>
      <c r="L26" s="171">
        <f t="shared" si="1"/>
        <v>611.86</v>
      </c>
      <c r="M26" s="170">
        <f>L26*'Changable Values'!$D$4</f>
        <v>50784.380000000005</v>
      </c>
      <c r="N26" s="170" t="str">
        <f>'BD Team'!E31</f>
        <v>6MM (ST-167)</v>
      </c>
      <c r="O26" s="172">
        <v>1870</v>
      </c>
      <c r="P26" s="236"/>
      <c r="Q26" s="173">
        <f>50*10.764</f>
        <v>538.19999999999993</v>
      </c>
      <c r="R26" s="180"/>
      <c r="S26" s="307"/>
      <c r="T26" s="308">
        <f t="shared" si="2"/>
        <v>37.733333333333334</v>
      </c>
      <c r="U26" s="308">
        <f t="shared" si="3"/>
        <v>45.28</v>
      </c>
      <c r="V26" s="308">
        <f t="shared" si="4"/>
        <v>2.3583333333333334</v>
      </c>
      <c r="W26" s="308">
        <f t="shared" si="5"/>
        <v>37.733333333333334</v>
      </c>
      <c r="X26" s="308">
        <f t="shared" si="6"/>
        <v>75.466666666666669</v>
      </c>
      <c r="Y26" s="308">
        <f t="shared" si="7"/>
        <v>22.64</v>
      </c>
    </row>
    <row r="27" spans="1:25">
      <c r="A27" s="118">
        <f>'BD Team'!A32</f>
        <v>24</v>
      </c>
      <c r="B27" s="118" t="str">
        <f>'BD Team'!B32</f>
        <v>CW7</v>
      </c>
      <c r="C27" s="118" t="str">
        <f>'BD Team'!C32</f>
        <v>M940</v>
      </c>
      <c r="D27" s="118" t="str">
        <f>'BD Team'!D32</f>
        <v>FIXED GLASS</v>
      </c>
      <c r="E27" s="118" t="str">
        <f>'BD Team'!F32</f>
        <v>NO</v>
      </c>
      <c r="F27" s="121" t="str">
        <f>'BD Team'!G32</f>
        <v>POOL</v>
      </c>
      <c r="G27" s="118">
        <f>'BD Team'!H32</f>
        <v>2300</v>
      </c>
      <c r="H27" s="118">
        <f>'BD Team'!I32</f>
        <v>2380</v>
      </c>
      <c r="I27" s="118">
        <f>'BD Team'!J32</f>
        <v>1</v>
      </c>
      <c r="J27" s="103">
        <f t="shared" si="0"/>
        <v>58.922136000000002</v>
      </c>
      <c r="K27" s="172">
        <f>'BD Team'!K32</f>
        <v>71.650000000000006</v>
      </c>
      <c r="L27" s="171">
        <f t="shared" si="1"/>
        <v>71.650000000000006</v>
      </c>
      <c r="M27" s="170">
        <f>L27*'Changable Values'!$D$4</f>
        <v>5946.9500000000007</v>
      </c>
      <c r="N27" s="170" t="str">
        <f>'BD Team'!E32</f>
        <v>18.28MM (ST-167)</v>
      </c>
      <c r="O27" s="172">
        <v>7253</v>
      </c>
      <c r="P27" s="236"/>
      <c r="Q27" s="173"/>
      <c r="R27" s="180"/>
      <c r="S27" s="307"/>
      <c r="T27" s="308">
        <f t="shared" si="2"/>
        <v>31.2</v>
      </c>
      <c r="U27" s="308">
        <f t="shared" si="3"/>
        <v>37.44</v>
      </c>
      <c r="V27" s="308">
        <f t="shared" si="4"/>
        <v>1.95</v>
      </c>
      <c r="W27" s="308">
        <f t="shared" si="5"/>
        <v>31.2</v>
      </c>
      <c r="X27" s="308">
        <f t="shared" si="6"/>
        <v>62.4</v>
      </c>
      <c r="Y27" s="308">
        <f t="shared" si="7"/>
        <v>18.72</v>
      </c>
    </row>
    <row r="28" spans="1:25">
      <c r="A28" s="118">
        <f>'BD Team'!A33</f>
        <v>25</v>
      </c>
      <c r="B28" s="118" t="str">
        <f>'BD Team'!B33</f>
        <v>CW8</v>
      </c>
      <c r="C28" s="118" t="str">
        <f>'BD Team'!C33</f>
        <v>M940</v>
      </c>
      <c r="D28" s="118" t="str">
        <f>'BD Team'!D33</f>
        <v>FIXED GLASS 2 NO'S</v>
      </c>
      <c r="E28" s="118" t="str">
        <f>'BD Team'!F33</f>
        <v>NO</v>
      </c>
      <c r="F28" s="121" t="str">
        <f>'BD Team'!G33</f>
        <v>GYM</v>
      </c>
      <c r="G28" s="118">
        <f>'BD Team'!H33</f>
        <v>3060</v>
      </c>
      <c r="H28" s="118">
        <f>'BD Team'!I33</f>
        <v>2480</v>
      </c>
      <c r="I28" s="118">
        <f>'BD Team'!J33</f>
        <v>1</v>
      </c>
      <c r="J28" s="103">
        <f t="shared" si="0"/>
        <v>81.685843199999994</v>
      </c>
      <c r="K28" s="172">
        <f>'BD Team'!K33</f>
        <v>185.81</v>
      </c>
      <c r="L28" s="171">
        <f t="shared" si="1"/>
        <v>185.81</v>
      </c>
      <c r="M28" s="170">
        <f>L28*'Changable Values'!$D$4</f>
        <v>15422.23</v>
      </c>
      <c r="N28" s="170" t="str">
        <f>'BD Team'!E33</f>
        <v>18.28MM (ST-167)</v>
      </c>
      <c r="O28" s="172">
        <v>7253</v>
      </c>
      <c r="P28" s="236"/>
      <c r="Q28" s="173"/>
      <c r="R28" s="180"/>
      <c r="S28" s="307"/>
      <c r="T28" s="308">
        <f t="shared" si="2"/>
        <v>36.93333333333333</v>
      </c>
      <c r="U28" s="308">
        <f t="shared" si="3"/>
        <v>44.32</v>
      </c>
      <c r="V28" s="308">
        <f t="shared" si="4"/>
        <v>2.3083333333333331</v>
      </c>
      <c r="W28" s="308">
        <f t="shared" si="5"/>
        <v>36.93333333333333</v>
      </c>
      <c r="X28" s="308">
        <f t="shared" si="6"/>
        <v>73.86666666666666</v>
      </c>
      <c r="Y28" s="308">
        <f t="shared" si="7"/>
        <v>22.16</v>
      </c>
    </row>
    <row r="29" spans="1:25">
      <c r="A29" s="118">
        <f>'BD Team'!A34</f>
        <v>26</v>
      </c>
      <c r="B29" s="118" t="str">
        <f>'BD Team'!B34</f>
        <v>CW9</v>
      </c>
      <c r="C29" s="118" t="str">
        <f>'BD Team'!C34</f>
        <v>M940</v>
      </c>
      <c r="D29" s="118" t="str">
        <f>'BD Team'!D34</f>
        <v>FIXED GLASS 2 NO'S</v>
      </c>
      <c r="E29" s="118" t="str">
        <f>'BD Team'!F34</f>
        <v>NO</v>
      </c>
      <c r="F29" s="121" t="str">
        <f>'BD Team'!G34</f>
        <v>POOL &amp; BAR</v>
      </c>
      <c r="G29" s="118">
        <f>'BD Team'!H34</f>
        <v>2650</v>
      </c>
      <c r="H29" s="118">
        <f>'BD Team'!I34</f>
        <v>2480</v>
      </c>
      <c r="I29" s="118">
        <f>'BD Team'!J34</f>
        <v>2</v>
      </c>
      <c r="J29" s="103">
        <f t="shared" si="0"/>
        <v>141.48201599999999</v>
      </c>
      <c r="K29" s="172">
        <f>'BD Team'!K34</f>
        <v>150.84</v>
      </c>
      <c r="L29" s="171">
        <f t="shared" si="1"/>
        <v>301.68</v>
      </c>
      <c r="M29" s="170">
        <f>L29*'Changable Values'!$D$4</f>
        <v>25039.440000000002</v>
      </c>
      <c r="N29" s="170" t="str">
        <f>'BD Team'!E34</f>
        <v>18.28MM (ST-167)</v>
      </c>
      <c r="O29" s="172">
        <v>7253</v>
      </c>
      <c r="P29" s="236"/>
      <c r="Q29" s="173"/>
      <c r="R29" s="180"/>
      <c r="S29" s="307"/>
      <c r="T29" s="308">
        <f t="shared" si="2"/>
        <v>68.400000000000006</v>
      </c>
      <c r="U29" s="308">
        <f t="shared" si="3"/>
        <v>82.08</v>
      </c>
      <c r="V29" s="308">
        <f t="shared" si="4"/>
        <v>4.2750000000000004</v>
      </c>
      <c r="W29" s="308">
        <f t="shared" si="5"/>
        <v>68.400000000000006</v>
      </c>
      <c r="X29" s="308">
        <f t="shared" si="6"/>
        <v>136.80000000000001</v>
      </c>
      <c r="Y29" s="308">
        <f t="shared" si="7"/>
        <v>41.04</v>
      </c>
    </row>
    <row r="30" spans="1:25">
      <c r="A30" s="118">
        <f>'BD Team'!A35</f>
        <v>27</v>
      </c>
      <c r="B30" s="118" t="str">
        <f>'BD Team'!B35</f>
        <v>CW10</v>
      </c>
      <c r="C30" s="118" t="str">
        <f>'BD Team'!C35</f>
        <v>M940</v>
      </c>
      <c r="D30" s="118" t="str">
        <f>'BD Team'!D35</f>
        <v>FRENCH CASEMENT WINDOW</v>
      </c>
      <c r="E30" s="118" t="str">
        <f>'BD Team'!F35</f>
        <v>NO</v>
      </c>
      <c r="F30" s="121" t="str">
        <f>'BD Team'!G35</f>
        <v>HOME THEATER</v>
      </c>
      <c r="G30" s="118">
        <f>'BD Team'!H35</f>
        <v>1220</v>
      </c>
      <c r="H30" s="118">
        <f>'BD Team'!I35</f>
        <v>1220</v>
      </c>
      <c r="I30" s="118">
        <f>'BD Team'!J35</f>
        <v>1</v>
      </c>
      <c r="J30" s="103">
        <f t="shared" si="0"/>
        <v>16.021137599999999</v>
      </c>
      <c r="K30" s="172">
        <f>'BD Team'!K35</f>
        <v>192.14</v>
      </c>
      <c r="L30" s="171">
        <f t="shared" si="1"/>
        <v>192.14</v>
      </c>
      <c r="M30" s="170">
        <f>L30*'Changable Values'!$D$4</f>
        <v>15947.619999999999</v>
      </c>
      <c r="N30" s="170" t="str">
        <f>'BD Team'!E35</f>
        <v>18.28MM (ST-167)</v>
      </c>
      <c r="O30" s="172">
        <v>7253</v>
      </c>
      <c r="P30" s="236"/>
      <c r="Q30" s="173"/>
      <c r="R30" s="180"/>
      <c r="S30" s="307"/>
      <c r="T30" s="308">
        <f t="shared" si="2"/>
        <v>16.266666666666666</v>
      </c>
      <c r="U30" s="308">
        <f t="shared" si="3"/>
        <v>19.52</v>
      </c>
      <c r="V30" s="308">
        <f t="shared" si="4"/>
        <v>1.0166666666666666</v>
      </c>
      <c r="W30" s="308">
        <f t="shared" si="5"/>
        <v>16.266666666666666</v>
      </c>
      <c r="X30" s="308">
        <f t="shared" si="6"/>
        <v>32.533333333333331</v>
      </c>
      <c r="Y30" s="308">
        <f t="shared" si="7"/>
        <v>9.76</v>
      </c>
    </row>
    <row r="31" spans="1:25">
      <c r="A31" s="118">
        <f>'BD Team'!A36</f>
        <v>28</v>
      </c>
      <c r="B31" s="118" t="str">
        <f>'BD Team'!B36</f>
        <v>SW10</v>
      </c>
      <c r="C31" s="118" t="str">
        <f>'BD Team'!C36</f>
        <v>M900</v>
      </c>
      <c r="D31" s="118" t="str">
        <f>'BD Team'!D36</f>
        <v>3 TRACK 2 SHUTTER SLIDING WINDOW</v>
      </c>
      <c r="E31" s="118" t="str">
        <f>'BD Team'!F36</f>
        <v>SS</v>
      </c>
      <c r="F31" s="121" t="str">
        <f>'BD Team'!G36</f>
        <v>STAIRCASE</v>
      </c>
      <c r="G31" s="118">
        <f>'BD Team'!H36</f>
        <v>2440</v>
      </c>
      <c r="H31" s="118">
        <f>'BD Team'!I36</f>
        <v>1220</v>
      </c>
      <c r="I31" s="118">
        <f>'BD Team'!J36</f>
        <v>2</v>
      </c>
      <c r="J31" s="103">
        <f t="shared" si="0"/>
        <v>64.084550399999998</v>
      </c>
      <c r="K31" s="172">
        <f>'BD Team'!K36</f>
        <v>160.13999999999999</v>
      </c>
      <c r="L31" s="171">
        <f t="shared" si="1"/>
        <v>320.27999999999997</v>
      </c>
      <c r="M31" s="170">
        <f>L31*'Changable Values'!$D$4</f>
        <v>26583.239999999998</v>
      </c>
      <c r="N31" s="170" t="str">
        <f>'BD Team'!E36</f>
        <v>6MM (ST-167)</v>
      </c>
      <c r="O31" s="172">
        <v>1870</v>
      </c>
      <c r="P31" s="236"/>
      <c r="Q31" s="173">
        <f t="shared" ref="Q31:Q32" si="11">50*10.764</f>
        <v>538.19999999999993</v>
      </c>
      <c r="R31" s="180"/>
      <c r="S31" s="307"/>
      <c r="T31" s="308">
        <f t="shared" si="2"/>
        <v>48.8</v>
      </c>
      <c r="U31" s="308">
        <f t="shared" si="3"/>
        <v>58.56</v>
      </c>
      <c r="V31" s="308">
        <f t="shared" si="4"/>
        <v>3.05</v>
      </c>
      <c r="W31" s="308">
        <f t="shared" si="5"/>
        <v>48.8</v>
      </c>
      <c r="X31" s="308">
        <f t="shared" si="6"/>
        <v>97.6</v>
      </c>
      <c r="Y31" s="308">
        <f t="shared" si="7"/>
        <v>29.28</v>
      </c>
    </row>
    <row r="32" spans="1:25">
      <c r="A32" s="118">
        <f>'BD Team'!A37</f>
        <v>29</v>
      </c>
      <c r="B32" s="118" t="str">
        <f>'BD Team'!B37</f>
        <v>SW11</v>
      </c>
      <c r="C32" s="118" t="str">
        <f>'BD Team'!C37</f>
        <v>M900</v>
      </c>
      <c r="D32" s="118" t="str">
        <f>'BD Team'!D37</f>
        <v>3 TRACK 2 SHUTTER SLIDING WINDOW</v>
      </c>
      <c r="E32" s="118" t="str">
        <f>'BD Team'!F37</f>
        <v>SS</v>
      </c>
      <c r="F32" s="121" t="str">
        <f>'BD Team'!G37</f>
        <v>DOG ROOM</v>
      </c>
      <c r="G32" s="118">
        <f>'BD Team'!H37</f>
        <v>915</v>
      </c>
      <c r="H32" s="118">
        <f>'BD Team'!I37</f>
        <v>1220</v>
      </c>
      <c r="I32" s="118">
        <f>'BD Team'!J37</f>
        <v>2</v>
      </c>
      <c r="J32" s="103">
        <f t="shared" si="0"/>
        <v>24.031706399999997</v>
      </c>
      <c r="K32" s="172">
        <f>'BD Team'!K37</f>
        <v>117.41</v>
      </c>
      <c r="L32" s="171">
        <f t="shared" si="1"/>
        <v>234.82</v>
      </c>
      <c r="M32" s="170">
        <f>L32*'Changable Values'!$D$4</f>
        <v>19490.059999999998</v>
      </c>
      <c r="N32" s="170" t="str">
        <f>'BD Team'!E37</f>
        <v>6MM (ST-167)</v>
      </c>
      <c r="O32" s="172">
        <v>1870</v>
      </c>
      <c r="P32" s="236"/>
      <c r="Q32" s="173">
        <f t="shared" si="11"/>
        <v>538.19999999999993</v>
      </c>
      <c r="R32" s="180"/>
      <c r="S32" s="307"/>
      <c r="T32" s="308">
        <f t="shared" si="2"/>
        <v>28.466666666666665</v>
      </c>
      <c r="U32" s="308">
        <f t="shared" si="3"/>
        <v>34.159999999999997</v>
      </c>
      <c r="V32" s="308">
        <f t="shared" si="4"/>
        <v>1.7791666666666666</v>
      </c>
      <c r="W32" s="308">
        <f t="shared" si="5"/>
        <v>28.466666666666665</v>
      </c>
      <c r="X32" s="308">
        <f t="shared" si="6"/>
        <v>56.93333333333333</v>
      </c>
      <c r="Y32" s="308">
        <f t="shared" si="7"/>
        <v>17.079999999999998</v>
      </c>
    </row>
    <row r="33" spans="1:25">
      <c r="A33" s="118">
        <f>'BD Team'!A38</f>
        <v>30</v>
      </c>
      <c r="B33" s="118" t="str">
        <f>'BD Team'!B38</f>
        <v>V2</v>
      </c>
      <c r="C33" s="118" t="str">
        <f>'BD Team'!C38</f>
        <v>M940</v>
      </c>
      <c r="D33" s="118" t="str">
        <f>'BD Team'!D38</f>
        <v>TOP HUNG WINDOW</v>
      </c>
      <c r="E33" s="118" t="str">
        <f>'BD Team'!F38</f>
        <v>NO</v>
      </c>
      <c r="F33" s="121" t="str">
        <f>'BD Team'!G38</f>
        <v>TOILET CELLAR</v>
      </c>
      <c r="G33" s="118">
        <f>'BD Team'!H38</f>
        <v>760</v>
      </c>
      <c r="H33" s="118">
        <f>'BD Team'!I38</f>
        <v>910</v>
      </c>
      <c r="I33" s="118">
        <f>'BD Team'!J38</f>
        <v>2</v>
      </c>
      <c r="J33" s="103">
        <f t="shared" si="0"/>
        <v>14.888764799999999</v>
      </c>
      <c r="K33" s="172">
        <f>'BD Team'!K38</f>
        <v>122.64</v>
      </c>
      <c r="L33" s="171">
        <f t="shared" si="1"/>
        <v>245.28</v>
      </c>
      <c r="M33" s="170">
        <f>L33*'Changable Values'!$D$4</f>
        <v>20358.240000000002</v>
      </c>
      <c r="N33" s="170" t="str">
        <f>'BD Team'!E38</f>
        <v>6MM (F)</v>
      </c>
      <c r="O33" s="172">
        <v>2003</v>
      </c>
      <c r="P33" s="236"/>
      <c r="Q33" s="173"/>
      <c r="R33" s="180"/>
      <c r="S33" s="307"/>
      <c r="T33" s="308">
        <f t="shared" si="2"/>
        <v>22.266666666666666</v>
      </c>
      <c r="U33" s="308">
        <f t="shared" si="3"/>
        <v>26.72</v>
      </c>
      <c r="V33" s="308">
        <f t="shared" si="4"/>
        <v>1.3916666666666666</v>
      </c>
      <c r="W33" s="308">
        <f t="shared" si="5"/>
        <v>22.266666666666666</v>
      </c>
      <c r="X33" s="308">
        <f t="shared" si="6"/>
        <v>44.533333333333331</v>
      </c>
      <c r="Y33" s="308">
        <f t="shared" si="7"/>
        <v>13.36</v>
      </c>
    </row>
    <row r="34" spans="1:25">
      <c r="A34" s="118">
        <f>'BD Team'!A39</f>
        <v>31</v>
      </c>
      <c r="B34" s="118" t="str">
        <f>'BD Team'!B39</f>
        <v>SW12</v>
      </c>
      <c r="C34" s="118" t="str">
        <f>'BD Team'!C39</f>
        <v>M900</v>
      </c>
      <c r="D34" s="118" t="str">
        <f>'BD Team'!D39</f>
        <v>3 TRACK 2 SHUTTER SLIDING WINDOW</v>
      </c>
      <c r="E34" s="118" t="str">
        <f>'BD Team'!F39</f>
        <v>SS</v>
      </c>
      <c r="F34" s="121" t="str">
        <f>'BD Team'!G39</f>
        <v>OFFICE</v>
      </c>
      <c r="G34" s="118">
        <f>'BD Team'!H39</f>
        <v>1220</v>
      </c>
      <c r="H34" s="118">
        <f>'BD Team'!I39</f>
        <v>1350</v>
      </c>
      <c r="I34" s="118">
        <f>'BD Team'!J39</f>
        <v>1</v>
      </c>
      <c r="J34" s="103">
        <f t="shared" si="0"/>
        <v>17.728307999999998</v>
      </c>
      <c r="K34" s="172">
        <f>'BD Team'!K39</f>
        <v>132.21</v>
      </c>
      <c r="L34" s="171">
        <f t="shared" si="1"/>
        <v>132.21</v>
      </c>
      <c r="M34" s="170">
        <f>L34*'Changable Values'!$D$4</f>
        <v>10973.43</v>
      </c>
      <c r="N34" s="170" t="str">
        <f>'BD Team'!E39</f>
        <v>6MM</v>
      </c>
      <c r="O34" s="172">
        <v>1002</v>
      </c>
      <c r="P34" s="236"/>
      <c r="Q34" s="173">
        <f t="shared" ref="Q34:Q35" si="12">50*10.764</f>
        <v>538.19999999999993</v>
      </c>
      <c r="R34" s="180"/>
      <c r="S34" s="307"/>
      <c r="T34" s="308">
        <f t="shared" si="2"/>
        <v>17.133333333333333</v>
      </c>
      <c r="U34" s="308">
        <f t="shared" si="3"/>
        <v>20.56</v>
      </c>
      <c r="V34" s="308">
        <f t="shared" si="4"/>
        <v>1.0708333333333333</v>
      </c>
      <c r="W34" s="308">
        <f t="shared" si="5"/>
        <v>17.133333333333333</v>
      </c>
      <c r="X34" s="308">
        <f t="shared" si="6"/>
        <v>34.266666666666666</v>
      </c>
      <c r="Y34" s="308">
        <f t="shared" si="7"/>
        <v>10.28</v>
      </c>
    </row>
    <row r="35" spans="1:25">
      <c r="A35" s="118">
        <f>'BD Team'!A40</f>
        <v>32</v>
      </c>
      <c r="B35" s="118" t="str">
        <f>'BD Team'!B40</f>
        <v>SW13</v>
      </c>
      <c r="C35" s="118" t="str">
        <f>'BD Team'!C40</f>
        <v>M900</v>
      </c>
      <c r="D35" s="118" t="str">
        <f>'BD Team'!D40</f>
        <v>3 TRACK 2 SHUTTER SLIDING WINDOW</v>
      </c>
      <c r="E35" s="118" t="str">
        <f>'BD Team'!F40</f>
        <v>SS</v>
      </c>
      <c r="F35" s="121" t="str">
        <f>'BD Team'!G40</f>
        <v>DRIVER / SERVANT</v>
      </c>
      <c r="G35" s="118">
        <f>'BD Team'!H40</f>
        <v>1220</v>
      </c>
      <c r="H35" s="118">
        <f>'BD Team'!I40</f>
        <v>1350</v>
      </c>
      <c r="I35" s="118">
        <f>'BD Team'!J40</f>
        <v>2</v>
      </c>
      <c r="J35" s="103">
        <f t="shared" si="0"/>
        <v>35.456615999999997</v>
      </c>
      <c r="K35" s="172">
        <f>'BD Team'!K40</f>
        <v>132.21</v>
      </c>
      <c r="L35" s="171">
        <f t="shared" si="1"/>
        <v>264.42</v>
      </c>
      <c r="M35" s="170">
        <f>L35*'Changable Values'!$D$4</f>
        <v>21946.86</v>
      </c>
      <c r="N35" s="170" t="str">
        <f>'BD Team'!E40</f>
        <v>6MM</v>
      </c>
      <c r="O35" s="172">
        <v>1002</v>
      </c>
      <c r="P35" s="236"/>
      <c r="Q35" s="173">
        <f t="shared" si="12"/>
        <v>538.19999999999993</v>
      </c>
      <c r="R35" s="180"/>
      <c r="S35" s="307"/>
      <c r="T35" s="308">
        <f t="shared" si="2"/>
        <v>34.266666666666666</v>
      </c>
      <c r="U35" s="308">
        <f t="shared" si="3"/>
        <v>41.12</v>
      </c>
      <c r="V35" s="308">
        <f t="shared" si="4"/>
        <v>2.1416666666666666</v>
      </c>
      <c r="W35" s="308">
        <f t="shared" si="5"/>
        <v>34.266666666666666</v>
      </c>
      <c r="X35" s="308">
        <f t="shared" si="6"/>
        <v>68.533333333333331</v>
      </c>
      <c r="Y35" s="308">
        <f t="shared" si="7"/>
        <v>20.56</v>
      </c>
    </row>
    <row r="36" spans="1:25">
      <c r="A36" s="118">
        <f>'BD Team'!A41</f>
        <v>33</v>
      </c>
      <c r="B36" s="118" t="str">
        <f>'BD Team'!B41</f>
        <v>CW12</v>
      </c>
      <c r="C36" s="118" t="str">
        <f>'BD Team'!C41</f>
        <v>M940</v>
      </c>
      <c r="D36" s="118" t="str">
        <f>'BD Team'!D41</f>
        <v>FRENCH CASEMENT WINDOW</v>
      </c>
      <c r="E36" s="118" t="str">
        <f>'BD Team'!F41</f>
        <v>NO</v>
      </c>
      <c r="F36" s="121" t="str">
        <f>'BD Team'!G41</f>
        <v>SERVANT HALL</v>
      </c>
      <c r="G36" s="118">
        <f>'BD Team'!H41</f>
        <v>915</v>
      </c>
      <c r="H36" s="118">
        <f>'BD Team'!I41</f>
        <v>1365</v>
      </c>
      <c r="I36" s="118">
        <f>'BD Team'!J41</f>
        <v>1</v>
      </c>
      <c r="J36" s="103">
        <f t="shared" si="0"/>
        <v>13.443966899999998</v>
      </c>
      <c r="K36" s="172">
        <f>'BD Team'!K41</f>
        <v>189.79</v>
      </c>
      <c r="L36" s="171">
        <f t="shared" si="1"/>
        <v>189.79</v>
      </c>
      <c r="M36" s="170">
        <f>L36*'Changable Values'!$D$4</f>
        <v>15752.57</v>
      </c>
      <c r="N36" s="170" t="str">
        <f>'BD Team'!E41</f>
        <v>6MM</v>
      </c>
      <c r="O36" s="172">
        <v>1002</v>
      </c>
      <c r="P36" s="236"/>
      <c r="Q36" s="173"/>
      <c r="R36" s="180"/>
      <c r="S36" s="307"/>
      <c r="T36" s="308">
        <f t="shared" si="2"/>
        <v>15.2</v>
      </c>
      <c r="U36" s="308">
        <f t="shared" si="3"/>
        <v>18.239999999999998</v>
      </c>
      <c r="V36" s="308">
        <f t="shared" si="4"/>
        <v>0.95</v>
      </c>
      <c r="W36" s="308">
        <f t="shared" si="5"/>
        <v>15.2</v>
      </c>
      <c r="X36" s="308">
        <f t="shared" si="6"/>
        <v>30.4</v>
      </c>
      <c r="Y36" s="308">
        <f t="shared" si="7"/>
        <v>9.1199999999999992</v>
      </c>
    </row>
    <row r="37" spans="1:25">
      <c r="A37" s="118">
        <f>'BD Team'!A42</f>
        <v>34</v>
      </c>
      <c r="B37" s="118" t="str">
        <f>'BD Team'!B42</f>
        <v>CW13</v>
      </c>
      <c r="C37" s="118" t="str">
        <f>'BD Team'!C42</f>
        <v>M940</v>
      </c>
      <c r="D37" s="118" t="str">
        <f>'BD Team'!D42</f>
        <v>SIDE HUNG WINDOW</v>
      </c>
      <c r="E37" s="118" t="str">
        <f>'BD Team'!F42</f>
        <v>NO</v>
      </c>
      <c r="F37" s="121" t="str">
        <f>'BD Team'!G42</f>
        <v>SERVANT KITCHEN</v>
      </c>
      <c r="G37" s="118">
        <f>'BD Team'!H42</f>
        <v>720</v>
      </c>
      <c r="H37" s="118">
        <f>'BD Team'!I42</f>
        <v>1365</v>
      </c>
      <c r="I37" s="118">
        <f>'BD Team'!J42</f>
        <v>2</v>
      </c>
      <c r="J37" s="103">
        <f t="shared" si="0"/>
        <v>21.1577184</v>
      </c>
      <c r="K37" s="172">
        <f>'BD Team'!K42</f>
        <v>117.9</v>
      </c>
      <c r="L37" s="171">
        <f t="shared" si="1"/>
        <v>235.8</v>
      </c>
      <c r="M37" s="170">
        <f>L37*'Changable Values'!$D$4</f>
        <v>19571.400000000001</v>
      </c>
      <c r="N37" s="170" t="str">
        <f>'BD Team'!E42</f>
        <v>6MM</v>
      </c>
      <c r="O37" s="172">
        <v>1002</v>
      </c>
      <c r="P37" s="236"/>
      <c r="Q37" s="173"/>
      <c r="R37" s="180"/>
      <c r="S37" s="307"/>
      <c r="T37" s="308">
        <f t="shared" si="2"/>
        <v>27.8</v>
      </c>
      <c r="U37" s="308">
        <f t="shared" si="3"/>
        <v>33.36</v>
      </c>
      <c r="V37" s="308">
        <f t="shared" si="4"/>
        <v>1.7375</v>
      </c>
      <c r="W37" s="308">
        <f t="shared" si="5"/>
        <v>27.8</v>
      </c>
      <c r="X37" s="308">
        <f t="shared" si="6"/>
        <v>55.6</v>
      </c>
      <c r="Y37" s="308">
        <f t="shared" si="7"/>
        <v>16.68</v>
      </c>
    </row>
    <row r="38" spans="1:25">
      <c r="A38" s="118">
        <f>'BD Team'!A43</f>
        <v>35</v>
      </c>
      <c r="B38" s="118" t="str">
        <f>'BD Team'!B43</f>
        <v>CW14</v>
      </c>
      <c r="C38" s="118" t="str">
        <f>'BD Team'!C43</f>
        <v>M940</v>
      </c>
      <c r="D38" s="118" t="str">
        <f>'BD Team'!D43</f>
        <v>SIDE HUNG WINDOW</v>
      </c>
      <c r="E38" s="118" t="str">
        <f>'BD Team'!F43</f>
        <v>NO</v>
      </c>
      <c r="F38" s="121" t="str">
        <f>'BD Team'!G43</f>
        <v>SERVANT KITCHEN</v>
      </c>
      <c r="G38" s="118">
        <f>'BD Team'!H43</f>
        <v>720</v>
      </c>
      <c r="H38" s="118">
        <f>'BD Team'!I43</f>
        <v>1220</v>
      </c>
      <c r="I38" s="118">
        <f>'BD Team'!J43</f>
        <v>1</v>
      </c>
      <c r="J38" s="103">
        <f t="shared" si="0"/>
        <v>9.4550976000000002</v>
      </c>
      <c r="K38" s="172">
        <f>'BD Team'!K43</f>
        <v>109.08</v>
      </c>
      <c r="L38" s="171">
        <f t="shared" si="1"/>
        <v>109.08</v>
      </c>
      <c r="M38" s="170">
        <f>L38*'Changable Values'!$D$4</f>
        <v>9053.64</v>
      </c>
      <c r="N38" s="170" t="str">
        <f>'BD Team'!E43</f>
        <v>6MM</v>
      </c>
      <c r="O38" s="172">
        <v>1002</v>
      </c>
      <c r="P38" s="236"/>
      <c r="Q38" s="173"/>
      <c r="R38" s="180"/>
      <c r="S38" s="307"/>
      <c r="T38" s="308">
        <f t="shared" si="2"/>
        <v>12.933333333333334</v>
      </c>
      <c r="U38" s="308">
        <f t="shared" si="3"/>
        <v>15.52</v>
      </c>
      <c r="V38" s="308">
        <f t="shared" si="4"/>
        <v>0.80833333333333335</v>
      </c>
      <c r="W38" s="308">
        <f t="shared" si="5"/>
        <v>12.933333333333334</v>
      </c>
      <c r="X38" s="308">
        <f t="shared" si="6"/>
        <v>25.866666666666667</v>
      </c>
      <c r="Y38" s="308">
        <f t="shared" si="7"/>
        <v>7.76</v>
      </c>
    </row>
    <row r="39" spans="1:25">
      <c r="A39" s="118">
        <f>'BD Team'!A44</f>
        <v>36</v>
      </c>
      <c r="B39" s="118" t="str">
        <f>'BD Team'!B44</f>
        <v>V4</v>
      </c>
      <c r="C39" s="118" t="str">
        <f>'BD Team'!C44</f>
        <v>M940</v>
      </c>
      <c r="D39" s="118" t="str">
        <f>'BD Team'!D44</f>
        <v>TOP HUNG WINDOW</v>
      </c>
      <c r="E39" s="118" t="str">
        <f>'BD Team'!F44</f>
        <v>NO</v>
      </c>
      <c r="F39" s="121" t="str">
        <f>'BD Team'!G44</f>
        <v>TOILET</v>
      </c>
      <c r="G39" s="118">
        <f>'BD Team'!H44</f>
        <v>760</v>
      </c>
      <c r="H39" s="118">
        <f>'BD Team'!I44</f>
        <v>760</v>
      </c>
      <c r="I39" s="118">
        <f>'BD Team'!J44</f>
        <v>2</v>
      </c>
      <c r="J39" s="103">
        <f t="shared" si="0"/>
        <v>12.4345728</v>
      </c>
      <c r="K39" s="172">
        <f>'BD Team'!K44</f>
        <v>109.48</v>
      </c>
      <c r="L39" s="171">
        <f t="shared" si="1"/>
        <v>218.96</v>
      </c>
      <c r="M39" s="170">
        <f>L39*'Changable Values'!$D$4</f>
        <v>18173.68</v>
      </c>
      <c r="N39" s="170" t="str">
        <f>'BD Team'!E44</f>
        <v>6MM (F)</v>
      </c>
      <c r="O39" s="172">
        <v>2003</v>
      </c>
      <c r="P39" s="236"/>
      <c r="Q39" s="173"/>
      <c r="R39" s="180"/>
      <c r="S39" s="307"/>
      <c r="T39" s="308">
        <f t="shared" si="2"/>
        <v>20.266666666666666</v>
      </c>
      <c r="U39" s="308">
        <f t="shared" si="3"/>
        <v>24.32</v>
      </c>
      <c r="V39" s="308">
        <f t="shared" si="4"/>
        <v>1.2666666666666666</v>
      </c>
      <c r="W39" s="308">
        <f t="shared" si="5"/>
        <v>20.266666666666666</v>
      </c>
      <c r="X39" s="308">
        <f t="shared" si="6"/>
        <v>40.533333333333331</v>
      </c>
      <c r="Y39" s="308">
        <f t="shared" si="7"/>
        <v>12.16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36"/>
      <c r="Q40" s="173"/>
      <c r="R40" s="180"/>
      <c r="S40" s="307"/>
      <c r="T40" s="308">
        <f t="shared" si="2"/>
        <v>0</v>
      </c>
      <c r="U40" s="308">
        <f t="shared" si="3"/>
        <v>0</v>
      </c>
      <c r="V40" s="308">
        <f t="shared" si="4"/>
        <v>0</v>
      </c>
      <c r="W40" s="308">
        <f t="shared" si="5"/>
        <v>0</v>
      </c>
      <c r="X40" s="308">
        <f t="shared" si="6"/>
        <v>0</v>
      </c>
      <c r="Y40" s="308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36"/>
      <c r="Q41" s="173"/>
      <c r="R41" s="180"/>
      <c r="S41" s="307"/>
      <c r="T41" s="308">
        <f t="shared" si="2"/>
        <v>0</v>
      </c>
      <c r="U41" s="308">
        <f t="shared" si="3"/>
        <v>0</v>
      </c>
      <c r="V41" s="308">
        <f t="shared" si="4"/>
        <v>0</v>
      </c>
      <c r="W41" s="308">
        <f t="shared" si="5"/>
        <v>0</v>
      </c>
      <c r="X41" s="308">
        <f t="shared" si="6"/>
        <v>0</v>
      </c>
      <c r="Y41" s="308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36"/>
      <c r="Q42" s="173"/>
      <c r="R42" s="180"/>
      <c r="S42" s="307"/>
      <c r="T42" s="308">
        <f t="shared" si="2"/>
        <v>0</v>
      </c>
      <c r="U42" s="308">
        <f t="shared" si="3"/>
        <v>0</v>
      </c>
      <c r="V42" s="308">
        <f t="shared" si="4"/>
        <v>0</v>
      </c>
      <c r="W42" s="308">
        <f t="shared" si="5"/>
        <v>0</v>
      </c>
      <c r="X42" s="308">
        <f t="shared" si="6"/>
        <v>0</v>
      </c>
      <c r="Y42" s="308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36"/>
      <c r="Q43" s="173"/>
      <c r="R43" s="180"/>
      <c r="S43" s="307"/>
      <c r="T43" s="308">
        <f t="shared" si="2"/>
        <v>0</v>
      </c>
      <c r="U43" s="308">
        <f t="shared" si="3"/>
        <v>0</v>
      </c>
      <c r="V43" s="308">
        <f t="shared" si="4"/>
        <v>0</v>
      </c>
      <c r="W43" s="308">
        <f t="shared" si="5"/>
        <v>0</v>
      </c>
      <c r="X43" s="308">
        <f t="shared" si="6"/>
        <v>0</v>
      </c>
      <c r="Y43" s="308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36"/>
      <c r="Q44" s="173"/>
      <c r="R44" s="180"/>
      <c r="S44" s="307"/>
      <c r="T44" s="308">
        <f t="shared" si="2"/>
        <v>0</v>
      </c>
      <c r="U44" s="308">
        <f t="shared" si="3"/>
        <v>0</v>
      </c>
      <c r="V44" s="308">
        <f t="shared" si="4"/>
        <v>0</v>
      </c>
      <c r="W44" s="308">
        <f t="shared" si="5"/>
        <v>0</v>
      </c>
      <c r="X44" s="308">
        <f t="shared" si="6"/>
        <v>0</v>
      </c>
      <c r="Y44" s="308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36"/>
      <c r="Q45" s="173"/>
      <c r="R45" s="180"/>
      <c r="S45" s="307"/>
      <c r="T45" s="308">
        <f t="shared" si="2"/>
        <v>0</v>
      </c>
      <c r="U45" s="308">
        <f t="shared" si="3"/>
        <v>0</v>
      </c>
      <c r="V45" s="308">
        <f t="shared" si="4"/>
        <v>0</v>
      </c>
      <c r="W45" s="308">
        <f t="shared" si="5"/>
        <v>0</v>
      </c>
      <c r="X45" s="308">
        <f t="shared" si="6"/>
        <v>0</v>
      </c>
      <c r="Y45" s="308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36"/>
      <c r="Q46" s="173"/>
      <c r="R46" s="180"/>
      <c r="S46" s="307"/>
      <c r="T46" s="308">
        <f t="shared" si="2"/>
        <v>0</v>
      </c>
      <c r="U46" s="308">
        <f t="shared" si="3"/>
        <v>0</v>
      </c>
      <c r="V46" s="308">
        <f t="shared" si="4"/>
        <v>0</v>
      </c>
      <c r="W46" s="308">
        <f t="shared" si="5"/>
        <v>0</v>
      </c>
      <c r="X46" s="308">
        <f t="shared" si="6"/>
        <v>0</v>
      </c>
      <c r="Y46" s="308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36"/>
      <c r="Q47" s="173"/>
      <c r="R47" s="180"/>
      <c r="S47" s="307"/>
      <c r="T47" s="308">
        <f t="shared" si="2"/>
        <v>0</v>
      </c>
      <c r="U47" s="308">
        <f t="shared" si="3"/>
        <v>0</v>
      </c>
      <c r="V47" s="308">
        <f t="shared" si="4"/>
        <v>0</v>
      </c>
      <c r="W47" s="308">
        <f t="shared" si="5"/>
        <v>0</v>
      </c>
      <c r="X47" s="308">
        <f t="shared" si="6"/>
        <v>0</v>
      </c>
      <c r="Y47" s="308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36"/>
      <c r="Q48" s="173"/>
      <c r="R48" s="180"/>
      <c r="S48" s="307"/>
      <c r="T48" s="308">
        <f t="shared" si="2"/>
        <v>0</v>
      </c>
      <c r="U48" s="308">
        <f t="shared" si="3"/>
        <v>0</v>
      </c>
      <c r="V48" s="308">
        <f t="shared" si="4"/>
        <v>0</v>
      </c>
      <c r="W48" s="308">
        <f t="shared" si="5"/>
        <v>0</v>
      </c>
      <c r="X48" s="308">
        <f t="shared" si="6"/>
        <v>0</v>
      </c>
      <c r="Y48" s="308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36"/>
      <c r="Q49" s="173"/>
      <c r="R49" s="180"/>
      <c r="S49" s="307"/>
      <c r="T49" s="308">
        <f t="shared" si="2"/>
        <v>0</v>
      </c>
      <c r="U49" s="308">
        <f t="shared" si="3"/>
        <v>0</v>
      </c>
      <c r="V49" s="308">
        <f t="shared" si="4"/>
        <v>0</v>
      </c>
      <c r="W49" s="308">
        <f t="shared" si="5"/>
        <v>0</v>
      </c>
      <c r="X49" s="308">
        <f t="shared" si="6"/>
        <v>0</v>
      </c>
      <c r="Y49" s="308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36"/>
      <c r="Q50" s="173"/>
      <c r="R50" s="180"/>
      <c r="S50" s="307"/>
      <c r="T50" s="308">
        <f t="shared" si="2"/>
        <v>0</v>
      </c>
      <c r="U50" s="308">
        <f t="shared" si="3"/>
        <v>0</v>
      </c>
      <c r="V50" s="308">
        <f t="shared" si="4"/>
        <v>0</v>
      </c>
      <c r="W50" s="308">
        <f t="shared" si="5"/>
        <v>0</v>
      </c>
      <c r="X50" s="308">
        <f t="shared" si="6"/>
        <v>0</v>
      </c>
      <c r="Y50" s="308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36"/>
      <c r="Q51" s="173"/>
      <c r="R51" s="180"/>
      <c r="S51" s="307"/>
      <c r="T51" s="308">
        <f t="shared" si="2"/>
        <v>0</v>
      </c>
      <c r="U51" s="308">
        <f t="shared" si="3"/>
        <v>0</v>
      </c>
      <c r="V51" s="308">
        <f t="shared" si="4"/>
        <v>0</v>
      </c>
      <c r="W51" s="308">
        <f t="shared" si="5"/>
        <v>0</v>
      </c>
      <c r="X51" s="308">
        <f t="shared" si="6"/>
        <v>0</v>
      </c>
      <c r="Y51" s="308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36"/>
      <c r="Q52" s="173"/>
      <c r="R52" s="180"/>
      <c r="S52" s="307"/>
      <c r="T52" s="308">
        <f t="shared" si="2"/>
        <v>0</v>
      </c>
      <c r="U52" s="308">
        <f t="shared" si="3"/>
        <v>0</v>
      </c>
      <c r="V52" s="308">
        <f t="shared" si="4"/>
        <v>0</v>
      </c>
      <c r="W52" s="308">
        <f t="shared" si="5"/>
        <v>0</v>
      </c>
      <c r="X52" s="308">
        <f t="shared" si="6"/>
        <v>0</v>
      </c>
      <c r="Y52" s="308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36"/>
      <c r="Q53" s="173"/>
      <c r="R53" s="180"/>
      <c r="S53" s="307"/>
      <c r="T53" s="308">
        <f t="shared" si="2"/>
        <v>0</v>
      </c>
      <c r="U53" s="308">
        <f t="shared" si="3"/>
        <v>0</v>
      </c>
      <c r="V53" s="308">
        <f t="shared" si="4"/>
        <v>0</v>
      </c>
      <c r="W53" s="308">
        <f t="shared" si="5"/>
        <v>0</v>
      </c>
      <c r="X53" s="308">
        <f t="shared" si="6"/>
        <v>0</v>
      </c>
      <c r="Y53" s="308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3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36"/>
      <c r="Q54" s="173"/>
      <c r="R54" s="180"/>
      <c r="S54" s="307"/>
      <c r="T54" s="308">
        <f t="shared" si="2"/>
        <v>0</v>
      </c>
      <c r="U54" s="308">
        <f t="shared" si="3"/>
        <v>0</v>
      </c>
      <c r="V54" s="308">
        <f t="shared" si="4"/>
        <v>0</v>
      </c>
      <c r="W54" s="308">
        <f t="shared" si="5"/>
        <v>0</v>
      </c>
      <c r="X54" s="308">
        <f t="shared" si="6"/>
        <v>0</v>
      </c>
      <c r="Y54" s="308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3"/>
        <v>0</v>
      </c>
      <c r="K55" s="172">
        <f>'BD Team'!K60</f>
        <v>0</v>
      </c>
      <c r="L55" s="171">
        <f t="shared" ref="L55:L103" si="14">K55*I55</f>
        <v>0</v>
      </c>
      <c r="M55" s="170">
        <f>L55*'Changable Values'!$D$4</f>
        <v>0</v>
      </c>
      <c r="N55" s="170">
        <f>'BD Team'!E60</f>
        <v>0</v>
      </c>
      <c r="O55" s="172"/>
      <c r="P55" s="236"/>
      <c r="Q55" s="173"/>
      <c r="R55" s="180"/>
      <c r="S55" s="307"/>
      <c r="T55" s="308">
        <f t="shared" si="2"/>
        <v>0</v>
      </c>
      <c r="U55" s="308">
        <f t="shared" si="3"/>
        <v>0</v>
      </c>
      <c r="V55" s="308">
        <f t="shared" si="4"/>
        <v>0</v>
      </c>
      <c r="W55" s="308">
        <f t="shared" si="5"/>
        <v>0</v>
      </c>
      <c r="X55" s="308">
        <f t="shared" si="6"/>
        <v>0</v>
      </c>
      <c r="Y55" s="308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3"/>
        <v>0</v>
      </c>
      <c r="K56" s="172">
        <f>'BD Team'!K61</f>
        <v>0</v>
      </c>
      <c r="L56" s="171">
        <f t="shared" si="14"/>
        <v>0</v>
      </c>
      <c r="M56" s="170">
        <f>L56*'Changable Values'!$D$4</f>
        <v>0</v>
      </c>
      <c r="N56" s="170">
        <f>'BD Team'!E61</f>
        <v>0</v>
      </c>
      <c r="O56" s="172"/>
      <c r="P56" s="236"/>
      <c r="Q56" s="173"/>
      <c r="R56" s="180"/>
      <c r="S56" s="307"/>
      <c r="T56" s="308">
        <f t="shared" si="2"/>
        <v>0</v>
      </c>
      <c r="U56" s="308">
        <f t="shared" si="3"/>
        <v>0</v>
      </c>
      <c r="V56" s="308">
        <f t="shared" si="4"/>
        <v>0</v>
      </c>
      <c r="W56" s="308">
        <f t="shared" si="5"/>
        <v>0</v>
      </c>
      <c r="X56" s="308">
        <f t="shared" si="6"/>
        <v>0</v>
      </c>
      <c r="Y56" s="308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3"/>
        <v>0</v>
      </c>
      <c r="K57" s="172">
        <f>'BD Team'!K62</f>
        <v>0</v>
      </c>
      <c r="L57" s="171">
        <f t="shared" si="14"/>
        <v>0</v>
      </c>
      <c r="M57" s="170">
        <f>L57*'Changable Values'!$D$4</f>
        <v>0</v>
      </c>
      <c r="N57" s="170">
        <f>'BD Team'!E62</f>
        <v>0</v>
      </c>
      <c r="O57" s="172"/>
      <c r="P57" s="236"/>
      <c r="Q57" s="173"/>
      <c r="R57" s="180"/>
      <c r="S57" s="307"/>
      <c r="T57" s="308">
        <f t="shared" si="2"/>
        <v>0</v>
      </c>
      <c r="U57" s="308">
        <f t="shared" si="3"/>
        <v>0</v>
      </c>
      <c r="V57" s="308">
        <f t="shared" si="4"/>
        <v>0</v>
      </c>
      <c r="W57" s="308">
        <f t="shared" si="5"/>
        <v>0</v>
      </c>
      <c r="X57" s="308">
        <f t="shared" si="6"/>
        <v>0</v>
      </c>
      <c r="Y57" s="308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3"/>
        <v>0</v>
      </c>
      <c r="K58" s="172">
        <f>'BD Team'!K63</f>
        <v>0</v>
      </c>
      <c r="L58" s="171">
        <f t="shared" si="14"/>
        <v>0</v>
      </c>
      <c r="M58" s="170">
        <f>L58*'Changable Values'!$D$4</f>
        <v>0</v>
      </c>
      <c r="N58" s="170">
        <f>'BD Team'!E63</f>
        <v>0</v>
      </c>
      <c r="O58" s="172"/>
      <c r="P58" s="236"/>
      <c r="Q58" s="173"/>
      <c r="R58" s="180"/>
      <c r="S58" s="307"/>
      <c r="T58" s="308">
        <f t="shared" si="2"/>
        <v>0</v>
      </c>
      <c r="U58" s="308">
        <f t="shared" si="3"/>
        <v>0</v>
      </c>
      <c r="V58" s="308">
        <f t="shared" si="4"/>
        <v>0</v>
      </c>
      <c r="W58" s="308">
        <f t="shared" si="5"/>
        <v>0</v>
      </c>
      <c r="X58" s="308">
        <f t="shared" si="6"/>
        <v>0</v>
      </c>
      <c r="Y58" s="308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3"/>
        <v>0</v>
      </c>
      <c r="K59" s="172">
        <f>'BD Team'!K64</f>
        <v>0</v>
      </c>
      <c r="L59" s="171">
        <f t="shared" si="14"/>
        <v>0</v>
      </c>
      <c r="M59" s="170">
        <f>L59*'Changable Values'!$D$4</f>
        <v>0</v>
      </c>
      <c r="N59" s="170">
        <f>'BD Team'!E64</f>
        <v>0</v>
      </c>
      <c r="O59" s="172"/>
      <c r="P59" s="236"/>
      <c r="Q59" s="173"/>
      <c r="R59" s="180"/>
      <c r="S59" s="307"/>
      <c r="T59" s="308">
        <f t="shared" si="2"/>
        <v>0</v>
      </c>
      <c r="U59" s="308">
        <f t="shared" si="3"/>
        <v>0</v>
      </c>
      <c r="V59" s="308">
        <f t="shared" si="4"/>
        <v>0</v>
      </c>
      <c r="W59" s="308">
        <f t="shared" si="5"/>
        <v>0</v>
      </c>
      <c r="X59" s="308">
        <f t="shared" si="6"/>
        <v>0</v>
      </c>
      <c r="Y59" s="308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3"/>
        <v>0</v>
      </c>
      <c r="K60" s="172">
        <f>'BD Team'!K65</f>
        <v>0</v>
      </c>
      <c r="L60" s="171">
        <f t="shared" si="14"/>
        <v>0</v>
      </c>
      <c r="M60" s="170">
        <f>L60*'Changable Values'!$D$4</f>
        <v>0</v>
      </c>
      <c r="N60" s="170">
        <f>'BD Team'!E65</f>
        <v>0</v>
      </c>
      <c r="O60" s="172"/>
      <c r="P60" s="236"/>
      <c r="Q60" s="173"/>
      <c r="R60" s="180"/>
      <c r="S60" s="307"/>
      <c r="T60" s="308">
        <f t="shared" si="2"/>
        <v>0</v>
      </c>
      <c r="U60" s="308">
        <f t="shared" si="3"/>
        <v>0</v>
      </c>
      <c r="V60" s="308">
        <f t="shared" si="4"/>
        <v>0</v>
      </c>
      <c r="W60" s="308">
        <f t="shared" si="5"/>
        <v>0</v>
      </c>
      <c r="X60" s="308">
        <f t="shared" si="6"/>
        <v>0</v>
      </c>
      <c r="Y60" s="308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3"/>
        <v>0</v>
      </c>
      <c r="K61" s="172">
        <f>'BD Team'!K66</f>
        <v>0</v>
      </c>
      <c r="L61" s="171">
        <f t="shared" si="14"/>
        <v>0</v>
      </c>
      <c r="M61" s="170">
        <f>L61*'Changable Values'!$D$4</f>
        <v>0</v>
      </c>
      <c r="N61" s="170">
        <f>'BD Team'!E66</f>
        <v>0</v>
      </c>
      <c r="O61" s="172"/>
      <c r="P61" s="236"/>
      <c r="Q61" s="173"/>
      <c r="R61" s="180"/>
      <c r="S61" s="307"/>
      <c r="T61" s="308">
        <f t="shared" si="2"/>
        <v>0</v>
      </c>
      <c r="U61" s="308">
        <f t="shared" si="3"/>
        <v>0</v>
      </c>
      <c r="V61" s="308">
        <f t="shared" si="4"/>
        <v>0</v>
      </c>
      <c r="W61" s="308">
        <f t="shared" si="5"/>
        <v>0</v>
      </c>
      <c r="X61" s="308">
        <f t="shared" si="6"/>
        <v>0</v>
      </c>
      <c r="Y61" s="308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3"/>
        <v>0</v>
      </c>
      <c r="K62" s="172">
        <f>'BD Team'!K67</f>
        <v>0</v>
      </c>
      <c r="L62" s="171">
        <f t="shared" si="14"/>
        <v>0</v>
      </c>
      <c r="M62" s="170">
        <f>L62*'Changable Values'!$D$4</f>
        <v>0</v>
      </c>
      <c r="N62" s="170">
        <f>'BD Team'!E67</f>
        <v>0</v>
      </c>
      <c r="O62" s="172"/>
      <c r="P62" s="236"/>
      <c r="Q62" s="173"/>
      <c r="R62" s="180"/>
      <c r="S62" s="307"/>
      <c r="T62" s="308">
        <f t="shared" si="2"/>
        <v>0</v>
      </c>
      <c r="U62" s="308">
        <f t="shared" si="3"/>
        <v>0</v>
      </c>
      <c r="V62" s="308">
        <f t="shared" si="4"/>
        <v>0</v>
      </c>
      <c r="W62" s="308">
        <f t="shared" si="5"/>
        <v>0</v>
      </c>
      <c r="X62" s="308">
        <f t="shared" si="6"/>
        <v>0</v>
      </c>
      <c r="Y62" s="308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3"/>
        <v>0</v>
      </c>
      <c r="K63" s="172">
        <f>'BD Team'!K68</f>
        <v>0</v>
      </c>
      <c r="L63" s="171">
        <f t="shared" si="14"/>
        <v>0</v>
      </c>
      <c r="M63" s="170">
        <f>L63*'Changable Values'!$D$4</f>
        <v>0</v>
      </c>
      <c r="N63" s="170">
        <f>'BD Team'!E68</f>
        <v>0</v>
      </c>
      <c r="O63" s="172"/>
      <c r="P63" s="236"/>
      <c r="Q63" s="173"/>
      <c r="R63" s="180"/>
      <c r="S63" s="307"/>
      <c r="T63" s="308">
        <f t="shared" si="2"/>
        <v>0</v>
      </c>
      <c r="U63" s="308">
        <f t="shared" si="3"/>
        <v>0</v>
      </c>
      <c r="V63" s="308">
        <f t="shared" si="4"/>
        <v>0</v>
      </c>
      <c r="W63" s="308">
        <f t="shared" si="5"/>
        <v>0</v>
      </c>
      <c r="X63" s="308">
        <f t="shared" si="6"/>
        <v>0</v>
      </c>
      <c r="Y63" s="308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3"/>
        <v>0</v>
      </c>
      <c r="K64" s="172">
        <f>'BD Team'!K69</f>
        <v>0</v>
      </c>
      <c r="L64" s="171">
        <f t="shared" si="14"/>
        <v>0</v>
      </c>
      <c r="M64" s="170">
        <f>L64*'Changable Values'!$D$4</f>
        <v>0</v>
      </c>
      <c r="N64" s="170">
        <f>'BD Team'!E69</f>
        <v>0</v>
      </c>
      <c r="O64" s="172"/>
      <c r="P64" s="236"/>
      <c r="Q64" s="173"/>
      <c r="R64" s="180"/>
      <c r="S64" s="307"/>
      <c r="T64" s="308">
        <f t="shared" si="2"/>
        <v>0</v>
      </c>
      <c r="U64" s="308">
        <f t="shared" si="3"/>
        <v>0</v>
      </c>
      <c r="V64" s="308">
        <f t="shared" si="4"/>
        <v>0</v>
      </c>
      <c r="W64" s="308">
        <f t="shared" si="5"/>
        <v>0</v>
      </c>
      <c r="X64" s="308">
        <f t="shared" si="6"/>
        <v>0</v>
      </c>
      <c r="Y64" s="308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3"/>
        <v>0</v>
      </c>
      <c r="K65" s="172">
        <f>'BD Team'!K70</f>
        <v>0</v>
      </c>
      <c r="L65" s="171">
        <f t="shared" si="14"/>
        <v>0</v>
      </c>
      <c r="M65" s="170">
        <f>L65*'Changable Values'!$D$4</f>
        <v>0</v>
      </c>
      <c r="N65" s="170">
        <f>'BD Team'!E70</f>
        <v>0</v>
      </c>
      <c r="O65" s="172"/>
      <c r="P65" s="236"/>
      <c r="Q65" s="173"/>
      <c r="R65" s="180"/>
      <c r="S65" s="307"/>
      <c r="T65" s="308">
        <f t="shared" si="2"/>
        <v>0</v>
      </c>
      <c r="U65" s="308">
        <f t="shared" si="3"/>
        <v>0</v>
      </c>
      <c r="V65" s="308">
        <f t="shared" si="4"/>
        <v>0</v>
      </c>
      <c r="W65" s="308">
        <f t="shared" si="5"/>
        <v>0</v>
      </c>
      <c r="X65" s="308">
        <f t="shared" si="6"/>
        <v>0</v>
      </c>
      <c r="Y65" s="308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3"/>
        <v>0</v>
      </c>
      <c r="K66" s="172">
        <f>'BD Team'!K71</f>
        <v>0</v>
      </c>
      <c r="L66" s="171">
        <f t="shared" si="14"/>
        <v>0</v>
      </c>
      <c r="M66" s="170">
        <f>L66*'Changable Values'!$D$4</f>
        <v>0</v>
      </c>
      <c r="N66" s="170">
        <f>'BD Team'!E71</f>
        <v>0</v>
      </c>
      <c r="O66" s="172"/>
      <c r="P66" s="236"/>
      <c r="Q66" s="173"/>
      <c r="R66" s="180"/>
      <c r="S66" s="307"/>
      <c r="T66" s="308">
        <f t="shared" si="2"/>
        <v>0</v>
      </c>
      <c r="U66" s="308">
        <f t="shared" si="3"/>
        <v>0</v>
      </c>
      <c r="V66" s="308">
        <f t="shared" si="4"/>
        <v>0</v>
      </c>
      <c r="W66" s="308">
        <f t="shared" si="5"/>
        <v>0</v>
      </c>
      <c r="X66" s="308">
        <f t="shared" si="6"/>
        <v>0</v>
      </c>
      <c r="Y66" s="308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3"/>
        <v>0</v>
      </c>
      <c r="K67" s="172">
        <f>'BD Team'!K72</f>
        <v>0</v>
      </c>
      <c r="L67" s="171">
        <f t="shared" si="14"/>
        <v>0</v>
      </c>
      <c r="M67" s="170">
        <f>L67*'Changable Values'!$D$4</f>
        <v>0</v>
      </c>
      <c r="N67" s="170">
        <f>'BD Team'!E72</f>
        <v>0</v>
      </c>
      <c r="O67" s="172"/>
      <c r="P67" s="236"/>
      <c r="Q67" s="173"/>
      <c r="R67" s="180"/>
      <c r="S67" s="307"/>
      <c r="T67" s="308">
        <f t="shared" si="2"/>
        <v>0</v>
      </c>
      <c r="U67" s="308">
        <f t="shared" si="3"/>
        <v>0</v>
      </c>
      <c r="V67" s="308">
        <f t="shared" si="4"/>
        <v>0</v>
      </c>
      <c r="W67" s="308">
        <f t="shared" si="5"/>
        <v>0</v>
      </c>
      <c r="X67" s="308">
        <f t="shared" si="6"/>
        <v>0</v>
      </c>
      <c r="Y67" s="308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3"/>
        <v>0</v>
      </c>
      <c r="K68" s="172">
        <f>'BD Team'!K73</f>
        <v>0</v>
      </c>
      <c r="L68" s="171">
        <f t="shared" si="14"/>
        <v>0</v>
      </c>
      <c r="M68" s="170">
        <f>L68*'Changable Values'!$D$4</f>
        <v>0</v>
      </c>
      <c r="N68" s="170">
        <f>'BD Team'!E73</f>
        <v>0</v>
      </c>
      <c r="O68" s="172"/>
      <c r="P68" s="236"/>
      <c r="Q68" s="173"/>
      <c r="R68" s="180"/>
      <c r="S68" s="307"/>
      <c r="T68" s="308">
        <f t="shared" si="2"/>
        <v>0</v>
      </c>
      <c r="U68" s="308">
        <f t="shared" si="3"/>
        <v>0</v>
      </c>
      <c r="V68" s="308">
        <f t="shared" si="4"/>
        <v>0</v>
      </c>
      <c r="W68" s="308">
        <f t="shared" si="5"/>
        <v>0</v>
      </c>
      <c r="X68" s="308">
        <f t="shared" si="6"/>
        <v>0</v>
      </c>
      <c r="Y68" s="308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3"/>
        <v>0</v>
      </c>
      <c r="K69" s="172">
        <f>'BD Team'!K74</f>
        <v>0</v>
      </c>
      <c r="L69" s="171">
        <f t="shared" si="14"/>
        <v>0</v>
      </c>
      <c r="M69" s="170">
        <f>L69*'Changable Values'!$D$4</f>
        <v>0</v>
      </c>
      <c r="N69" s="170">
        <f>'BD Team'!E74</f>
        <v>0</v>
      </c>
      <c r="O69" s="172"/>
      <c r="P69" s="236"/>
      <c r="Q69" s="173"/>
      <c r="R69" s="180"/>
      <c r="S69" s="307"/>
      <c r="T69" s="308">
        <f t="shared" ref="T69:T103" si="15">(G69+H69)*I69*2/300</f>
        <v>0</v>
      </c>
      <c r="U69" s="308">
        <f t="shared" ref="U69:U103" si="16">SUM(G69:H69)*I69*2*4/1000</f>
        <v>0</v>
      </c>
      <c r="V69" s="308">
        <f t="shared" ref="V69:V103" si="17">SUM(G69:H69)*I69*5*5*4/(1000*240)</f>
        <v>0</v>
      </c>
      <c r="W69" s="308">
        <f t="shared" ref="W69:W103" si="18">T69</f>
        <v>0</v>
      </c>
      <c r="X69" s="308">
        <f t="shared" ref="X69:X103" si="19">W69*2</f>
        <v>0</v>
      </c>
      <c r="Y69" s="308">
        <f t="shared" ref="Y69:Y103" si="20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3"/>
        <v>0</v>
      </c>
      <c r="K70" s="172">
        <f>'BD Team'!K75</f>
        <v>0</v>
      </c>
      <c r="L70" s="171">
        <f t="shared" si="14"/>
        <v>0</v>
      </c>
      <c r="M70" s="170">
        <f>L70*'Changable Values'!$D$4</f>
        <v>0</v>
      </c>
      <c r="N70" s="170">
        <f>'BD Team'!E75</f>
        <v>0</v>
      </c>
      <c r="O70" s="172"/>
      <c r="P70" s="236"/>
      <c r="Q70" s="173"/>
      <c r="R70" s="180"/>
      <c r="S70" s="307"/>
      <c r="T70" s="308">
        <f t="shared" si="15"/>
        <v>0</v>
      </c>
      <c r="U70" s="308">
        <f t="shared" si="16"/>
        <v>0</v>
      </c>
      <c r="V70" s="308">
        <f t="shared" si="17"/>
        <v>0</v>
      </c>
      <c r="W70" s="308">
        <f t="shared" si="18"/>
        <v>0</v>
      </c>
      <c r="X70" s="308">
        <f t="shared" si="19"/>
        <v>0</v>
      </c>
      <c r="Y70" s="308">
        <f t="shared" si="20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3"/>
        <v>0</v>
      </c>
      <c r="K71" s="172">
        <f>'BD Team'!K76</f>
        <v>0</v>
      </c>
      <c r="L71" s="171">
        <f t="shared" si="14"/>
        <v>0</v>
      </c>
      <c r="M71" s="170">
        <f>L71*'Changable Values'!$D$4</f>
        <v>0</v>
      </c>
      <c r="N71" s="170">
        <f>'BD Team'!E76</f>
        <v>0</v>
      </c>
      <c r="O71" s="172"/>
      <c r="P71" s="236"/>
      <c r="Q71" s="173"/>
      <c r="R71" s="180"/>
      <c r="S71" s="307"/>
      <c r="T71" s="308">
        <f t="shared" si="15"/>
        <v>0</v>
      </c>
      <c r="U71" s="308">
        <f t="shared" si="16"/>
        <v>0</v>
      </c>
      <c r="V71" s="308">
        <f t="shared" si="17"/>
        <v>0</v>
      </c>
      <c r="W71" s="308">
        <f t="shared" si="18"/>
        <v>0</v>
      </c>
      <c r="X71" s="308">
        <f t="shared" si="19"/>
        <v>0</v>
      </c>
      <c r="Y71" s="308">
        <f t="shared" si="20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3"/>
        <v>0</v>
      </c>
      <c r="K72" s="172">
        <f>'BD Team'!K77</f>
        <v>0</v>
      </c>
      <c r="L72" s="171">
        <f t="shared" si="14"/>
        <v>0</v>
      </c>
      <c r="M72" s="170">
        <f>L72*'Changable Values'!$D$4</f>
        <v>0</v>
      </c>
      <c r="N72" s="170">
        <f>'BD Team'!E77</f>
        <v>0</v>
      </c>
      <c r="O72" s="172"/>
      <c r="P72" s="236"/>
      <c r="Q72" s="173"/>
      <c r="R72" s="180"/>
      <c r="S72" s="307"/>
      <c r="T72" s="308">
        <f t="shared" si="15"/>
        <v>0</v>
      </c>
      <c r="U72" s="308">
        <f t="shared" si="16"/>
        <v>0</v>
      </c>
      <c r="V72" s="308">
        <f t="shared" si="17"/>
        <v>0</v>
      </c>
      <c r="W72" s="308">
        <f t="shared" si="18"/>
        <v>0</v>
      </c>
      <c r="X72" s="308">
        <f t="shared" si="19"/>
        <v>0</v>
      </c>
      <c r="Y72" s="308">
        <f t="shared" si="20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3"/>
        <v>0</v>
      </c>
      <c r="K73" s="172">
        <f>'BD Team'!K78</f>
        <v>0</v>
      </c>
      <c r="L73" s="171">
        <f t="shared" si="14"/>
        <v>0</v>
      </c>
      <c r="M73" s="170">
        <f>L73*'Changable Values'!$D$4</f>
        <v>0</v>
      </c>
      <c r="N73" s="170">
        <f>'BD Team'!E78</f>
        <v>0</v>
      </c>
      <c r="O73" s="172"/>
      <c r="P73" s="236"/>
      <c r="Q73" s="173"/>
      <c r="R73" s="180"/>
      <c r="S73" s="307"/>
      <c r="T73" s="308">
        <f t="shared" si="15"/>
        <v>0</v>
      </c>
      <c r="U73" s="308">
        <f t="shared" si="16"/>
        <v>0</v>
      </c>
      <c r="V73" s="308">
        <f t="shared" si="17"/>
        <v>0</v>
      </c>
      <c r="W73" s="308">
        <f t="shared" si="18"/>
        <v>0</v>
      </c>
      <c r="X73" s="308">
        <f t="shared" si="19"/>
        <v>0</v>
      </c>
      <c r="Y73" s="308">
        <f t="shared" si="20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3"/>
        <v>0</v>
      </c>
      <c r="K74" s="172">
        <f>'BD Team'!K79</f>
        <v>0</v>
      </c>
      <c r="L74" s="171">
        <f t="shared" si="14"/>
        <v>0</v>
      </c>
      <c r="M74" s="170">
        <f>L74*'Changable Values'!$D$4</f>
        <v>0</v>
      </c>
      <c r="N74" s="170">
        <f>'BD Team'!E79</f>
        <v>0</v>
      </c>
      <c r="O74" s="172"/>
      <c r="P74" s="236"/>
      <c r="Q74" s="173"/>
      <c r="R74" s="180"/>
      <c r="S74" s="307"/>
      <c r="T74" s="308">
        <f t="shared" si="15"/>
        <v>0</v>
      </c>
      <c r="U74" s="308">
        <f t="shared" si="16"/>
        <v>0</v>
      </c>
      <c r="V74" s="308">
        <f t="shared" si="17"/>
        <v>0</v>
      </c>
      <c r="W74" s="308">
        <f t="shared" si="18"/>
        <v>0</v>
      </c>
      <c r="X74" s="308">
        <f t="shared" si="19"/>
        <v>0</v>
      </c>
      <c r="Y74" s="308">
        <f t="shared" si="20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3"/>
        <v>0</v>
      </c>
      <c r="K75" s="172">
        <f>'BD Team'!K80</f>
        <v>0</v>
      </c>
      <c r="L75" s="171">
        <f t="shared" si="14"/>
        <v>0</v>
      </c>
      <c r="M75" s="170">
        <f>L75*'Changable Values'!$D$4</f>
        <v>0</v>
      </c>
      <c r="N75" s="170">
        <f>'BD Team'!E80</f>
        <v>0</v>
      </c>
      <c r="O75" s="172"/>
      <c r="P75" s="236"/>
      <c r="Q75" s="173"/>
      <c r="R75" s="180"/>
      <c r="S75" s="307"/>
      <c r="T75" s="308">
        <f t="shared" si="15"/>
        <v>0</v>
      </c>
      <c r="U75" s="308">
        <f t="shared" si="16"/>
        <v>0</v>
      </c>
      <c r="V75" s="308">
        <f t="shared" si="17"/>
        <v>0</v>
      </c>
      <c r="W75" s="308">
        <f t="shared" si="18"/>
        <v>0</v>
      </c>
      <c r="X75" s="308">
        <f t="shared" si="19"/>
        <v>0</v>
      </c>
      <c r="Y75" s="308">
        <f t="shared" si="20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3"/>
        <v>0</v>
      </c>
      <c r="K76" s="172">
        <f>'BD Team'!K81</f>
        <v>0</v>
      </c>
      <c r="L76" s="171">
        <f t="shared" si="14"/>
        <v>0</v>
      </c>
      <c r="M76" s="170">
        <f>L76*'Changable Values'!$D$4</f>
        <v>0</v>
      </c>
      <c r="N76" s="170">
        <f>'BD Team'!E81</f>
        <v>0</v>
      </c>
      <c r="O76" s="172"/>
      <c r="P76" s="236"/>
      <c r="Q76" s="173"/>
      <c r="R76" s="180"/>
      <c r="S76" s="307"/>
      <c r="T76" s="308">
        <f t="shared" si="15"/>
        <v>0</v>
      </c>
      <c r="U76" s="308">
        <f t="shared" si="16"/>
        <v>0</v>
      </c>
      <c r="V76" s="308">
        <f t="shared" si="17"/>
        <v>0</v>
      </c>
      <c r="W76" s="308">
        <f t="shared" si="18"/>
        <v>0</v>
      </c>
      <c r="X76" s="308">
        <f t="shared" si="19"/>
        <v>0</v>
      </c>
      <c r="Y76" s="308">
        <f t="shared" si="20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3"/>
        <v>0</v>
      </c>
      <c r="K77" s="172">
        <f>'BD Team'!K82</f>
        <v>0</v>
      </c>
      <c r="L77" s="171">
        <f t="shared" si="14"/>
        <v>0</v>
      </c>
      <c r="M77" s="170">
        <f>L77*'Changable Values'!$D$4</f>
        <v>0</v>
      </c>
      <c r="N77" s="170">
        <f>'BD Team'!E82</f>
        <v>0</v>
      </c>
      <c r="O77" s="172"/>
      <c r="P77" s="236"/>
      <c r="Q77" s="173"/>
      <c r="R77" s="180"/>
      <c r="S77" s="307"/>
      <c r="T77" s="308">
        <f t="shared" si="15"/>
        <v>0</v>
      </c>
      <c r="U77" s="308">
        <f t="shared" si="16"/>
        <v>0</v>
      </c>
      <c r="V77" s="308">
        <f t="shared" si="17"/>
        <v>0</v>
      </c>
      <c r="W77" s="308">
        <f t="shared" si="18"/>
        <v>0</v>
      </c>
      <c r="X77" s="308">
        <f t="shared" si="19"/>
        <v>0</v>
      </c>
      <c r="Y77" s="308">
        <f t="shared" si="20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3"/>
        <v>0</v>
      </c>
      <c r="K78" s="172">
        <f>'BD Team'!K83</f>
        <v>0</v>
      </c>
      <c r="L78" s="171">
        <f t="shared" si="14"/>
        <v>0</v>
      </c>
      <c r="M78" s="170">
        <f>L78*'Changable Values'!$D$4</f>
        <v>0</v>
      </c>
      <c r="N78" s="170">
        <f>'BD Team'!E83</f>
        <v>0</v>
      </c>
      <c r="O78" s="172"/>
      <c r="P78" s="236"/>
      <c r="Q78" s="173"/>
      <c r="R78" s="180"/>
      <c r="S78" s="307"/>
      <c r="T78" s="308">
        <f t="shared" si="15"/>
        <v>0</v>
      </c>
      <c r="U78" s="308">
        <f t="shared" si="16"/>
        <v>0</v>
      </c>
      <c r="V78" s="308">
        <f t="shared" si="17"/>
        <v>0</v>
      </c>
      <c r="W78" s="308">
        <f t="shared" si="18"/>
        <v>0</v>
      </c>
      <c r="X78" s="308">
        <f t="shared" si="19"/>
        <v>0</v>
      </c>
      <c r="Y78" s="308">
        <f t="shared" si="20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3"/>
        <v>0</v>
      </c>
      <c r="K79" s="172">
        <f>'BD Team'!K84</f>
        <v>0</v>
      </c>
      <c r="L79" s="171">
        <f t="shared" si="14"/>
        <v>0</v>
      </c>
      <c r="M79" s="170">
        <f>L79*'Changable Values'!$D$4</f>
        <v>0</v>
      </c>
      <c r="N79" s="170">
        <f>'BD Team'!E84</f>
        <v>0</v>
      </c>
      <c r="O79" s="172"/>
      <c r="P79" s="236"/>
      <c r="Q79" s="173"/>
      <c r="R79" s="180"/>
      <c r="S79" s="307"/>
      <c r="T79" s="308">
        <f t="shared" si="15"/>
        <v>0</v>
      </c>
      <c r="U79" s="308">
        <f t="shared" si="16"/>
        <v>0</v>
      </c>
      <c r="V79" s="308">
        <f t="shared" si="17"/>
        <v>0</v>
      </c>
      <c r="W79" s="308">
        <f t="shared" si="18"/>
        <v>0</v>
      </c>
      <c r="X79" s="308">
        <f t="shared" si="19"/>
        <v>0</v>
      </c>
      <c r="Y79" s="308">
        <f t="shared" si="20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3"/>
        <v>0</v>
      </c>
      <c r="K80" s="172">
        <f>'BD Team'!K85</f>
        <v>0</v>
      </c>
      <c r="L80" s="171">
        <f t="shared" si="14"/>
        <v>0</v>
      </c>
      <c r="M80" s="170">
        <f>L80*'Changable Values'!$D$4</f>
        <v>0</v>
      </c>
      <c r="N80" s="170">
        <f>'BD Team'!E85</f>
        <v>0</v>
      </c>
      <c r="O80" s="172"/>
      <c r="P80" s="236"/>
      <c r="Q80" s="173"/>
      <c r="R80" s="180"/>
      <c r="S80" s="307"/>
      <c r="T80" s="308">
        <f t="shared" si="15"/>
        <v>0</v>
      </c>
      <c r="U80" s="308">
        <f t="shared" si="16"/>
        <v>0</v>
      </c>
      <c r="V80" s="308">
        <f t="shared" si="17"/>
        <v>0</v>
      </c>
      <c r="W80" s="308">
        <f t="shared" si="18"/>
        <v>0</v>
      </c>
      <c r="X80" s="308">
        <f t="shared" si="19"/>
        <v>0</v>
      </c>
      <c r="Y80" s="308">
        <f t="shared" si="20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3"/>
        <v>0</v>
      </c>
      <c r="K81" s="172">
        <f>'BD Team'!K86</f>
        <v>0</v>
      </c>
      <c r="L81" s="171">
        <f t="shared" si="14"/>
        <v>0</v>
      </c>
      <c r="M81" s="170">
        <f>L81*'Changable Values'!$D$4</f>
        <v>0</v>
      </c>
      <c r="N81" s="170">
        <f>'BD Team'!E86</f>
        <v>0</v>
      </c>
      <c r="O81" s="172"/>
      <c r="P81" s="236"/>
      <c r="Q81" s="173"/>
      <c r="R81" s="180"/>
      <c r="S81" s="307"/>
      <c r="T81" s="308">
        <f t="shared" si="15"/>
        <v>0</v>
      </c>
      <c r="U81" s="308">
        <f t="shared" si="16"/>
        <v>0</v>
      </c>
      <c r="V81" s="308">
        <f t="shared" si="17"/>
        <v>0</v>
      </c>
      <c r="W81" s="308">
        <f t="shared" si="18"/>
        <v>0</v>
      </c>
      <c r="X81" s="308">
        <f t="shared" si="19"/>
        <v>0</v>
      </c>
      <c r="Y81" s="308">
        <f t="shared" si="20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3"/>
        <v>0</v>
      </c>
      <c r="K82" s="172">
        <f>'BD Team'!K87</f>
        <v>0</v>
      </c>
      <c r="L82" s="171">
        <f t="shared" si="14"/>
        <v>0</v>
      </c>
      <c r="M82" s="170">
        <f>L82*'Changable Values'!$D$4</f>
        <v>0</v>
      </c>
      <c r="N82" s="170">
        <f>'BD Team'!E87</f>
        <v>0</v>
      </c>
      <c r="O82" s="172"/>
      <c r="P82" s="236"/>
      <c r="Q82" s="173"/>
      <c r="R82" s="180"/>
      <c r="S82" s="307"/>
      <c r="T82" s="308">
        <f t="shared" si="15"/>
        <v>0</v>
      </c>
      <c r="U82" s="308">
        <f t="shared" si="16"/>
        <v>0</v>
      </c>
      <c r="V82" s="308">
        <f t="shared" si="17"/>
        <v>0</v>
      </c>
      <c r="W82" s="308">
        <f t="shared" si="18"/>
        <v>0</v>
      </c>
      <c r="X82" s="308">
        <f t="shared" si="19"/>
        <v>0</v>
      </c>
      <c r="Y82" s="308">
        <f t="shared" si="20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3"/>
        <v>0</v>
      </c>
      <c r="K83" s="172">
        <f>'BD Team'!K88</f>
        <v>0</v>
      </c>
      <c r="L83" s="171">
        <f t="shared" si="14"/>
        <v>0</v>
      </c>
      <c r="M83" s="170">
        <f>L83*'Changable Values'!$D$4</f>
        <v>0</v>
      </c>
      <c r="N83" s="170">
        <f>'BD Team'!E88</f>
        <v>0</v>
      </c>
      <c r="O83" s="172"/>
      <c r="P83" s="236"/>
      <c r="Q83" s="173"/>
      <c r="R83" s="180"/>
      <c r="S83" s="307"/>
      <c r="T83" s="308">
        <f t="shared" si="15"/>
        <v>0</v>
      </c>
      <c r="U83" s="308">
        <f t="shared" si="16"/>
        <v>0</v>
      </c>
      <c r="V83" s="308">
        <f t="shared" si="17"/>
        <v>0</v>
      </c>
      <c r="W83" s="308">
        <f t="shared" si="18"/>
        <v>0</v>
      </c>
      <c r="X83" s="308">
        <f t="shared" si="19"/>
        <v>0</v>
      </c>
      <c r="Y83" s="308">
        <f t="shared" si="20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3"/>
        <v>0</v>
      </c>
      <c r="K84" s="172">
        <f>'BD Team'!K89</f>
        <v>0</v>
      </c>
      <c r="L84" s="171">
        <f t="shared" si="14"/>
        <v>0</v>
      </c>
      <c r="M84" s="170">
        <f>L84*'Changable Values'!$D$4</f>
        <v>0</v>
      </c>
      <c r="N84" s="170">
        <f>'BD Team'!E89</f>
        <v>0</v>
      </c>
      <c r="O84" s="172"/>
      <c r="P84" s="236"/>
      <c r="Q84" s="173"/>
      <c r="R84" s="180"/>
      <c r="S84" s="307"/>
      <c r="T84" s="308">
        <f t="shared" si="15"/>
        <v>0</v>
      </c>
      <c r="U84" s="308">
        <f t="shared" si="16"/>
        <v>0</v>
      </c>
      <c r="V84" s="308">
        <f t="shared" si="17"/>
        <v>0</v>
      </c>
      <c r="W84" s="308">
        <f t="shared" si="18"/>
        <v>0</v>
      </c>
      <c r="X84" s="308">
        <f t="shared" si="19"/>
        <v>0</v>
      </c>
      <c r="Y84" s="308">
        <f t="shared" si="20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3"/>
        <v>0</v>
      </c>
      <c r="K85" s="172">
        <f>'BD Team'!K90</f>
        <v>0</v>
      </c>
      <c r="L85" s="171">
        <f t="shared" si="14"/>
        <v>0</v>
      </c>
      <c r="M85" s="170">
        <f>L85*'Changable Values'!$D$4</f>
        <v>0</v>
      </c>
      <c r="N85" s="170">
        <f>'BD Team'!E90</f>
        <v>0</v>
      </c>
      <c r="O85" s="172"/>
      <c r="P85" s="236"/>
      <c r="Q85" s="173"/>
      <c r="R85" s="180"/>
      <c r="S85" s="307"/>
      <c r="T85" s="308">
        <f t="shared" si="15"/>
        <v>0</v>
      </c>
      <c r="U85" s="308">
        <f t="shared" si="16"/>
        <v>0</v>
      </c>
      <c r="V85" s="308">
        <f t="shared" si="17"/>
        <v>0</v>
      </c>
      <c r="W85" s="308">
        <f t="shared" si="18"/>
        <v>0</v>
      </c>
      <c r="X85" s="308">
        <f t="shared" si="19"/>
        <v>0</v>
      </c>
      <c r="Y85" s="308">
        <f t="shared" si="20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3"/>
        <v>0</v>
      </c>
      <c r="K86" s="172">
        <f>'BD Team'!K91</f>
        <v>0</v>
      </c>
      <c r="L86" s="171">
        <f t="shared" si="14"/>
        <v>0</v>
      </c>
      <c r="M86" s="170">
        <f>L86*'Changable Values'!$D$4</f>
        <v>0</v>
      </c>
      <c r="N86" s="170">
        <f>'BD Team'!E91</f>
        <v>0</v>
      </c>
      <c r="O86" s="172"/>
      <c r="P86" s="236"/>
      <c r="Q86" s="173"/>
      <c r="R86" s="180"/>
      <c r="S86" s="307"/>
      <c r="T86" s="308">
        <f t="shared" si="15"/>
        <v>0</v>
      </c>
      <c r="U86" s="308">
        <f t="shared" si="16"/>
        <v>0</v>
      </c>
      <c r="V86" s="308">
        <f t="shared" si="17"/>
        <v>0</v>
      </c>
      <c r="W86" s="308">
        <f t="shared" si="18"/>
        <v>0</v>
      </c>
      <c r="X86" s="308">
        <f t="shared" si="19"/>
        <v>0</v>
      </c>
      <c r="Y86" s="308">
        <f t="shared" si="20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3"/>
        <v>0</v>
      </c>
      <c r="K87" s="172">
        <f>'BD Team'!K92</f>
        <v>0</v>
      </c>
      <c r="L87" s="171">
        <f t="shared" si="14"/>
        <v>0</v>
      </c>
      <c r="M87" s="170">
        <f>L87*'Changable Values'!$D$4</f>
        <v>0</v>
      </c>
      <c r="N87" s="170">
        <f>'BD Team'!E92</f>
        <v>0</v>
      </c>
      <c r="O87" s="172"/>
      <c r="P87" s="236"/>
      <c r="Q87" s="173"/>
      <c r="R87" s="180"/>
      <c r="S87" s="307"/>
      <c r="T87" s="308">
        <f t="shared" si="15"/>
        <v>0</v>
      </c>
      <c r="U87" s="308">
        <f t="shared" si="16"/>
        <v>0</v>
      </c>
      <c r="V87" s="308">
        <f t="shared" si="17"/>
        <v>0</v>
      </c>
      <c r="W87" s="308">
        <f t="shared" si="18"/>
        <v>0</v>
      </c>
      <c r="X87" s="308">
        <f t="shared" si="19"/>
        <v>0</v>
      </c>
      <c r="Y87" s="308">
        <f t="shared" si="20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3"/>
        <v>0</v>
      </c>
      <c r="K88" s="172">
        <f>'BD Team'!K93</f>
        <v>0</v>
      </c>
      <c r="L88" s="171">
        <f t="shared" si="14"/>
        <v>0</v>
      </c>
      <c r="M88" s="170">
        <f>L88*'Changable Values'!$D$4</f>
        <v>0</v>
      </c>
      <c r="N88" s="170">
        <f>'BD Team'!E93</f>
        <v>0</v>
      </c>
      <c r="O88" s="172"/>
      <c r="P88" s="236"/>
      <c r="Q88" s="173"/>
      <c r="R88" s="180"/>
      <c r="S88" s="307"/>
      <c r="T88" s="308">
        <f t="shared" si="15"/>
        <v>0</v>
      </c>
      <c r="U88" s="308">
        <f t="shared" si="16"/>
        <v>0</v>
      </c>
      <c r="V88" s="308">
        <f t="shared" si="17"/>
        <v>0</v>
      </c>
      <c r="W88" s="308">
        <f t="shared" si="18"/>
        <v>0</v>
      </c>
      <c r="X88" s="308">
        <f t="shared" si="19"/>
        <v>0</v>
      </c>
      <c r="Y88" s="308">
        <f t="shared" si="20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3"/>
        <v>0</v>
      </c>
      <c r="K89" s="172">
        <f>'BD Team'!K94</f>
        <v>0</v>
      </c>
      <c r="L89" s="171">
        <f t="shared" si="14"/>
        <v>0</v>
      </c>
      <c r="M89" s="170">
        <f>L89*'Changable Values'!$D$4</f>
        <v>0</v>
      </c>
      <c r="N89" s="170">
        <f>'BD Team'!E94</f>
        <v>0</v>
      </c>
      <c r="O89" s="172"/>
      <c r="P89" s="236"/>
      <c r="Q89" s="173"/>
      <c r="R89" s="180"/>
      <c r="S89" s="307"/>
      <c r="T89" s="308">
        <f t="shared" si="15"/>
        <v>0</v>
      </c>
      <c r="U89" s="308">
        <f t="shared" si="16"/>
        <v>0</v>
      </c>
      <c r="V89" s="308">
        <f t="shared" si="17"/>
        <v>0</v>
      </c>
      <c r="W89" s="308">
        <f t="shared" si="18"/>
        <v>0</v>
      </c>
      <c r="X89" s="308">
        <f t="shared" si="19"/>
        <v>0</v>
      </c>
      <c r="Y89" s="308">
        <f t="shared" si="20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3"/>
        <v>0</v>
      </c>
      <c r="K90" s="172">
        <f>'BD Team'!K95</f>
        <v>0</v>
      </c>
      <c r="L90" s="171">
        <f t="shared" si="14"/>
        <v>0</v>
      </c>
      <c r="M90" s="170">
        <f>L90*'Changable Values'!$D$4</f>
        <v>0</v>
      </c>
      <c r="N90" s="170">
        <f>'BD Team'!E95</f>
        <v>0</v>
      </c>
      <c r="O90" s="172"/>
      <c r="P90" s="236"/>
      <c r="Q90" s="173"/>
      <c r="R90" s="180"/>
      <c r="S90" s="307"/>
      <c r="T90" s="308">
        <f t="shared" si="15"/>
        <v>0</v>
      </c>
      <c r="U90" s="308">
        <f t="shared" si="16"/>
        <v>0</v>
      </c>
      <c r="V90" s="308">
        <f t="shared" si="17"/>
        <v>0</v>
      </c>
      <c r="W90" s="308">
        <f t="shared" si="18"/>
        <v>0</v>
      </c>
      <c r="X90" s="308">
        <f t="shared" si="19"/>
        <v>0</v>
      </c>
      <c r="Y90" s="308">
        <f t="shared" si="20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3"/>
        <v>0</v>
      </c>
      <c r="K91" s="172">
        <f>'BD Team'!K96</f>
        <v>0</v>
      </c>
      <c r="L91" s="171">
        <f t="shared" si="14"/>
        <v>0</v>
      </c>
      <c r="M91" s="170">
        <f>L91*'Changable Values'!$D$4</f>
        <v>0</v>
      </c>
      <c r="N91" s="170">
        <f>'BD Team'!E96</f>
        <v>0</v>
      </c>
      <c r="O91" s="172"/>
      <c r="P91" s="236"/>
      <c r="Q91" s="173"/>
      <c r="R91" s="180"/>
      <c r="S91" s="307"/>
      <c r="T91" s="308">
        <f t="shared" si="15"/>
        <v>0</v>
      </c>
      <c r="U91" s="308">
        <f t="shared" si="16"/>
        <v>0</v>
      </c>
      <c r="V91" s="308">
        <f t="shared" si="17"/>
        <v>0</v>
      </c>
      <c r="W91" s="308">
        <f t="shared" si="18"/>
        <v>0</v>
      </c>
      <c r="X91" s="308">
        <f t="shared" si="19"/>
        <v>0</v>
      </c>
      <c r="Y91" s="308">
        <f t="shared" si="20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3"/>
        <v>0</v>
      </c>
      <c r="K92" s="172">
        <f>'BD Team'!K97</f>
        <v>0</v>
      </c>
      <c r="L92" s="171">
        <f t="shared" si="14"/>
        <v>0</v>
      </c>
      <c r="M92" s="170">
        <f>L92*'Changable Values'!$D$4</f>
        <v>0</v>
      </c>
      <c r="N92" s="170">
        <f>'BD Team'!E97</f>
        <v>0</v>
      </c>
      <c r="O92" s="172"/>
      <c r="P92" s="236"/>
      <c r="Q92" s="173"/>
      <c r="R92" s="180"/>
      <c r="S92" s="307"/>
      <c r="T92" s="308">
        <f t="shared" si="15"/>
        <v>0</v>
      </c>
      <c r="U92" s="308">
        <f t="shared" si="16"/>
        <v>0</v>
      </c>
      <c r="V92" s="308">
        <f t="shared" si="17"/>
        <v>0</v>
      </c>
      <c r="W92" s="308">
        <f t="shared" si="18"/>
        <v>0</v>
      </c>
      <c r="X92" s="308">
        <f t="shared" si="19"/>
        <v>0</v>
      </c>
      <c r="Y92" s="308">
        <f t="shared" si="20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3"/>
        <v>0</v>
      </c>
      <c r="K93" s="172">
        <f>'BD Team'!K98</f>
        <v>0</v>
      </c>
      <c r="L93" s="171">
        <f t="shared" si="14"/>
        <v>0</v>
      </c>
      <c r="M93" s="170">
        <f>L93*'Changable Values'!$D$4</f>
        <v>0</v>
      </c>
      <c r="N93" s="170">
        <f>'BD Team'!E98</f>
        <v>0</v>
      </c>
      <c r="O93" s="172"/>
      <c r="P93" s="236"/>
      <c r="Q93" s="173"/>
      <c r="R93" s="180"/>
      <c r="S93" s="307"/>
      <c r="T93" s="308">
        <f t="shared" si="15"/>
        <v>0</v>
      </c>
      <c r="U93" s="308">
        <f t="shared" si="16"/>
        <v>0</v>
      </c>
      <c r="V93" s="308">
        <f t="shared" si="17"/>
        <v>0</v>
      </c>
      <c r="W93" s="308">
        <f t="shared" si="18"/>
        <v>0</v>
      </c>
      <c r="X93" s="308">
        <f t="shared" si="19"/>
        <v>0</v>
      </c>
      <c r="Y93" s="308">
        <f t="shared" si="20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3"/>
        <v>0</v>
      </c>
      <c r="K94" s="172">
        <f>'BD Team'!K99</f>
        <v>0</v>
      </c>
      <c r="L94" s="171">
        <f t="shared" si="14"/>
        <v>0</v>
      </c>
      <c r="M94" s="170">
        <f>L94*'Changable Values'!$D$4</f>
        <v>0</v>
      </c>
      <c r="N94" s="170">
        <f>'BD Team'!E99</f>
        <v>0</v>
      </c>
      <c r="O94" s="172"/>
      <c r="P94" s="236"/>
      <c r="Q94" s="173"/>
      <c r="R94" s="180"/>
      <c r="S94" s="307"/>
      <c r="T94" s="308">
        <f t="shared" si="15"/>
        <v>0</v>
      </c>
      <c r="U94" s="308">
        <f t="shared" si="16"/>
        <v>0</v>
      </c>
      <c r="V94" s="308">
        <f t="shared" si="17"/>
        <v>0</v>
      </c>
      <c r="W94" s="308">
        <f t="shared" si="18"/>
        <v>0</v>
      </c>
      <c r="X94" s="308">
        <f t="shared" si="19"/>
        <v>0</v>
      </c>
      <c r="Y94" s="308">
        <f t="shared" si="20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3"/>
        <v>0</v>
      </c>
      <c r="K95" s="172">
        <f>'BD Team'!K100</f>
        <v>0</v>
      </c>
      <c r="L95" s="171">
        <f t="shared" si="14"/>
        <v>0</v>
      </c>
      <c r="M95" s="170">
        <f>L95*'Changable Values'!$D$4</f>
        <v>0</v>
      </c>
      <c r="N95" s="170">
        <f>'BD Team'!E100</f>
        <v>0</v>
      </c>
      <c r="O95" s="172"/>
      <c r="P95" s="236"/>
      <c r="Q95" s="173"/>
      <c r="R95" s="180"/>
      <c r="S95" s="307"/>
      <c r="T95" s="308">
        <f t="shared" si="15"/>
        <v>0</v>
      </c>
      <c r="U95" s="308">
        <f t="shared" si="16"/>
        <v>0</v>
      </c>
      <c r="V95" s="308">
        <f t="shared" si="17"/>
        <v>0</v>
      </c>
      <c r="W95" s="308">
        <f t="shared" si="18"/>
        <v>0</v>
      </c>
      <c r="X95" s="308">
        <f t="shared" si="19"/>
        <v>0</v>
      </c>
      <c r="Y95" s="308">
        <f t="shared" si="20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3"/>
        <v>0</v>
      </c>
      <c r="K96" s="172">
        <f>'BD Team'!K101</f>
        <v>0</v>
      </c>
      <c r="L96" s="171">
        <f t="shared" si="14"/>
        <v>0</v>
      </c>
      <c r="M96" s="170">
        <f>L96*'Changable Values'!$D$4</f>
        <v>0</v>
      </c>
      <c r="N96" s="170">
        <f>'BD Team'!E101</f>
        <v>0</v>
      </c>
      <c r="O96" s="172"/>
      <c r="P96" s="236"/>
      <c r="Q96" s="173"/>
      <c r="R96" s="180"/>
      <c r="S96" s="307"/>
      <c r="T96" s="308">
        <f t="shared" si="15"/>
        <v>0</v>
      </c>
      <c r="U96" s="308">
        <f t="shared" si="16"/>
        <v>0</v>
      </c>
      <c r="V96" s="308">
        <f t="shared" si="17"/>
        <v>0</v>
      </c>
      <c r="W96" s="308">
        <f t="shared" si="18"/>
        <v>0</v>
      </c>
      <c r="X96" s="308">
        <f t="shared" si="19"/>
        <v>0</v>
      </c>
      <c r="Y96" s="308">
        <f t="shared" si="20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3"/>
        <v>0</v>
      </c>
      <c r="K97" s="172">
        <f>'BD Team'!K102</f>
        <v>0</v>
      </c>
      <c r="L97" s="171">
        <f t="shared" si="14"/>
        <v>0</v>
      </c>
      <c r="M97" s="170">
        <f>L97*'Changable Values'!$D$4</f>
        <v>0</v>
      </c>
      <c r="N97" s="170">
        <f>'BD Team'!E102</f>
        <v>0</v>
      </c>
      <c r="O97" s="172"/>
      <c r="P97" s="236"/>
      <c r="Q97" s="173"/>
      <c r="R97" s="180"/>
      <c r="S97" s="307"/>
      <c r="T97" s="308">
        <f t="shared" si="15"/>
        <v>0</v>
      </c>
      <c r="U97" s="308">
        <f t="shared" si="16"/>
        <v>0</v>
      </c>
      <c r="V97" s="308">
        <f t="shared" si="17"/>
        <v>0</v>
      </c>
      <c r="W97" s="308">
        <f t="shared" si="18"/>
        <v>0</v>
      </c>
      <c r="X97" s="308">
        <f t="shared" si="19"/>
        <v>0</v>
      </c>
      <c r="Y97" s="308">
        <f t="shared" si="20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3"/>
        <v>0</v>
      </c>
      <c r="K98" s="172">
        <f>'BD Team'!K103</f>
        <v>0</v>
      </c>
      <c r="L98" s="171">
        <f t="shared" si="14"/>
        <v>0</v>
      </c>
      <c r="M98" s="170">
        <f>L98*'Changable Values'!$D$4</f>
        <v>0</v>
      </c>
      <c r="N98" s="170">
        <f>'BD Team'!E103</f>
        <v>0</v>
      </c>
      <c r="O98" s="172"/>
      <c r="P98" s="236"/>
      <c r="Q98" s="173"/>
      <c r="R98" s="180"/>
      <c r="S98" s="307"/>
      <c r="T98" s="308">
        <f t="shared" si="15"/>
        <v>0</v>
      </c>
      <c r="U98" s="308">
        <f t="shared" si="16"/>
        <v>0</v>
      </c>
      <c r="V98" s="308">
        <f t="shared" si="17"/>
        <v>0</v>
      </c>
      <c r="W98" s="308">
        <f t="shared" si="18"/>
        <v>0</v>
      </c>
      <c r="X98" s="308">
        <f t="shared" si="19"/>
        <v>0</v>
      </c>
      <c r="Y98" s="308">
        <f t="shared" si="20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3"/>
        <v>0</v>
      </c>
      <c r="K99" s="172">
        <f>'BD Team'!K104</f>
        <v>0</v>
      </c>
      <c r="L99" s="171">
        <f t="shared" si="14"/>
        <v>0</v>
      </c>
      <c r="M99" s="170">
        <f>L99*'Changable Values'!$D$4</f>
        <v>0</v>
      </c>
      <c r="N99" s="170">
        <f>'BD Team'!E104</f>
        <v>0</v>
      </c>
      <c r="O99" s="172"/>
      <c r="P99" s="236"/>
      <c r="Q99" s="173"/>
      <c r="R99" s="180"/>
      <c r="S99" s="307"/>
      <c r="T99" s="308">
        <f t="shared" si="15"/>
        <v>0</v>
      </c>
      <c r="U99" s="308">
        <f t="shared" si="16"/>
        <v>0</v>
      </c>
      <c r="V99" s="308">
        <f t="shared" si="17"/>
        <v>0</v>
      </c>
      <c r="W99" s="308">
        <f t="shared" si="18"/>
        <v>0</v>
      </c>
      <c r="X99" s="308">
        <f t="shared" si="19"/>
        <v>0</v>
      </c>
      <c r="Y99" s="308">
        <f t="shared" si="20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3"/>
        <v>0</v>
      </c>
      <c r="K100" s="172">
        <f>'BD Team'!K105</f>
        <v>0</v>
      </c>
      <c r="L100" s="171">
        <f t="shared" si="14"/>
        <v>0</v>
      </c>
      <c r="M100" s="170">
        <f>L100*'Changable Values'!$D$4</f>
        <v>0</v>
      </c>
      <c r="N100" s="170">
        <f>'BD Team'!E105</f>
        <v>0</v>
      </c>
      <c r="O100" s="172"/>
      <c r="P100" s="236"/>
      <c r="Q100" s="173"/>
      <c r="R100" s="180"/>
      <c r="S100" s="307"/>
      <c r="T100" s="308">
        <f t="shared" si="15"/>
        <v>0</v>
      </c>
      <c r="U100" s="308">
        <f t="shared" si="16"/>
        <v>0</v>
      </c>
      <c r="V100" s="308">
        <f t="shared" si="17"/>
        <v>0</v>
      </c>
      <c r="W100" s="308">
        <f t="shared" si="18"/>
        <v>0</v>
      </c>
      <c r="X100" s="308">
        <f t="shared" si="19"/>
        <v>0</v>
      </c>
      <c r="Y100" s="308">
        <f t="shared" si="20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3"/>
        <v>0</v>
      </c>
      <c r="K101" s="172">
        <f>'BD Team'!K106</f>
        <v>0</v>
      </c>
      <c r="L101" s="171">
        <f t="shared" si="14"/>
        <v>0</v>
      </c>
      <c r="M101" s="170">
        <f>L101*'Changable Values'!$D$4</f>
        <v>0</v>
      </c>
      <c r="N101" s="170">
        <f>'BD Team'!E106</f>
        <v>0</v>
      </c>
      <c r="O101" s="172"/>
      <c r="P101" s="236"/>
      <c r="Q101" s="173"/>
      <c r="R101" s="180"/>
      <c r="S101" s="307"/>
      <c r="T101" s="308">
        <f t="shared" si="15"/>
        <v>0</v>
      </c>
      <c r="U101" s="308">
        <f t="shared" si="16"/>
        <v>0</v>
      </c>
      <c r="V101" s="308">
        <f t="shared" si="17"/>
        <v>0</v>
      </c>
      <c r="W101" s="308">
        <f t="shared" si="18"/>
        <v>0</v>
      </c>
      <c r="X101" s="308">
        <f t="shared" si="19"/>
        <v>0</v>
      </c>
      <c r="Y101" s="308">
        <f t="shared" si="20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3"/>
        <v>0</v>
      </c>
      <c r="K102" s="172">
        <f>'BD Team'!K107</f>
        <v>0</v>
      </c>
      <c r="L102" s="171">
        <f t="shared" si="14"/>
        <v>0</v>
      </c>
      <c r="M102" s="170">
        <f>L102*'Changable Values'!$D$4</f>
        <v>0</v>
      </c>
      <c r="N102" s="170">
        <f>'BD Team'!E107</f>
        <v>0</v>
      </c>
      <c r="O102" s="172"/>
      <c r="P102" s="236"/>
      <c r="Q102" s="173"/>
      <c r="R102" s="180"/>
      <c r="S102" s="307"/>
      <c r="T102" s="308">
        <f t="shared" si="15"/>
        <v>0</v>
      </c>
      <c r="U102" s="308">
        <f t="shared" si="16"/>
        <v>0</v>
      </c>
      <c r="V102" s="308">
        <f t="shared" si="17"/>
        <v>0</v>
      </c>
      <c r="W102" s="308">
        <f t="shared" si="18"/>
        <v>0</v>
      </c>
      <c r="X102" s="308">
        <f t="shared" si="19"/>
        <v>0</v>
      </c>
      <c r="Y102" s="308">
        <f t="shared" si="20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3"/>
        <v>0</v>
      </c>
      <c r="K103" s="172">
        <f>'BD Team'!K108</f>
        <v>0</v>
      </c>
      <c r="L103" s="171">
        <f t="shared" si="14"/>
        <v>0</v>
      </c>
      <c r="M103" s="170">
        <f>L103*'Changable Values'!$D$4</f>
        <v>0</v>
      </c>
      <c r="N103" s="170">
        <f>'BD Team'!E108</f>
        <v>0</v>
      </c>
      <c r="O103" s="172"/>
      <c r="P103" s="236"/>
      <c r="Q103" s="173"/>
      <c r="R103" s="180"/>
      <c r="S103" s="307"/>
      <c r="T103" s="308">
        <f t="shared" si="15"/>
        <v>0</v>
      </c>
      <c r="U103" s="308">
        <f t="shared" si="16"/>
        <v>0</v>
      </c>
      <c r="V103" s="308">
        <f t="shared" si="17"/>
        <v>0</v>
      </c>
      <c r="W103" s="308">
        <f t="shared" si="18"/>
        <v>0</v>
      </c>
      <c r="X103" s="308">
        <f t="shared" si="19"/>
        <v>0</v>
      </c>
      <c r="Y103" s="308">
        <f t="shared" si="20"/>
        <v>0</v>
      </c>
    </row>
    <row r="104" spans="1:25">
      <c r="K104" s="168">
        <f>SUM(K4:K103)</f>
        <v>7670.55</v>
      </c>
      <c r="L104" s="168">
        <f>SUM(L4:L103)</f>
        <v>11503.849999999999</v>
      </c>
      <c r="M104" s="168">
        <f>SUM(M4:M103)</f>
        <v>954819.55</v>
      </c>
      <c r="T104" s="309">
        <f t="shared" ref="T104:Y104" si="21">SUM(T4:T103)</f>
        <v>1178.4933333333333</v>
      </c>
      <c r="U104" s="309">
        <f t="shared" si="21"/>
        <v>1414.1919999999998</v>
      </c>
      <c r="V104" s="309">
        <f t="shared" si="21"/>
        <v>73.655833333333334</v>
      </c>
      <c r="W104" s="309">
        <f t="shared" si="21"/>
        <v>1178.4933333333333</v>
      </c>
      <c r="X104" s="309">
        <f t="shared" si="21"/>
        <v>2356.9866666666667</v>
      </c>
      <c r="Y104" s="309">
        <f t="shared" si="21"/>
        <v>707.09599999999989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0" customFormat="1" ht="15.75" thickBot="1">
      <c r="A1" s="332" t="s">
        <v>281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</row>
    <row r="2" spans="1:13" ht="15.75" thickTop="1">
      <c r="A2" s="333" t="s">
        <v>282</v>
      </c>
      <c r="B2" s="335">
        <f>K4</f>
        <v>2190.384</v>
      </c>
      <c r="C2" s="241" t="s">
        <v>283</v>
      </c>
      <c r="D2" s="242" t="s">
        <v>284</v>
      </c>
      <c r="E2" s="242" t="s">
        <v>136</v>
      </c>
      <c r="F2" s="243" t="s">
        <v>133</v>
      </c>
      <c r="G2" s="241" t="s">
        <v>285</v>
      </c>
      <c r="H2" s="242" t="s">
        <v>286</v>
      </c>
      <c r="I2" s="241" t="s">
        <v>287</v>
      </c>
      <c r="J2" s="242" t="s">
        <v>127</v>
      </c>
      <c r="K2" s="241" t="s">
        <v>288</v>
      </c>
      <c r="L2" s="244"/>
      <c r="M2" s="240"/>
    </row>
    <row r="3" spans="1:13" ht="15">
      <c r="A3" s="334"/>
      <c r="B3" s="336"/>
      <c r="C3" s="241"/>
      <c r="D3" s="246">
        <v>2.3E-2</v>
      </c>
      <c r="E3" s="246">
        <v>0.04</v>
      </c>
      <c r="F3" s="247">
        <v>0.05</v>
      </c>
      <c r="G3" s="248"/>
      <c r="H3" s="246">
        <v>0.2</v>
      </c>
      <c r="I3" s="248"/>
      <c r="J3" s="246">
        <v>0</v>
      </c>
      <c r="K3" s="248"/>
      <c r="L3" s="244"/>
      <c r="M3" s="240"/>
    </row>
    <row r="4" spans="1:13" ht="15">
      <c r="A4" s="334"/>
      <c r="B4" s="336"/>
      <c r="C4" s="249">
        <f>G7</f>
        <v>1640</v>
      </c>
      <c r="D4" s="250">
        <f>C4*D3</f>
        <v>37.72</v>
      </c>
      <c r="E4" s="250">
        <f>C4*E3</f>
        <v>65.599999999999994</v>
      </c>
      <c r="F4" s="250">
        <f>C4*F3</f>
        <v>82</v>
      </c>
      <c r="G4" s="250">
        <f>C4+D4+E4+F4</f>
        <v>1825.32</v>
      </c>
      <c r="H4" s="250">
        <f>G4*H3</f>
        <v>365.06400000000002</v>
      </c>
      <c r="I4" s="250">
        <f>G4+H4</f>
        <v>2190.384</v>
      </c>
      <c r="J4" s="250">
        <f>I4*J3</f>
        <v>0</v>
      </c>
      <c r="K4" s="250">
        <f>I4+J4</f>
        <v>2190.384</v>
      </c>
      <c r="L4" s="251"/>
      <c r="M4" s="240"/>
    </row>
    <row r="5" spans="1:13" s="240" customFormat="1" ht="15">
      <c r="A5" s="252"/>
      <c r="B5" s="253"/>
      <c r="C5" s="254"/>
      <c r="D5" s="255"/>
      <c r="E5" s="256"/>
      <c r="F5" s="257"/>
      <c r="G5" s="251"/>
      <c r="H5" s="255"/>
      <c r="I5" s="251"/>
      <c r="J5" s="258"/>
      <c r="K5" s="251"/>
      <c r="L5" s="251"/>
    </row>
    <row r="6" spans="1:13" ht="21" customHeight="1">
      <c r="A6" s="259" t="s">
        <v>289</v>
      </c>
      <c r="B6" s="260" t="s">
        <v>106</v>
      </c>
      <c r="C6" s="261" t="s">
        <v>290</v>
      </c>
      <c r="D6" s="260" t="s">
        <v>106</v>
      </c>
      <c r="E6" s="261" t="s">
        <v>290</v>
      </c>
      <c r="F6" s="260" t="s">
        <v>106</v>
      </c>
      <c r="G6" s="262" t="s">
        <v>285</v>
      </c>
      <c r="H6" s="263"/>
      <c r="I6" s="245"/>
      <c r="J6" s="245"/>
      <c r="K6" s="245"/>
      <c r="L6" s="240"/>
      <c r="M6" s="240"/>
    </row>
    <row r="7" spans="1:13" ht="15">
      <c r="A7" s="264">
        <f>B7+C7+D7+E7+F7</f>
        <v>13</v>
      </c>
      <c r="B7" s="265">
        <v>8</v>
      </c>
      <c r="C7" s="266">
        <v>0</v>
      </c>
      <c r="D7" s="265">
        <v>5</v>
      </c>
      <c r="E7" s="266">
        <v>0</v>
      </c>
      <c r="F7" s="265">
        <v>0</v>
      </c>
      <c r="G7" s="264">
        <f>SUM(B8:F8)</f>
        <v>1640</v>
      </c>
      <c r="H7" s="263"/>
      <c r="I7" s="245"/>
      <c r="J7" s="245"/>
      <c r="K7" s="245"/>
      <c r="L7" s="240"/>
      <c r="M7" s="240"/>
    </row>
    <row r="8" spans="1:13" ht="15">
      <c r="A8" s="267"/>
      <c r="B8" s="265">
        <f>IF(B7=B11,C11,IF(B7=B12,C12,IF(B7=B13,C13,IF(B7=B14,C14,IF(B7=B15,C15,IF(B7=B16,C16,IF(B7=B17,C17,IF(B7=B18,C18,IF(B7=B19,C19,"")))))))))</f>
        <v>990</v>
      </c>
      <c r="C8" s="266">
        <f>IF(C7=E11,F11,IF(C7=E12,F12,IF(C7=E13,F13,IF(C7=E14,F14,IF(C7=E15,F15,IF(C7=E16,F16,IF(C7=E17,F17,IF(C7=E18,F18,""))))))))</f>
        <v>0</v>
      </c>
      <c r="D8" s="265">
        <f>IF(D7=B11,C11,IF(D7=B12,C12,IF(D7=B13,C13,IF(D7=B14,C14,IF(D7=B15,C15,IF(D7=B16,C16,IF(D7=B17,C17,IF(D7=B18,C18,IF(D7=B19,C19,"")))))))))</f>
        <v>650</v>
      </c>
      <c r="E8" s="266">
        <f>IF(E7=E11,F11,IF(E7=E12,F12,IF(E7=E13,F13,IF(E7=E14,F14,IF(E7=E15,F15,IF(E7=E16,F16,IF(E7=E17,F17,IF(E7=E18,F18,""))))))))</f>
        <v>0</v>
      </c>
      <c r="F8" s="265">
        <f>IF(F7=B11,C11,IF(F7=B12,C12,IF(F7=B13,C13,IF(F7=B14,C14,IF(F7=B15,C15,IF(F7=B16,C16,IF(F7=B17,C17,IF(F7=B18,C18,IF(F7=B19,C19,"")))))))))</f>
        <v>0</v>
      </c>
      <c r="G8" s="268"/>
      <c r="H8" s="263"/>
      <c r="I8" s="245"/>
      <c r="J8" s="245"/>
      <c r="K8" s="245"/>
      <c r="L8" s="240"/>
      <c r="M8" s="240"/>
    </row>
    <row r="9" spans="1:13" ht="15" hidden="1">
      <c r="A9" s="269"/>
      <c r="B9" s="337" t="s">
        <v>63</v>
      </c>
      <c r="C9" s="337"/>
      <c r="D9" s="267"/>
      <c r="E9" s="337" t="s">
        <v>291</v>
      </c>
      <c r="F9" s="337"/>
      <c r="G9" s="269"/>
      <c r="H9" s="263"/>
      <c r="I9" s="245"/>
      <c r="J9" s="245"/>
      <c r="K9" s="245"/>
      <c r="L9" s="240"/>
      <c r="M9" s="240"/>
    </row>
    <row r="10" spans="1:13" ht="15" hidden="1">
      <c r="A10" s="269"/>
      <c r="B10" s="270" t="s">
        <v>192</v>
      </c>
      <c r="C10" s="270" t="s">
        <v>292</v>
      </c>
      <c r="D10" s="267"/>
      <c r="E10" s="270" t="s">
        <v>192</v>
      </c>
      <c r="F10" s="270" t="s">
        <v>292</v>
      </c>
      <c r="G10" s="269"/>
      <c r="H10" s="263"/>
      <c r="I10" s="245"/>
      <c r="J10" s="245"/>
      <c r="K10" s="245"/>
      <c r="L10" s="240"/>
      <c r="M10" s="240"/>
    </row>
    <row r="11" spans="1:13" ht="15" hidden="1">
      <c r="A11" s="269"/>
      <c r="B11" s="270">
        <v>0</v>
      </c>
      <c r="C11" s="271">
        <v>0</v>
      </c>
      <c r="D11" s="267"/>
      <c r="E11" s="270">
        <v>0</v>
      </c>
      <c r="F11" s="270">
        <v>0</v>
      </c>
      <c r="G11" s="269"/>
      <c r="H11" s="263"/>
      <c r="I11" s="245"/>
      <c r="J11" s="245"/>
      <c r="K11" s="245"/>
      <c r="L11" s="240"/>
      <c r="M11" s="240"/>
    </row>
    <row r="12" spans="1:13" ht="15" hidden="1">
      <c r="A12" s="272" t="s">
        <v>293</v>
      </c>
      <c r="B12" s="271">
        <v>4</v>
      </c>
      <c r="C12" s="273">
        <v>550</v>
      </c>
      <c r="D12" s="267"/>
      <c r="E12" s="270">
        <v>8</v>
      </c>
      <c r="F12" s="270">
        <v>600</v>
      </c>
      <c r="G12" s="269"/>
      <c r="H12" s="263"/>
      <c r="I12" s="245"/>
      <c r="J12" s="245"/>
      <c r="K12" s="245"/>
      <c r="L12" s="240"/>
      <c r="M12" s="240"/>
    </row>
    <row r="13" spans="1:13" ht="15" hidden="1">
      <c r="A13" s="272" t="s">
        <v>294</v>
      </c>
      <c r="B13" s="271">
        <v>5</v>
      </c>
      <c r="C13" s="273">
        <v>650</v>
      </c>
      <c r="D13" s="267"/>
      <c r="E13" s="270">
        <v>10</v>
      </c>
      <c r="F13" s="270">
        <v>600</v>
      </c>
      <c r="G13" s="269"/>
      <c r="H13" s="263"/>
      <c r="I13" s="245"/>
      <c r="J13" s="245"/>
      <c r="K13" s="245"/>
      <c r="L13" s="240"/>
      <c r="M13" s="240"/>
    </row>
    <row r="14" spans="1:13" ht="15" hidden="1">
      <c r="A14" s="272" t="s">
        <v>295</v>
      </c>
      <c r="B14" s="271">
        <v>6</v>
      </c>
      <c r="C14" s="273">
        <v>750</v>
      </c>
      <c r="D14" s="267"/>
      <c r="E14" s="270">
        <v>12</v>
      </c>
      <c r="F14" s="270">
        <v>600</v>
      </c>
      <c r="G14" s="269"/>
      <c r="H14" s="263"/>
      <c r="I14" s="245"/>
      <c r="J14" s="245"/>
      <c r="K14" s="245"/>
      <c r="L14" s="240"/>
      <c r="M14" s="240"/>
    </row>
    <row r="15" spans="1:13" ht="15" hidden="1">
      <c r="A15" s="272" t="s">
        <v>296</v>
      </c>
      <c r="B15" s="271">
        <v>8</v>
      </c>
      <c r="C15" s="273">
        <v>990</v>
      </c>
      <c r="D15" s="267"/>
      <c r="E15" s="270">
        <v>15</v>
      </c>
      <c r="F15" s="270">
        <v>600</v>
      </c>
      <c r="G15" s="269"/>
      <c r="H15" s="263"/>
      <c r="I15" s="268"/>
      <c r="J15" s="268"/>
      <c r="K15" s="268"/>
      <c r="L15" s="240"/>
      <c r="M15" s="240"/>
    </row>
    <row r="16" spans="1:13" ht="15" hidden="1">
      <c r="A16" s="272" t="s">
        <v>297</v>
      </c>
      <c r="B16" s="271">
        <v>10</v>
      </c>
      <c r="C16" s="273">
        <v>1190</v>
      </c>
      <c r="D16" s="268"/>
      <c r="E16" s="274">
        <v>16</v>
      </c>
      <c r="F16" s="274">
        <v>600</v>
      </c>
      <c r="G16" s="269"/>
      <c r="H16" s="263"/>
      <c r="I16" s="268"/>
      <c r="J16" s="268"/>
      <c r="K16" s="268"/>
      <c r="L16" s="240"/>
      <c r="M16" s="240"/>
    </row>
    <row r="17" spans="1:13" ht="15" hidden="1">
      <c r="A17" s="272" t="s">
        <v>298</v>
      </c>
      <c r="B17" s="271">
        <v>12</v>
      </c>
      <c r="C17" s="273">
        <v>1415</v>
      </c>
      <c r="D17" s="268"/>
      <c r="E17" s="275">
        <v>0.76</v>
      </c>
      <c r="F17" s="275">
        <v>1000</v>
      </c>
      <c r="G17" s="240"/>
      <c r="H17" s="240"/>
      <c r="I17" s="240"/>
      <c r="J17" s="240"/>
      <c r="K17" s="240"/>
      <c r="L17" s="240"/>
      <c r="M17" s="240"/>
    </row>
    <row r="18" spans="1:13" ht="15" hidden="1">
      <c r="A18" s="272" t="s">
        <v>299</v>
      </c>
      <c r="B18" s="271">
        <v>15</v>
      </c>
      <c r="C18" s="273">
        <v>3950</v>
      </c>
      <c r="D18" s="276"/>
      <c r="E18" s="270">
        <v>1.52</v>
      </c>
      <c r="F18" s="270">
        <v>1800</v>
      </c>
      <c r="G18" s="276"/>
      <c r="H18" s="240"/>
      <c r="I18" s="240"/>
      <c r="J18" s="240"/>
      <c r="K18" s="240"/>
      <c r="L18" s="240"/>
      <c r="M18" s="240"/>
    </row>
    <row r="19" spans="1:13" ht="15" hidden="1">
      <c r="A19" s="272" t="s">
        <v>300</v>
      </c>
      <c r="B19" s="271">
        <v>19</v>
      </c>
      <c r="C19" s="273">
        <v>4950</v>
      </c>
      <c r="D19" s="276"/>
      <c r="E19" s="276"/>
      <c r="F19" s="276"/>
      <c r="G19" s="277"/>
      <c r="H19" s="240"/>
      <c r="I19" s="240"/>
      <c r="J19" s="240"/>
      <c r="K19" s="240"/>
      <c r="L19" s="240"/>
      <c r="M19" s="240"/>
    </row>
    <row r="20" spans="1:13" ht="15" hidden="1">
      <c r="A20" s="245" t="s">
        <v>301</v>
      </c>
      <c r="B20" s="278">
        <v>6</v>
      </c>
      <c r="C20" s="273">
        <v>1380</v>
      </c>
      <c r="D20" s="245"/>
      <c r="E20" s="245"/>
      <c r="F20" s="245"/>
      <c r="G20" s="245"/>
      <c r="H20" s="245"/>
      <c r="I20" s="245"/>
      <c r="J20" s="245"/>
      <c r="K20" s="245"/>
      <c r="L20" s="245"/>
      <c r="M20" s="245"/>
    </row>
    <row r="21" spans="1:13" ht="15" hidden="1">
      <c r="A21" s="245" t="s">
        <v>302</v>
      </c>
      <c r="B21" s="278">
        <v>8</v>
      </c>
      <c r="C21" s="273">
        <v>1840</v>
      </c>
      <c r="D21" s="245"/>
      <c r="E21" s="245"/>
      <c r="F21" s="245"/>
      <c r="G21" s="245"/>
      <c r="H21" s="245"/>
      <c r="I21" s="245"/>
      <c r="J21" s="245"/>
      <c r="K21" s="245"/>
      <c r="L21" s="245"/>
      <c r="M21" s="245"/>
    </row>
    <row r="22" spans="1:13" ht="15" hidden="1">
      <c r="A22" s="245" t="s">
        <v>303</v>
      </c>
      <c r="B22" s="278">
        <v>10</v>
      </c>
      <c r="C22" s="273">
        <v>2090</v>
      </c>
      <c r="D22" s="245"/>
      <c r="E22" s="245"/>
      <c r="F22" s="245"/>
      <c r="G22" s="245"/>
      <c r="H22" s="245"/>
      <c r="I22" s="245"/>
      <c r="J22" s="245"/>
      <c r="K22" s="245"/>
      <c r="L22" s="245"/>
      <c r="M22" s="245"/>
    </row>
    <row r="23" spans="1:13" ht="15" hidden="1">
      <c r="A23" s="245" t="s">
        <v>304</v>
      </c>
      <c r="B23" s="278">
        <v>12</v>
      </c>
      <c r="C23" s="273">
        <v>2590</v>
      </c>
      <c r="D23" s="245"/>
      <c r="E23" s="245"/>
      <c r="F23" s="245"/>
      <c r="G23" s="245"/>
      <c r="H23" s="245"/>
      <c r="I23" s="245"/>
      <c r="J23" s="245"/>
      <c r="K23" s="245"/>
      <c r="L23" s="245"/>
      <c r="M23" s="245"/>
    </row>
    <row r="24" spans="1:13" ht="15" hidden="1">
      <c r="A24" s="245" t="s">
        <v>305</v>
      </c>
      <c r="B24" s="278">
        <v>5</v>
      </c>
      <c r="C24" s="273">
        <v>930</v>
      </c>
      <c r="D24" s="245"/>
      <c r="E24" s="245"/>
      <c r="F24" s="245"/>
      <c r="G24" s="245"/>
      <c r="H24" s="245"/>
      <c r="I24" s="245"/>
      <c r="J24" s="245"/>
      <c r="K24" s="245"/>
      <c r="L24" s="245"/>
      <c r="M24" s="245"/>
    </row>
    <row r="25" spans="1:13" ht="15" hidden="1">
      <c r="A25" s="245" t="s">
        <v>306</v>
      </c>
      <c r="B25" s="278">
        <v>6</v>
      </c>
      <c r="C25" s="273">
        <v>1130</v>
      </c>
      <c r="D25" s="245"/>
      <c r="E25" s="245"/>
      <c r="F25" s="245"/>
      <c r="G25" s="245"/>
      <c r="H25" s="245"/>
      <c r="I25" s="245"/>
      <c r="J25" s="245"/>
      <c r="K25" s="245"/>
      <c r="L25" s="245"/>
      <c r="M25" s="245"/>
    </row>
    <row r="26" spans="1:13" ht="15" hidden="1">
      <c r="A26" s="245" t="s">
        <v>307</v>
      </c>
      <c r="B26" s="278">
        <v>5</v>
      </c>
      <c r="C26" s="273">
        <v>930</v>
      </c>
      <c r="D26" s="245"/>
      <c r="E26" s="245"/>
      <c r="F26" s="245"/>
      <c r="G26" s="245"/>
      <c r="H26" s="245"/>
      <c r="I26" s="245"/>
      <c r="J26" s="245"/>
      <c r="K26" s="245"/>
      <c r="L26" s="245"/>
      <c r="M26" s="245"/>
    </row>
    <row r="27" spans="1:13" ht="15" hidden="1">
      <c r="A27" s="245" t="s">
        <v>308</v>
      </c>
      <c r="B27" s="278">
        <v>10</v>
      </c>
      <c r="C27" s="273">
        <v>2140</v>
      </c>
      <c r="D27" s="245"/>
      <c r="E27" s="245"/>
      <c r="F27" s="245"/>
      <c r="G27" s="245"/>
      <c r="H27" s="245"/>
      <c r="I27" s="245"/>
      <c r="J27" s="245"/>
      <c r="K27" s="245"/>
      <c r="L27" s="245"/>
      <c r="M27" s="245"/>
    </row>
    <row r="28" spans="1:13" ht="15" hidden="1">
      <c r="A28" s="245" t="s">
        <v>309</v>
      </c>
      <c r="B28" s="278">
        <v>12</v>
      </c>
      <c r="C28" s="273">
        <v>2580</v>
      </c>
      <c r="D28" s="245"/>
      <c r="E28" s="245"/>
      <c r="F28" s="245"/>
      <c r="G28" s="245"/>
      <c r="H28" s="245"/>
      <c r="I28" s="245"/>
      <c r="J28" s="245"/>
      <c r="K28" s="245"/>
      <c r="L28" s="245"/>
      <c r="M28" s="245"/>
    </row>
    <row r="29" spans="1:13" ht="15" hidden="1">
      <c r="A29" s="245" t="s">
        <v>310</v>
      </c>
      <c r="B29" s="278">
        <v>5</v>
      </c>
      <c r="C29" s="273">
        <v>930</v>
      </c>
      <c r="D29" s="245"/>
      <c r="E29" s="245"/>
      <c r="F29" s="245"/>
      <c r="G29" s="245"/>
      <c r="H29" s="245"/>
      <c r="I29" s="245"/>
      <c r="J29" s="245"/>
      <c r="K29" s="245"/>
      <c r="L29" s="245"/>
      <c r="M29" s="245"/>
    </row>
    <row r="30" spans="1:13" ht="15" hidden="1">
      <c r="A30" s="245" t="s">
        <v>311</v>
      </c>
      <c r="B30" s="278">
        <v>5</v>
      </c>
      <c r="C30" s="273">
        <v>1030</v>
      </c>
      <c r="D30" s="245"/>
      <c r="E30" s="245"/>
      <c r="F30" s="245"/>
      <c r="G30" s="245"/>
      <c r="H30" s="245"/>
      <c r="I30" s="245"/>
      <c r="J30" s="245"/>
      <c r="K30" s="245"/>
      <c r="L30" s="245"/>
      <c r="M30" s="245"/>
    </row>
    <row r="31" spans="1:13" ht="15" hidden="1">
      <c r="A31" s="245" t="s">
        <v>312</v>
      </c>
      <c r="B31" s="278">
        <v>5</v>
      </c>
      <c r="C31" s="273">
        <v>1030</v>
      </c>
      <c r="D31" s="245"/>
      <c r="E31" s="245"/>
      <c r="F31" s="245"/>
      <c r="G31" s="245"/>
      <c r="H31" s="245"/>
      <c r="I31" s="245"/>
      <c r="J31" s="245"/>
      <c r="K31" s="245"/>
      <c r="L31" s="245"/>
      <c r="M31" s="245"/>
    </row>
    <row r="32" spans="1:13" ht="15" hidden="1">
      <c r="A32" s="245" t="s">
        <v>313</v>
      </c>
      <c r="B32" s="278">
        <v>6</v>
      </c>
      <c r="C32" s="273">
        <v>1240</v>
      </c>
      <c r="D32" s="245"/>
      <c r="E32" s="245"/>
      <c r="F32" s="245"/>
      <c r="G32" s="245"/>
      <c r="H32" s="245"/>
      <c r="I32" s="245"/>
      <c r="J32" s="245"/>
      <c r="K32" s="245"/>
      <c r="L32" s="245"/>
      <c r="M32" s="245"/>
    </row>
    <row r="33" spans="1:3" ht="15" hidden="1">
      <c r="A33" s="245" t="s">
        <v>314</v>
      </c>
      <c r="B33" s="278">
        <v>5</v>
      </c>
      <c r="C33" s="273">
        <v>1030</v>
      </c>
    </row>
    <row r="34" spans="1:3" ht="15" hidden="1">
      <c r="A34" s="245" t="s">
        <v>315</v>
      </c>
      <c r="B34" s="278">
        <v>5</v>
      </c>
      <c r="C34" s="273">
        <v>1030</v>
      </c>
    </row>
    <row r="35" spans="1:3" ht="15" hidden="1">
      <c r="A35" s="245" t="s">
        <v>316</v>
      </c>
      <c r="B35" s="278">
        <v>5</v>
      </c>
      <c r="C35" s="273">
        <v>1030</v>
      </c>
    </row>
    <row r="36" spans="1:3" ht="15" hidden="1">
      <c r="A36" s="245" t="s">
        <v>317</v>
      </c>
      <c r="B36" s="278">
        <v>5</v>
      </c>
      <c r="C36" s="273">
        <v>1130</v>
      </c>
    </row>
    <row r="37" spans="1:3" ht="15" hidden="1">
      <c r="A37" s="245" t="s">
        <v>318</v>
      </c>
      <c r="B37" s="278">
        <v>5</v>
      </c>
      <c r="C37" s="273">
        <v>1130</v>
      </c>
    </row>
    <row r="38" spans="1:3" ht="15" hidden="1">
      <c r="A38" s="245" t="s">
        <v>319</v>
      </c>
      <c r="B38" s="278">
        <v>5</v>
      </c>
      <c r="C38" s="273">
        <v>1030</v>
      </c>
    </row>
    <row r="39" spans="1:3" ht="15" hidden="1">
      <c r="A39" s="245" t="s">
        <v>320</v>
      </c>
      <c r="B39" s="278">
        <v>6</v>
      </c>
      <c r="C39" s="273">
        <v>1240</v>
      </c>
    </row>
    <row r="40" spans="1:3" ht="15" hidden="1">
      <c r="A40" s="245" t="s">
        <v>321</v>
      </c>
      <c r="B40" s="278">
        <v>5</v>
      </c>
      <c r="C40" s="273">
        <v>1030</v>
      </c>
    </row>
    <row r="41" spans="1:3" ht="15" hidden="1">
      <c r="A41" s="245" t="s">
        <v>322</v>
      </c>
      <c r="B41" s="278">
        <v>5</v>
      </c>
      <c r="C41" s="273">
        <v>1030</v>
      </c>
    </row>
    <row r="42" spans="1:3" ht="15" hidden="1">
      <c r="A42" s="245" t="s">
        <v>323</v>
      </c>
      <c r="B42" s="278">
        <v>5</v>
      </c>
      <c r="C42" s="273">
        <v>1030</v>
      </c>
    </row>
    <row r="43" spans="1:3" ht="15" hidden="1">
      <c r="A43" s="245" t="s">
        <v>324</v>
      </c>
      <c r="B43" s="278">
        <v>6</v>
      </c>
      <c r="C43" s="273">
        <v>1240</v>
      </c>
    </row>
    <row r="44" spans="1:3" ht="15" hidden="1">
      <c r="A44" s="245" t="s">
        <v>325</v>
      </c>
      <c r="B44" s="278">
        <v>5</v>
      </c>
      <c r="C44" s="273">
        <v>1030</v>
      </c>
    </row>
    <row r="45" spans="1:3" ht="15" hidden="1">
      <c r="A45" s="245" t="s">
        <v>325</v>
      </c>
      <c r="B45" s="278">
        <v>5</v>
      </c>
      <c r="C45" s="273">
        <v>1030</v>
      </c>
    </row>
    <row r="46" spans="1:3" ht="15" hidden="1">
      <c r="A46" s="245" t="s">
        <v>326</v>
      </c>
      <c r="B46" s="278">
        <v>5</v>
      </c>
      <c r="C46" s="273">
        <v>1030</v>
      </c>
    </row>
    <row r="47" spans="1:3" ht="15" hidden="1">
      <c r="A47" s="245" t="s">
        <v>327</v>
      </c>
      <c r="B47" s="278">
        <v>5</v>
      </c>
      <c r="C47" s="273">
        <v>1130</v>
      </c>
    </row>
    <row r="48" spans="1:3" ht="15" hidden="1">
      <c r="A48" s="245" t="s">
        <v>328</v>
      </c>
      <c r="B48" s="278">
        <v>5</v>
      </c>
      <c r="C48" s="273">
        <v>1130</v>
      </c>
    </row>
    <row r="49" spans="1:3" ht="15" hidden="1">
      <c r="A49" s="245" t="s">
        <v>329</v>
      </c>
      <c r="B49" s="278">
        <v>5</v>
      </c>
      <c r="C49" s="273">
        <v>1130</v>
      </c>
    </row>
    <row r="50" spans="1:3" ht="15" hidden="1">
      <c r="A50" s="245" t="s">
        <v>330</v>
      </c>
      <c r="B50" s="278">
        <v>5</v>
      </c>
      <c r="C50" s="273">
        <v>1305</v>
      </c>
    </row>
    <row r="51" spans="1:3" ht="15" hidden="1">
      <c r="A51" s="245" t="s">
        <v>331</v>
      </c>
      <c r="B51" s="278">
        <v>6</v>
      </c>
      <c r="C51" s="273">
        <v>1430</v>
      </c>
    </row>
    <row r="52" spans="1:3" ht="15" hidden="1">
      <c r="A52" s="245" t="s">
        <v>332</v>
      </c>
      <c r="B52" s="278">
        <v>6</v>
      </c>
      <c r="C52" s="273">
        <v>1380</v>
      </c>
    </row>
    <row r="53" spans="1:3" ht="15" hidden="1">
      <c r="A53" s="245" t="s">
        <v>333</v>
      </c>
      <c r="B53" s="278">
        <v>6</v>
      </c>
      <c r="C53" s="273">
        <v>1380</v>
      </c>
    </row>
    <row r="54" spans="1:3" ht="15" hidden="1">
      <c r="A54" s="245" t="s">
        <v>334</v>
      </c>
      <c r="B54" s="278">
        <v>6</v>
      </c>
      <c r="C54" s="273">
        <v>1380</v>
      </c>
    </row>
    <row r="55" spans="1:3" ht="15" hidden="1">
      <c r="A55" s="245" t="s">
        <v>335</v>
      </c>
      <c r="B55" s="278">
        <v>6</v>
      </c>
      <c r="C55" s="273">
        <v>1380</v>
      </c>
    </row>
    <row r="56" spans="1:3" ht="15" hidden="1">
      <c r="A56" s="245" t="s">
        <v>336</v>
      </c>
      <c r="B56" s="278">
        <v>6</v>
      </c>
      <c r="C56" s="273">
        <v>1380</v>
      </c>
    </row>
    <row r="57" spans="1:3" ht="15" hidden="1">
      <c r="A57" s="245" t="s">
        <v>337</v>
      </c>
      <c r="B57" s="278">
        <v>6</v>
      </c>
      <c r="C57" s="273">
        <v>1380</v>
      </c>
    </row>
    <row r="58" spans="1:3" ht="15" hidden="1">
      <c r="A58" s="245" t="s">
        <v>338</v>
      </c>
      <c r="B58" s="278">
        <v>6</v>
      </c>
      <c r="C58" s="273">
        <v>1380</v>
      </c>
    </row>
    <row r="59" spans="1:3" ht="15" hidden="1">
      <c r="A59" s="245" t="s">
        <v>339</v>
      </c>
      <c r="B59" s="278">
        <v>6</v>
      </c>
      <c r="C59" s="273">
        <v>1380</v>
      </c>
    </row>
    <row r="60" spans="1:3" ht="15" hidden="1">
      <c r="A60" s="245" t="s">
        <v>340</v>
      </c>
      <c r="B60" s="278">
        <v>8</v>
      </c>
      <c r="C60" s="273">
        <v>1840</v>
      </c>
    </row>
    <row r="61" spans="1:3" ht="15" hidden="1">
      <c r="A61" s="245" t="s">
        <v>341</v>
      </c>
      <c r="B61" s="278">
        <v>10</v>
      </c>
      <c r="C61" s="273">
        <v>2240</v>
      </c>
    </row>
    <row r="62" spans="1:3" ht="15" hidden="1">
      <c r="A62" s="245" t="s">
        <v>342</v>
      </c>
      <c r="B62" s="278">
        <v>12</v>
      </c>
      <c r="C62" s="273">
        <v>2700</v>
      </c>
    </row>
    <row r="63" spans="1:3" ht="15" hidden="1">
      <c r="A63" s="245" t="s">
        <v>343</v>
      </c>
      <c r="B63" s="278">
        <v>6</v>
      </c>
      <c r="C63" s="273">
        <v>1680</v>
      </c>
    </row>
    <row r="64" spans="1:3" ht="15" hidden="1">
      <c r="A64" s="245" t="s">
        <v>344</v>
      </c>
      <c r="B64" s="278">
        <v>8</v>
      </c>
      <c r="C64" s="273">
        <v>2240</v>
      </c>
    </row>
    <row r="65" spans="1:3" ht="15" hidden="1">
      <c r="A65" s="245" t="s">
        <v>345</v>
      </c>
      <c r="B65" s="278">
        <v>6</v>
      </c>
      <c r="C65" s="273">
        <v>1680</v>
      </c>
    </row>
    <row r="66" spans="1:3" ht="15" hidden="1">
      <c r="A66" s="245" t="s">
        <v>346</v>
      </c>
      <c r="B66" s="278">
        <v>6</v>
      </c>
      <c r="C66" s="273">
        <v>1650</v>
      </c>
    </row>
    <row r="67" spans="1:3" ht="15" hidden="1">
      <c r="A67" s="245" t="s">
        <v>347</v>
      </c>
      <c r="B67" s="278">
        <v>6</v>
      </c>
      <c r="C67" s="273">
        <v>1780</v>
      </c>
    </row>
    <row r="68" spans="1:3" ht="15" hidden="1">
      <c r="A68" s="245" t="s">
        <v>348</v>
      </c>
      <c r="B68" s="278">
        <v>12</v>
      </c>
      <c r="C68" s="273">
        <v>3540</v>
      </c>
    </row>
    <row r="69" spans="1:3" ht="15" hidden="1">
      <c r="A69" s="245" t="s">
        <v>349</v>
      </c>
      <c r="B69" s="278">
        <v>6</v>
      </c>
      <c r="C69" s="273">
        <v>1530</v>
      </c>
    </row>
    <row r="70" spans="1:3" ht="15" hidden="1">
      <c r="A70" s="245" t="s">
        <v>350</v>
      </c>
      <c r="B70" s="278">
        <v>8</v>
      </c>
      <c r="C70" s="273">
        <v>2070</v>
      </c>
    </row>
    <row r="71" spans="1:3" ht="15" hidden="1">
      <c r="A71" s="245" t="s">
        <v>351</v>
      </c>
      <c r="B71" s="278">
        <v>6</v>
      </c>
      <c r="C71" s="273">
        <v>1900</v>
      </c>
    </row>
    <row r="72" spans="1:3" ht="15" hidden="1">
      <c r="A72" s="245" t="s">
        <v>352</v>
      </c>
      <c r="B72" s="278">
        <v>6</v>
      </c>
      <c r="C72" s="273">
        <v>2030</v>
      </c>
    </row>
    <row r="73" spans="1:3" ht="15" hidden="1">
      <c r="A73" s="245" t="s">
        <v>353</v>
      </c>
      <c r="B73" s="278">
        <v>6</v>
      </c>
      <c r="C73" s="273">
        <v>1900</v>
      </c>
    </row>
    <row r="74" spans="1:3" ht="15" hidden="1">
      <c r="A74" s="245" t="s">
        <v>354</v>
      </c>
      <c r="B74" s="278">
        <v>6</v>
      </c>
      <c r="C74" s="273">
        <v>1900</v>
      </c>
    </row>
    <row r="75" spans="1:3" ht="15" hidden="1">
      <c r="A75" s="245" t="s">
        <v>355</v>
      </c>
      <c r="B75" s="278">
        <v>6</v>
      </c>
      <c r="C75" s="273">
        <v>1900</v>
      </c>
    </row>
    <row r="76" spans="1:3" ht="15" hidden="1">
      <c r="A76" s="245" t="s">
        <v>356</v>
      </c>
      <c r="B76" s="278">
        <v>8</v>
      </c>
      <c r="C76" s="273">
        <v>2780</v>
      </c>
    </row>
    <row r="77" spans="1:3" ht="15" hidden="1">
      <c r="A77" s="245" t="s">
        <v>357</v>
      </c>
      <c r="B77" s="278">
        <v>8</v>
      </c>
      <c r="C77" s="273">
        <v>2710</v>
      </c>
    </row>
    <row r="78" spans="1:3" ht="15" hidden="1">
      <c r="A78" s="245" t="s">
        <v>358</v>
      </c>
      <c r="B78" s="278">
        <v>8</v>
      </c>
      <c r="C78" s="273">
        <v>2007</v>
      </c>
    </row>
    <row r="79" spans="1:3" ht="15" hidden="1">
      <c r="A79" s="245" t="s">
        <v>359</v>
      </c>
      <c r="B79" s="278">
        <v>5</v>
      </c>
      <c r="C79" s="273">
        <v>1115</v>
      </c>
    </row>
    <row r="80" spans="1:3" ht="15" hidden="1">
      <c r="A80" s="245" t="s">
        <v>360</v>
      </c>
      <c r="B80" s="278">
        <v>6</v>
      </c>
      <c r="C80" s="273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188</v>
      </c>
    </row>
    <row r="3" spans="1:16">
      <c r="N3" s="141" t="s">
        <v>189</v>
      </c>
      <c r="O3" s="141">
        <v>150</v>
      </c>
    </row>
    <row r="4" spans="1:16" ht="60">
      <c r="A4" s="142" t="s">
        <v>185</v>
      </c>
      <c r="B4" s="142" t="s">
        <v>190</v>
      </c>
      <c r="C4" s="142" t="s">
        <v>191</v>
      </c>
      <c r="D4" s="142" t="s">
        <v>113</v>
      </c>
      <c r="E4" s="142" t="s">
        <v>114</v>
      </c>
      <c r="F4" s="142" t="s">
        <v>192</v>
      </c>
      <c r="G4" s="234" t="s">
        <v>2</v>
      </c>
      <c r="H4" s="142" t="s">
        <v>193</v>
      </c>
      <c r="I4" s="142" t="s">
        <v>194</v>
      </c>
      <c r="J4" s="142" t="s">
        <v>195</v>
      </c>
      <c r="K4" s="142" t="s">
        <v>196</v>
      </c>
      <c r="L4" s="142" t="s">
        <v>197</v>
      </c>
      <c r="M4" s="142" t="s">
        <v>198</v>
      </c>
      <c r="N4" s="142" t="s">
        <v>199</v>
      </c>
      <c r="O4" s="142" t="s">
        <v>200</v>
      </c>
      <c r="P4" s="142" t="s">
        <v>201</v>
      </c>
    </row>
    <row r="5" spans="1:16">
      <c r="A5" s="233"/>
      <c r="B5" s="233"/>
      <c r="C5" s="233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3"/>
      <c r="B6" s="233"/>
      <c r="C6" s="233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3"/>
      <c r="B7" s="233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3"/>
      <c r="B8" s="233"/>
      <c r="C8" s="233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2" t="s">
        <v>71</v>
      </c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  <c r="AB2" s="383"/>
      <c r="AC2" s="383"/>
      <c r="AD2" s="383"/>
      <c r="AE2" s="383"/>
      <c r="AF2" s="383"/>
      <c r="AG2" s="383"/>
      <c r="AH2" s="383"/>
      <c r="AI2" s="383"/>
      <c r="AJ2" s="383"/>
      <c r="AK2" s="383"/>
      <c r="AL2" s="383"/>
      <c r="AM2" s="383"/>
      <c r="AN2" s="383"/>
      <c r="AO2" s="383"/>
      <c r="AP2" s="383"/>
      <c r="AQ2" s="383"/>
      <c r="AR2" s="383"/>
      <c r="AS2" s="383"/>
      <c r="AT2" s="383"/>
      <c r="AU2" s="383"/>
      <c r="AV2" s="383"/>
      <c r="AW2" s="383"/>
      <c r="AX2" s="383"/>
    </row>
    <row r="3" spans="2:54" ht="13.5" thickBot="1">
      <c r="L3" s="345" t="s">
        <v>278</v>
      </c>
      <c r="M3" s="345"/>
      <c r="N3" s="345"/>
      <c r="O3" s="345"/>
      <c r="U3" s="50"/>
      <c r="AB3" s="50"/>
    </row>
    <row r="4" spans="2:54" s="50" customFormat="1" ht="15" customHeight="1" thickTop="1" thickBot="1">
      <c r="B4" s="384" t="s">
        <v>72</v>
      </c>
      <c r="C4" s="370" t="s">
        <v>73</v>
      </c>
      <c r="D4" s="370" t="s">
        <v>74</v>
      </c>
      <c r="E4" s="379" t="s">
        <v>106</v>
      </c>
      <c r="F4" s="379" t="s">
        <v>75</v>
      </c>
      <c r="G4" s="379" t="s">
        <v>186</v>
      </c>
      <c r="H4" s="379" t="s">
        <v>76</v>
      </c>
      <c r="I4" s="370" t="s">
        <v>77</v>
      </c>
      <c r="J4" s="379" t="s">
        <v>78</v>
      </c>
      <c r="K4" s="379" t="s">
        <v>79</v>
      </c>
      <c r="L4" s="342" t="s">
        <v>113</v>
      </c>
      <c r="M4" s="342" t="s">
        <v>114</v>
      </c>
      <c r="N4" s="342" t="s">
        <v>9</v>
      </c>
      <c r="O4" s="342" t="s">
        <v>2</v>
      </c>
      <c r="P4" s="395" t="s">
        <v>80</v>
      </c>
      <c r="Q4" s="396"/>
      <c r="R4" s="396"/>
      <c r="S4" s="396"/>
      <c r="T4" s="396"/>
      <c r="U4" s="397"/>
      <c r="V4" s="379" t="s">
        <v>133</v>
      </c>
      <c r="W4" s="399" t="s">
        <v>187</v>
      </c>
      <c r="X4" s="147"/>
      <c r="Y4" s="147"/>
      <c r="Z4" s="147"/>
      <c r="AA4" s="147"/>
      <c r="AB4" s="147"/>
      <c r="AC4" s="399" t="s">
        <v>81</v>
      </c>
      <c r="AD4" s="403" t="s">
        <v>106</v>
      </c>
      <c r="AE4" s="393" t="s">
        <v>82</v>
      </c>
      <c r="AF4" s="375" t="s">
        <v>83</v>
      </c>
      <c r="AG4" s="376"/>
      <c r="AH4" s="393" t="s">
        <v>84</v>
      </c>
      <c r="AI4" s="393" t="s">
        <v>85</v>
      </c>
      <c r="AJ4" s="379" t="s">
        <v>235</v>
      </c>
      <c r="AK4" s="379" t="s">
        <v>236</v>
      </c>
      <c r="AL4" s="370" t="s">
        <v>86</v>
      </c>
      <c r="AM4" s="370" t="s">
        <v>87</v>
      </c>
      <c r="AN4" s="370" t="s">
        <v>88</v>
      </c>
      <c r="AO4" s="372" t="s">
        <v>89</v>
      </c>
      <c r="AP4" s="370" t="s">
        <v>109</v>
      </c>
      <c r="AQ4" s="370" t="s">
        <v>4</v>
      </c>
      <c r="AR4" s="355" t="s">
        <v>90</v>
      </c>
      <c r="AS4" s="358" t="s">
        <v>91</v>
      </c>
      <c r="AT4" s="355" t="s">
        <v>92</v>
      </c>
      <c r="AU4" s="361" t="s">
        <v>93</v>
      </c>
      <c r="AV4" s="381" t="s">
        <v>212</v>
      </c>
      <c r="AW4" s="364" t="s">
        <v>210</v>
      </c>
      <c r="AX4" s="367" t="s">
        <v>211</v>
      </c>
    </row>
    <row r="5" spans="2:54" s="50" customFormat="1" ht="26.25" thickTop="1">
      <c r="B5" s="385"/>
      <c r="C5" s="387"/>
      <c r="D5" s="387"/>
      <c r="E5" s="389"/>
      <c r="F5" s="389"/>
      <c r="G5" s="389"/>
      <c r="H5" s="389"/>
      <c r="I5" s="391"/>
      <c r="J5" s="389"/>
      <c r="K5" s="389"/>
      <c r="L5" s="343"/>
      <c r="M5" s="343"/>
      <c r="N5" s="343"/>
      <c r="O5" s="343"/>
      <c r="P5" s="402" t="s">
        <v>94</v>
      </c>
      <c r="Q5" s="144" t="s">
        <v>137</v>
      </c>
      <c r="R5" s="144" t="s">
        <v>134</v>
      </c>
      <c r="S5" s="144" t="s">
        <v>136</v>
      </c>
      <c r="T5" s="145" t="s">
        <v>135</v>
      </c>
      <c r="U5" s="398" t="s">
        <v>99</v>
      </c>
      <c r="V5" s="380"/>
      <c r="W5" s="400"/>
      <c r="X5" s="144" t="s">
        <v>95</v>
      </c>
      <c r="Y5" s="144" t="s">
        <v>96</v>
      </c>
      <c r="Z5" s="144" t="s">
        <v>97</v>
      </c>
      <c r="AA5" s="145" t="s">
        <v>98</v>
      </c>
      <c r="AB5" s="398" t="s">
        <v>209</v>
      </c>
      <c r="AC5" s="400"/>
      <c r="AD5" s="404"/>
      <c r="AE5" s="394"/>
      <c r="AF5" s="377"/>
      <c r="AG5" s="378"/>
      <c r="AH5" s="394"/>
      <c r="AI5" s="394"/>
      <c r="AJ5" s="380"/>
      <c r="AK5" s="380"/>
      <c r="AL5" s="371"/>
      <c r="AM5" s="371"/>
      <c r="AN5" s="371"/>
      <c r="AO5" s="373"/>
      <c r="AP5" s="371"/>
      <c r="AQ5" s="371"/>
      <c r="AR5" s="356"/>
      <c r="AS5" s="359"/>
      <c r="AT5" s="356"/>
      <c r="AU5" s="362"/>
      <c r="AV5" s="381"/>
      <c r="AW5" s="365"/>
      <c r="AX5" s="368"/>
      <c r="AZ5" s="351" t="s">
        <v>100</v>
      </c>
    </row>
    <row r="6" spans="2:54" s="50" customFormat="1" ht="16.5" customHeight="1" thickBot="1">
      <c r="B6" s="386"/>
      <c r="C6" s="388"/>
      <c r="D6" s="388"/>
      <c r="E6" s="390"/>
      <c r="F6" s="390"/>
      <c r="G6" s="390"/>
      <c r="H6" s="390"/>
      <c r="I6" s="392"/>
      <c r="J6" s="390"/>
      <c r="K6" s="390"/>
      <c r="L6" s="344"/>
      <c r="M6" s="344"/>
      <c r="N6" s="344"/>
      <c r="O6" s="344"/>
      <c r="P6" s="388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0"/>
      <c r="V6" s="157">
        <f>'Changable Values'!D9</f>
        <v>1.4999999999999999E-2</v>
      </c>
      <c r="W6" s="401"/>
      <c r="X6" s="51"/>
      <c r="Y6" s="52"/>
      <c r="Z6" s="52"/>
      <c r="AA6" s="52"/>
      <c r="AB6" s="390"/>
      <c r="AC6" s="401"/>
      <c r="AD6" s="405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138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4"/>
      <c r="AP6" s="53">
        <f>'Changable Values'!D23</f>
        <v>1.25</v>
      </c>
      <c r="AQ6" s="51">
        <v>0</v>
      </c>
      <c r="AR6" s="357"/>
      <c r="AS6" s="360"/>
      <c r="AT6" s="357"/>
      <c r="AU6" s="363"/>
      <c r="AV6" s="381"/>
      <c r="AW6" s="366"/>
      <c r="AX6" s="369"/>
      <c r="AZ6" s="352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3">
        <f>'Changable Values'!D14</f>
        <v>350</v>
      </c>
      <c r="AG7" s="354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CORNOR WINDOW FIXED GLASS</v>
      </c>
      <c r="D8" s="131" t="str">
        <f>Pricing!B4</f>
        <v>G2G</v>
      </c>
      <c r="E8" s="132" t="str">
        <f>Pricing!N4</f>
        <v>13.52MM (ST-167)</v>
      </c>
      <c r="F8" s="68">
        <f>Pricing!G4</f>
        <v>2430</v>
      </c>
      <c r="G8" s="68">
        <f>Pricing!H4</f>
        <v>1450</v>
      </c>
      <c r="H8" s="100">
        <f t="shared" ref="H8:H57" si="0">(F8*G8)/1000000</f>
        <v>3.5234999999999999</v>
      </c>
      <c r="I8" s="70">
        <f>Pricing!I4</f>
        <v>2</v>
      </c>
      <c r="J8" s="69">
        <f t="shared" ref="J8" si="1">H8*I8</f>
        <v>7.0469999999999997</v>
      </c>
      <c r="K8" s="71">
        <f t="shared" ref="K8" si="2">J8*10.764</f>
        <v>75.85390799999999</v>
      </c>
      <c r="L8" s="69"/>
      <c r="M8" s="72"/>
      <c r="N8" s="72"/>
      <c r="O8" s="72">
        <f t="shared" ref="O8:O35" si="3">N8*M8*L8/1000000</f>
        <v>0</v>
      </c>
      <c r="P8" s="73">
        <f>Pricing!M4</f>
        <v>10064.58</v>
      </c>
      <c r="Q8" s="74">
        <f t="shared" ref="Q8:Q56" si="4">P8*$Q$6</f>
        <v>1006.4580000000001</v>
      </c>
      <c r="R8" s="74">
        <f t="shared" ref="R8:R56" si="5">(P8+Q8)*$R$6</f>
        <v>1217.8141800000001</v>
      </c>
      <c r="S8" s="74">
        <f t="shared" ref="S8:S56" si="6">(P8+Q8+R8)*$S$6</f>
        <v>61.444260900000003</v>
      </c>
      <c r="T8" s="74">
        <f t="shared" ref="T8:T56" si="7">(P8+Q8+R8+S8)*$T$6</f>
        <v>123.502964409</v>
      </c>
      <c r="U8" s="72">
        <f t="shared" ref="U8:U56" si="8">SUM(P8:T8)</f>
        <v>12473.799405308999</v>
      </c>
      <c r="V8" s="74">
        <f t="shared" ref="V8:V56" si="9">U8*$V$6</f>
        <v>187.10699107963498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37179.972000000002</v>
      </c>
      <c r="AE8" s="76">
        <f>((((F8+G8)*2)/305)*I8*$AE$7)</f>
        <v>1272.1311475409836</v>
      </c>
      <c r="AF8" s="338">
        <f>(((((F8*4)+(G8*4))/1000)*$AF$6*$AG$6)/300)*I8*$AF$7</f>
        <v>1303.68</v>
      </c>
      <c r="AG8" s="339"/>
      <c r="AH8" s="76">
        <f>(((F8+G8))*I8/1000)*8*$AH$7</f>
        <v>46.56</v>
      </c>
      <c r="AI8" s="76">
        <f t="shared" ref="AI8:AI57" si="15">(((F8+G8)*2*I8)/1000)*2*$AI$7</f>
        <v>155.19999999999999</v>
      </c>
      <c r="AJ8" s="76">
        <f>J8*Pricing!Q4</f>
        <v>0</v>
      </c>
      <c r="AK8" s="76">
        <f>J8*Pricing!R4</f>
        <v>0</v>
      </c>
      <c r="AL8" s="76">
        <f t="shared" ref="AL8:AL39" si="16">J8*$AL$6</f>
        <v>7585.3907999999983</v>
      </c>
      <c r="AM8" s="77">
        <f t="shared" ref="AM8:AM39" si="17">$AM$6*J8</f>
        <v>0</v>
      </c>
      <c r="AN8" s="76">
        <f t="shared" ref="AN8:AN39" si="18">$AN$6*J8</f>
        <v>6068.3126399999992</v>
      </c>
      <c r="AO8" s="72">
        <f t="shared" ref="AO8:AO39" si="19">SUM(U8:V8)+SUM(AC8:AI8)-AD8</f>
        <v>15438.477543929614</v>
      </c>
      <c r="AP8" s="74">
        <f t="shared" ref="AP8:AP39" si="20">AO8*$AP$6</f>
        <v>19298.096929912019</v>
      </c>
      <c r="AQ8" s="74">
        <f t="shared" ref="AQ8:AQ56" si="21">(AO8+AP8)*$AQ$6</f>
        <v>0</v>
      </c>
      <c r="AR8" s="74">
        <f t="shared" ref="AR8:AR39" si="22">SUM(AO8:AQ8)/J8</f>
        <v>4929.2712464653941</v>
      </c>
      <c r="AS8" s="72">
        <f t="shared" ref="AS8:AS39" si="23">SUM(AJ8:AQ8)+AD8+AB8</f>
        <v>85570.249913841631</v>
      </c>
      <c r="AT8" s="72">
        <f t="shared" ref="AT8:AT39" si="24">AS8/J8</f>
        <v>12142.791246465395</v>
      </c>
      <c r="AU8" s="78">
        <f t="shared" ref="AU8:AU56" si="25">AT8/10.764</f>
        <v>1128.0928322617424</v>
      </c>
      <c r="AV8" s="79">
        <f t="shared" ref="AV8:AV39" si="26">K8/$K$109</f>
        <v>4.2775882208562453E-2</v>
      </c>
      <c r="AW8" s="80">
        <f t="shared" ref="AW8:AW39" si="27">(U8+V8)/(J8*10.764)</f>
        <v>166.91172189030306</v>
      </c>
      <c r="AX8" s="81">
        <f t="shared" ref="AX8:AX39" si="28">SUM(W8:AN8,AP8)/(J8*10.764)</f>
        <v>961.18111037143944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WINDOW</v>
      </c>
      <c r="D9" s="131" t="str">
        <f>Pricing!B5</f>
        <v>SW1</v>
      </c>
      <c r="E9" s="132" t="str">
        <f>Pricing!N5</f>
        <v>13.52MM (ST-167)</v>
      </c>
      <c r="F9" s="68">
        <f>Pricing!G5</f>
        <v>3130</v>
      </c>
      <c r="G9" s="68">
        <f>Pricing!H5</f>
        <v>1450</v>
      </c>
      <c r="H9" s="100">
        <f t="shared" si="0"/>
        <v>4.5385</v>
      </c>
      <c r="I9" s="70">
        <f>Pricing!I5</f>
        <v>1</v>
      </c>
      <c r="J9" s="69">
        <f t="shared" ref="J9:J58" si="30">H9*I9</f>
        <v>4.5385</v>
      </c>
      <c r="K9" s="71">
        <f t="shared" ref="K9:K58" si="31">J9*10.764</f>
        <v>48.852413999999996</v>
      </c>
      <c r="L9" s="69"/>
      <c r="M9" s="72"/>
      <c r="N9" s="72"/>
      <c r="O9" s="72">
        <f t="shared" si="3"/>
        <v>0</v>
      </c>
      <c r="P9" s="73">
        <f>Pricing!M5</f>
        <v>33234.86</v>
      </c>
      <c r="Q9" s="74">
        <f t="shared" ref="Q9:Q14" si="32">P9*$Q$6</f>
        <v>3323.4860000000003</v>
      </c>
      <c r="R9" s="74">
        <f t="shared" ref="R9:R14" si="33">(P9+Q9)*$R$6</f>
        <v>4021.41806</v>
      </c>
      <c r="S9" s="74">
        <f t="shared" ref="S9:S14" si="34">(P9+Q9+R9)*$S$6</f>
        <v>202.89882030000001</v>
      </c>
      <c r="T9" s="74">
        <f t="shared" ref="T9:T14" si="35">(P9+Q9+R9+S9)*$T$6</f>
        <v>407.82662880300001</v>
      </c>
      <c r="U9" s="72">
        <f t="shared" ref="U9:U14" si="36">SUM(P9:T9)</f>
        <v>41190.489509102998</v>
      </c>
      <c r="V9" s="74">
        <f t="shared" ref="V9:V14" si="37">U9*$V$6</f>
        <v>617.8573426365449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23945.126</v>
      </c>
      <c r="AE9" s="76">
        <f t="shared" ref="AE9:AE57" si="43">((((F9+G9)*2)/305)*I9*$AE$7)</f>
        <v>750.81967213114751</v>
      </c>
      <c r="AF9" s="338">
        <f t="shared" ref="AF9:AF57" si="44">(((((F9*4)+(G9*4))/1000)*$AF$6*$AG$6)/300)*I9*$AF$7</f>
        <v>769.43999999999994</v>
      </c>
      <c r="AG9" s="339"/>
      <c r="AH9" s="76">
        <f t="shared" ref="AH9:AH72" si="45">(((F9+G9))*I9/1000)*8*$AH$7</f>
        <v>27.48</v>
      </c>
      <c r="AI9" s="76">
        <f t="shared" si="15"/>
        <v>91.6</v>
      </c>
      <c r="AJ9" s="76">
        <f>J9*Pricing!Q5</f>
        <v>2442.6206999999995</v>
      </c>
      <c r="AK9" s="76">
        <f>J9*Pricing!R5</f>
        <v>0</v>
      </c>
      <c r="AL9" s="76">
        <f t="shared" si="16"/>
        <v>4885.241399999999</v>
      </c>
      <c r="AM9" s="77">
        <f t="shared" si="17"/>
        <v>0</v>
      </c>
      <c r="AN9" s="76">
        <f t="shared" si="18"/>
        <v>3908.1931199999995</v>
      </c>
      <c r="AO9" s="72">
        <f t="shared" si="19"/>
        <v>43447.686523870681</v>
      </c>
      <c r="AP9" s="74">
        <f t="shared" si="20"/>
        <v>54309.608154838352</v>
      </c>
      <c r="AQ9" s="74">
        <f t="shared" ref="AQ9:AQ14" si="46">(AO9+AP9)*$AQ$6</f>
        <v>0</v>
      </c>
      <c r="AR9" s="74">
        <f t="shared" si="22"/>
        <v>21539.560356661681</v>
      </c>
      <c r="AS9" s="72">
        <f t="shared" si="23"/>
        <v>132938.47589870903</v>
      </c>
      <c r="AT9" s="72">
        <f t="shared" si="24"/>
        <v>29291.280356661679</v>
      </c>
      <c r="AU9" s="78">
        <f t="shared" ref="AU9:AU14" si="47">AT9/10.764</f>
        <v>2721.2263430566409</v>
      </c>
      <c r="AV9" s="79">
        <f t="shared" si="26"/>
        <v>2.7549076401810799E-2</v>
      </c>
      <c r="AW9" s="80">
        <f t="shared" si="27"/>
        <v>855.80923087525514</v>
      </c>
      <c r="AX9" s="81">
        <f t="shared" si="28"/>
        <v>1865.4171121813858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</v>
      </c>
      <c r="D10" s="131" t="str">
        <f>Pricing!B6</f>
        <v>CW1</v>
      </c>
      <c r="E10" s="132" t="str">
        <f>Pricing!N6</f>
        <v>13.52MM (ST-167)</v>
      </c>
      <c r="F10" s="68">
        <f>Pricing!G6</f>
        <v>1160</v>
      </c>
      <c r="G10" s="68">
        <f>Pricing!H6</f>
        <v>2360</v>
      </c>
      <c r="H10" s="100">
        <f t="shared" si="0"/>
        <v>2.7376</v>
      </c>
      <c r="I10" s="70">
        <f>Pricing!I6</f>
        <v>1</v>
      </c>
      <c r="J10" s="69">
        <f t="shared" si="30"/>
        <v>2.7376</v>
      </c>
      <c r="K10" s="71">
        <f t="shared" si="31"/>
        <v>29.467526399999997</v>
      </c>
      <c r="L10" s="69"/>
      <c r="M10" s="72"/>
      <c r="N10" s="72"/>
      <c r="O10" s="72">
        <f t="shared" si="3"/>
        <v>0</v>
      </c>
      <c r="P10" s="73">
        <f>Pricing!M6</f>
        <v>4555.87</v>
      </c>
      <c r="Q10" s="74">
        <f t="shared" si="32"/>
        <v>455.58699999999999</v>
      </c>
      <c r="R10" s="74">
        <f t="shared" si="33"/>
        <v>551.26026999999999</v>
      </c>
      <c r="S10" s="74">
        <f t="shared" si="34"/>
        <v>27.813586350000001</v>
      </c>
      <c r="T10" s="74">
        <f t="shared" si="35"/>
        <v>55.9053085635</v>
      </c>
      <c r="U10" s="72">
        <f t="shared" si="36"/>
        <v>5646.4361649134999</v>
      </c>
      <c r="V10" s="74">
        <f t="shared" si="37"/>
        <v>84.696542473702493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14443.577600000001</v>
      </c>
      <c r="AE10" s="76">
        <f t="shared" si="43"/>
        <v>577.04918032786884</v>
      </c>
      <c r="AF10" s="338">
        <f t="shared" si="44"/>
        <v>591.36</v>
      </c>
      <c r="AG10" s="339"/>
      <c r="AH10" s="76">
        <f t="shared" si="45"/>
        <v>21.12</v>
      </c>
      <c r="AI10" s="76">
        <f t="shared" si="15"/>
        <v>70.400000000000006</v>
      </c>
      <c r="AJ10" s="76">
        <f>J10*Pricing!Q6</f>
        <v>0</v>
      </c>
      <c r="AK10" s="76">
        <f>J10*Pricing!R6</f>
        <v>0</v>
      </c>
      <c r="AL10" s="76">
        <f t="shared" si="16"/>
        <v>2946.7526399999997</v>
      </c>
      <c r="AM10" s="77">
        <f t="shared" si="17"/>
        <v>0</v>
      </c>
      <c r="AN10" s="76">
        <f t="shared" si="18"/>
        <v>2357.4021119999998</v>
      </c>
      <c r="AO10" s="72">
        <f t="shared" si="19"/>
        <v>6991.0618877150737</v>
      </c>
      <c r="AP10" s="74">
        <f t="shared" si="20"/>
        <v>8738.8273596438412</v>
      </c>
      <c r="AQ10" s="74">
        <f t="shared" si="46"/>
        <v>0</v>
      </c>
      <c r="AR10" s="74">
        <f t="shared" si="22"/>
        <v>5745.8683691404567</v>
      </c>
      <c r="AS10" s="72">
        <f t="shared" si="23"/>
        <v>35477.621599358914</v>
      </c>
      <c r="AT10" s="72">
        <f t="shared" si="24"/>
        <v>12959.388369140457</v>
      </c>
      <c r="AU10" s="78">
        <f t="shared" si="47"/>
        <v>1203.9565560331157</v>
      </c>
      <c r="AV10" s="79">
        <f t="shared" si="26"/>
        <v>1.6617462059622615E-2</v>
      </c>
      <c r="AW10" s="80">
        <f t="shared" si="27"/>
        <v>194.48977934527966</v>
      </c>
      <c r="AX10" s="81">
        <f t="shared" si="28"/>
        <v>1009.4667766878362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SW2</v>
      </c>
      <c r="E11" s="132" t="str">
        <f>Pricing!N7</f>
        <v>6MM (ST-167)</v>
      </c>
      <c r="F11" s="68">
        <f>Pricing!G7</f>
        <v>1524</v>
      </c>
      <c r="G11" s="68">
        <f>Pricing!H7</f>
        <v>610</v>
      </c>
      <c r="H11" s="100">
        <f t="shared" si="0"/>
        <v>0.92964000000000002</v>
      </c>
      <c r="I11" s="70">
        <f>Pricing!I7</f>
        <v>1</v>
      </c>
      <c r="J11" s="69">
        <f t="shared" si="30"/>
        <v>0.92964000000000002</v>
      </c>
      <c r="K11" s="71">
        <f t="shared" si="31"/>
        <v>10.006644959999999</v>
      </c>
      <c r="L11" s="69"/>
      <c r="M11" s="72"/>
      <c r="N11" s="72"/>
      <c r="O11" s="72">
        <f t="shared" si="3"/>
        <v>0</v>
      </c>
      <c r="P11" s="73">
        <f>Pricing!M7</f>
        <v>8728.2799999999988</v>
      </c>
      <c r="Q11" s="74">
        <f t="shared" si="32"/>
        <v>872.82799999999997</v>
      </c>
      <c r="R11" s="74">
        <f t="shared" si="33"/>
        <v>1056.1218799999999</v>
      </c>
      <c r="S11" s="74">
        <f t="shared" si="34"/>
        <v>53.286149399999999</v>
      </c>
      <c r="T11" s="74">
        <f t="shared" si="35"/>
        <v>107.105160294</v>
      </c>
      <c r="U11" s="72">
        <f t="shared" si="36"/>
        <v>10817.621189694</v>
      </c>
      <c r="V11" s="74">
        <f t="shared" si="37"/>
        <v>162.26431784541001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1738.4268</v>
      </c>
      <c r="AE11" s="76">
        <f t="shared" si="43"/>
        <v>349.8360655737705</v>
      </c>
      <c r="AF11" s="338">
        <f t="shared" si="44"/>
        <v>358.51199999999989</v>
      </c>
      <c r="AG11" s="339"/>
      <c r="AH11" s="76">
        <f t="shared" si="45"/>
        <v>12.803999999999998</v>
      </c>
      <c r="AI11" s="76">
        <f t="shared" si="15"/>
        <v>42.68</v>
      </c>
      <c r="AJ11" s="76">
        <f>J11*Pricing!Q7</f>
        <v>500.33224799999994</v>
      </c>
      <c r="AK11" s="76">
        <f>J11*Pricing!R7</f>
        <v>0</v>
      </c>
      <c r="AL11" s="76">
        <f t="shared" si="16"/>
        <v>1000.6644959999999</v>
      </c>
      <c r="AM11" s="77">
        <f t="shared" si="17"/>
        <v>0</v>
      </c>
      <c r="AN11" s="76">
        <f t="shared" si="18"/>
        <v>800.53159679999987</v>
      </c>
      <c r="AO11" s="72">
        <f t="shared" si="19"/>
        <v>11743.717573113181</v>
      </c>
      <c r="AP11" s="74">
        <f t="shared" si="20"/>
        <v>14679.646966391476</v>
      </c>
      <c r="AQ11" s="74">
        <f t="shared" si="46"/>
        <v>0</v>
      </c>
      <c r="AR11" s="74">
        <f t="shared" si="22"/>
        <v>28423.222472682603</v>
      </c>
      <c r="AS11" s="72">
        <f t="shared" si="23"/>
        <v>30463.319680304659</v>
      </c>
      <c r="AT11" s="72">
        <f t="shared" si="24"/>
        <v>32768.942472682604</v>
      </c>
      <c r="AU11" s="78">
        <f t="shared" si="47"/>
        <v>3044.3090368527132</v>
      </c>
      <c r="AV11" s="79">
        <f t="shared" si="26"/>
        <v>5.6429929241333899E-3</v>
      </c>
      <c r="AW11" s="80">
        <f t="shared" si="27"/>
        <v>1097.2594262542327</v>
      </c>
      <c r="AX11" s="81">
        <f t="shared" si="28"/>
        <v>1947.0496105984805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CORNOR WINDOW FIXED GLASS</v>
      </c>
      <c r="D12" s="131" t="str">
        <f>Pricing!B8</f>
        <v>G2G 2</v>
      </c>
      <c r="E12" s="132" t="str">
        <f>Pricing!N8</f>
        <v>12MM (ST-167)</v>
      </c>
      <c r="F12" s="68">
        <f>Pricing!G8</f>
        <v>3270</v>
      </c>
      <c r="G12" s="68">
        <f>Pricing!H8</f>
        <v>2360</v>
      </c>
      <c r="H12" s="100">
        <f t="shared" si="0"/>
        <v>7.7172000000000001</v>
      </c>
      <c r="I12" s="70">
        <f>Pricing!I8</f>
        <v>1</v>
      </c>
      <c r="J12" s="69">
        <f t="shared" si="30"/>
        <v>7.7172000000000001</v>
      </c>
      <c r="K12" s="71">
        <f t="shared" si="31"/>
        <v>83.067940800000002</v>
      </c>
      <c r="L12" s="69"/>
      <c r="M12" s="72"/>
      <c r="N12" s="72"/>
      <c r="O12" s="72">
        <f t="shared" si="3"/>
        <v>0</v>
      </c>
      <c r="P12" s="73">
        <f>Pricing!M8</f>
        <v>5123.59</v>
      </c>
      <c r="Q12" s="74">
        <f t="shared" si="32"/>
        <v>512.35900000000004</v>
      </c>
      <c r="R12" s="74">
        <f t="shared" si="33"/>
        <v>619.9543900000001</v>
      </c>
      <c r="S12" s="74">
        <f t="shared" si="34"/>
        <v>31.279516950000001</v>
      </c>
      <c r="T12" s="74">
        <f t="shared" si="35"/>
        <v>62.871829069500002</v>
      </c>
      <c r="U12" s="72">
        <f t="shared" si="36"/>
        <v>6350.0547360194996</v>
      </c>
      <c r="V12" s="74">
        <f t="shared" si="37"/>
        <v>95.250821040292493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21284.0376</v>
      </c>
      <c r="AE12" s="76">
        <f t="shared" si="43"/>
        <v>922.95081967213127</v>
      </c>
      <c r="AF12" s="338">
        <f t="shared" si="44"/>
        <v>945.83999999999992</v>
      </c>
      <c r="AG12" s="339"/>
      <c r="AH12" s="76">
        <f t="shared" si="45"/>
        <v>33.78</v>
      </c>
      <c r="AI12" s="76">
        <f t="shared" si="15"/>
        <v>112.6</v>
      </c>
      <c r="AJ12" s="76">
        <f>J12*Pricing!Q8</f>
        <v>0</v>
      </c>
      <c r="AK12" s="76">
        <f>J12*Pricing!R8</f>
        <v>0</v>
      </c>
      <c r="AL12" s="76">
        <f t="shared" si="16"/>
        <v>8306.7940799999997</v>
      </c>
      <c r="AM12" s="77">
        <f t="shared" si="17"/>
        <v>0</v>
      </c>
      <c r="AN12" s="76">
        <f t="shared" si="18"/>
        <v>6645.4352639999988</v>
      </c>
      <c r="AO12" s="72">
        <f t="shared" si="19"/>
        <v>8460.47637673192</v>
      </c>
      <c r="AP12" s="74">
        <f t="shared" si="20"/>
        <v>10575.595470914901</v>
      </c>
      <c r="AQ12" s="74">
        <f t="shared" si="46"/>
        <v>0</v>
      </c>
      <c r="AR12" s="74">
        <f t="shared" si="22"/>
        <v>2466.7070760958404</v>
      </c>
      <c r="AS12" s="72">
        <f t="shared" si="23"/>
        <v>55272.33879164682</v>
      </c>
      <c r="AT12" s="72">
        <f t="shared" si="24"/>
        <v>7162.2270760958409</v>
      </c>
      <c r="AU12" s="78">
        <f t="shared" si="47"/>
        <v>665.38713081529556</v>
      </c>
      <c r="AV12" s="79">
        <f t="shared" si="26"/>
        <v>4.6844052530143072E-2</v>
      </c>
      <c r="AW12" s="80">
        <f t="shared" si="27"/>
        <v>77.590770819490345</v>
      </c>
      <c r="AX12" s="81">
        <f t="shared" si="28"/>
        <v>587.79635999580512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4 SHUTTER SLIDING DOOR</v>
      </c>
      <c r="D13" s="131" t="str">
        <f>Pricing!B9</f>
        <v>SD1</v>
      </c>
      <c r="E13" s="132" t="str">
        <f>Pricing!N9</f>
        <v>8MM (ST-167)</v>
      </c>
      <c r="F13" s="68">
        <f>Pricing!G9</f>
        <v>3585</v>
      </c>
      <c r="G13" s="68">
        <f>Pricing!H9</f>
        <v>2800</v>
      </c>
      <c r="H13" s="100">
        <f t="shared" si="0"/>
        <v>10.038</v>
      </c>
      <c r="I13" s="70">
        <f>Pricing!I9</f>
        <v>1</v>
      </c>
      <c r="J13" s="69">
        <f t="shared" si="30"/>
        <v>10.038</v>
      </c>
      <c r="K13" s="71">
        <f t="shared" si="31"/>
        <v>108.049032</v>
      </c>
      <c r="L13" s="69"/>
      <c r="M13" s="72"/>
      <c r="N13" s="72"/>
      <c r="O13" s="72">
        <f t="shared" si="3"/>
        <v>0</v>
      </c>
      <c r="P13" s="73">
        <f>Pricing!M9</f>
        <v>90792.040000000008</v>
      </c>
      <c r="Q13" s="74">
        <f t="shared" si="32"/>
        <v>9079.2040000000015</v>
      </c>
      <c r="R13" s="74">
        <f t="shared" si="33"/>
        <v>10985.83684</v>
      </c>
      <c r="S13" s="74">
        <f t="shared" si="34"/>
        <v>554.28540420000002</v>
      </c>
      <c r="T13" s="74">
        <f t="shared" si="35"/>
        <v>1114.1136624420001</v>
      </c>
      <c r="U13" s="72">
        <f t="shared" si="36"/>
        <v>112525.47990664201</v>
      </c>
      <c r="V13" s="74">
        <f t="shared" si="37"/>
        <v>1687.8821985996301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21983.22</v>
      </c>
      <c r="AE13" s="76">
        <f t="shared" si="43"/>
        <v>1046.7213114754099</v>
      </c>
      <c r="AF13" s="338">
        <f t="shared" si="44"/>
        <v>1072.68</v>
      </c>
      <c r="AG13" s="339"/>
      <c r="AH13" s="76">
        <f t="shared" si="45"/>
        <v>38.31</v>
      </c>
      <c r="AI13" s="76">
        <f t="shared" si="15"/>
        <v>127.69999999999999</v>
      </c>
      <c r="AJ13" s="76">
        <f>J13*Pricing!Q9</f>
        <v>5402.4515999999994</v>
      </c>
      <c r="AK13" s="76">
        <f>J13*Pricing!R9</f>
        <v>0</v>
      </c>
      <c r="AL13" s="76">
        <f t="shared" si="16"/>
        <v>10804.903199999999</v>
      </c>
      <c r="AM13" s="77">
        <f t="shared" si="17"/>
        <v>0</v>
      </c>
      <c r="AN13" s="76">
        <f t="shared" si="18"/>
        <v>8643.9225599999991</v>
      </c>
      <c r="AO13" s="72">
        <f t="shared" si="19"/>
        <v>116498.77341671704</v>
      </c>
      <c r="AP13" s="74">
        <f t="shared" si="20"/>
        <v>145623.46677089631</v>
      </c>
      <c r="AQ13" s="74">
        <f t="shared" si="46"/>
        <v>0</v>
      </c>
      <c r="AR13" s="74">
        <f t="shared" si="22"/>
        <v>26112.99463913263</v>
      </c>
      <c r="AS13" s="72">
        <f t="shared" si="23"/>
        <v>308956.73754761333</v>
      </c>
      <c r="AT13" s="72">
        <f t="shared" si="24"/>
        <v>30778.714639132628</v>
      </c>
      <c r="AU13" s="78">
        <f t="shared" si="47"/>
        <v>2859.4123596369964</v>
      </c>
      <c r="AV13" s="79">
        <f t="shared" si="26"/>
        <v>6.0931503563154528E-2</v>
      </c>
      <c r="AW13" s="80">
        <f t="shared" si="27"/>
        <v>1057.0512293459662</v>
      </c>
      <c r="AX13" s="81">
        <f t="shared" si="28"/>
        <v>1802.3611302910303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WINDOW</v>
      </c>
      <c r="D14" s="131" t="str">
        <f>Pricing!B10</f>
        <v>SW3</v>
      </c>
      <c r="E14" s="132" t="str">
        <f>Pricing!N10</f>
        <v>6MM (ST-167)</v>
      </c>
      <c r="F14" s="68">
        <f>Pricing!G10</f>
        <v>1380</v>
      </c>
      <c r="G14" s="68">
        <f>Pricing!H10</f>
        <v>550</v>
      </c>
      <c r="H14" s="100">
        <f t="shared" si="0"/>
        <v>0.75900000000000001</v>
      </c>
      <c r="I14" s="70">
        <f>Pricing!I10</f>
        <v>1</v>
      </c>
      <c r="J14" s="69">
        <f t="shared" si="30"/>
        <v>0.75900000000000001</v>
      </c>
      <c r="K14" s="71">
        <f t="shared" si="31"/>
        <v>8.1698760000000004</v>
      </c>
      <c r="L14" s="69"/>
      <c r="M14" s="72"/>
      <c r="N14" s="72"/>
      <c r="O14" s="72">
        <f t="shared" si="3"/>
        <v>0</v>
      </c>
      <c r="P14" s="73">
        <f>Pricing!M10</f>
        <v>8153.9199999999992</v>
      </c>
      <c r="Q14" s="74">
        <f t="shared" si="32"/>
        <v>815.39199999999994</v>
      </c>
      <c r="R14" s="74">
        <f t="shared" si="33"/>
        <v>986.62432000000001</v>
      </c>
      <c r="S14" s="74">
        <f t="shared" si="34"/>
        <v>49.779681600000004</v>
      </c>
      <c r="T14" s="74">
        <f t="shared" si="35"/>
        <v>100.05716001600001</v>
      </c>
      <c r="U14" s="72">
        <f t="shared" si="36"/>
        <v>10105.773161616002</v>
      </c>
      <c r="V14" s="74">
        <f t="shared" si="37"/>
        <v>151.58659742424001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1419.33</v>
      </c>
      <c r="AE14" s="76">
        <f t="shared" si="43"/>
        <v>316.39344262295083</v>
      </c>
      <c r="AF14" s="338">
        <f t="shared" si="44"/>
        <v>324.24</v>
      </c>
      <c r="AG14" s="339"/>
      <c r="AH14" s="76">
        <f t="shared" si="45"/>
        <v>11.58</v>
      </c>
      <c r="AI14" s="76">
        <f t="shared" si="15"/>
        <v>38.6</v>
      </c>
      <c r="AJ14" s="76">
        <f>J14*Pricing!Q10</f>
        <v>408.49379999999996</v>
      </c>
      <c r="AK14" s="76">
        <f>J14*Pricing!R10</f>
        <v>0</v>
      </c>
      <c r="AL14" s="76">
        <f t="shared" si="16"/>
        <v>816.98759999999993</v>
      </c>
      <c r="AM14" s="77">
        <f t="shared" si="17"/>
        <v>0</v>
      </c>
      <c r="AN14" s="76">
        <f t="shared" si="18"/>
        <v>653.59007999999994</v>
      </c>
      <c r="AO14" s="72">
        <f t="shared" si="19"/>
        <v>10948.173201663192</v>
      </c>
      <c r="AP14" s="74">
        <f t="shared" si="20"/>
        <v>13685.216502078991</v>
      </c>
      <c r="AQ14" s="74">
        <f t="shared" si="46"/>
        <v>0</v>
      </c>
      <c r="AR14" s="74">
        <f t="shared" si="22"/>
        <v>32455.058898211046</v>
      </c>
      <c r="AS14" s="72">
        <f t="shared" si="23"/>
        <v>27931.791183742185</v>
      </c>
      <c r="AT14" s="72">
        <f t="shared" si="24"/>
        <v>36800.778898211051</v>
      </c>
      <c r="AU14" s="78">
        <f t="shared" si="47"/>
        <v>3418.8757802128439</v>
      </c>
      <c r="AV14" s="79">
        <f t="shared" si="26"/>
        <v>4.6071937840639855E-3</v>
      </c>
      <c r="AW14" s="80">
        <f t="shared" si="27"/>
        <v>1255.5098460539966</v>
      </c>
      <c r="AX14" s="81">
        <f t="shared" si="28"/>
        <v>2163.3659341588464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SIDE HUNG WINDOW</v>
      </c>
      <c r="D15" s="131" t="str">
        <f>Pricing!B11</f>
        <v>CW2</v>
      </c>
      <c r="E15" s="132" t="str">
        <f>Pricing!N11</f>
        <v>6MM (ST-167)</v>
      </c>
      <c r="F15" s="68">
        <f>Pricing!G11</f>
        <v>760</v>
      </c>
      <c r="G15" s="68">
        <f>Pricing!H11</f>
        <v>1220</v>
      </c>
      <c r="H15" s="100">
        <f t="shared" si="0"/>
        <v>0.92720000000000002</v>
      </c>
      <c r="I15" s="70">
        <f>Pricing!I11</f>
        <v>2</v>
      </c>
      <c r="J15" s="69">
        <f t="shared" si="30"/>
        <v>1.8544</v>
      </c>
      <c r="K15" s="71">
        <f t="shared" si="31"/>
        <v>19.960761599999998</v>
      </c>
      <c r="L15" s="69"/>
      <c r="M15" s="72"/>
      <c r="N15" s="72"/>
      <c r="O15" s="72">
        <f t="shared" si="3"/>
        <v>0</v>
      </c>
      <c r="P15" s="73">
        <f>Pricing!M11</f>
        <v>18306.48</v>
      </c>
      <c r="Q15" s="74">
        <f t="shared" si="4"/>
        <v>1830.6480000000001</v>
      </c>
      <c r="R15" s="74">
        <f t="shared" si="5"/>
        <v>2215.0840800000001</v>
      </c>
      <c r="S15" s="74">
        <f t="shared" si="6"/>
        <v>111.76106040000001</v>
      </c>
      <c r="T15" s="74">
        <f t="shared" si="7"/>
        <v>224.63973140400003</v>
      </c>
      <c r="U15" s="72">
        <f t="shared" si="8"/>
        <v>22688.612871804002</v>
      </c>
      <c r="V15" s="74">
        <f t="shared" si="9"/>
        <v>340.32919307706004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3467.7280000000001</v>
      </c>
      <c r="AE15" s="76">
        <f t="shared" si="43"/>
        <v>649.18032786885249</v>
      </c>
      <c r="AF15" s="338">
        <f t="shared" si="44"/>
        <v>665.28</v>
      </c>
      <c r="AG15" s="339"/>
      <c r="AH15" s="76">
        <f t="shared" si="45"/>
        <v>23.759999999999998</v>
      </c>
      <c r="AI15" s="76">
        <f t="shared" ref="AI15:AI20" si="49">(((F15+G15)*2*I15)/1000)*2*$AI$7</f>
        <v>79.2</v>
      </c>
      <c r="AJ15" s="76">
        <f>J15*Pricing!Q11</f>
        <v>0</v>
      </c>
      <c r="AK15" s="76">
        <f>J15*Pricing!R11</f>
        <v>0</v>
      </c>
      <c r="AL15" s="76">
        <f t="shared" si="16"/>
        <v>1996.0761599999998</v>
      </c>
      <c r="AM15" s="77">
        <f t="shared" si="17"/>
        <v>0</v>
      </c>
      <c r="AN15" s="76">
        <f t="shared" si="18"/>
        <v>1596.8609279999998</v>
      </c>
      <c r="AO15" s="72">
        <f t="shared" si="19"/>
        <v>24446.362392749917</v>
      </c>
      <c r="AP15" s="74">
        <f t="shared" si="20"/>
        <v>30557.952990937396</v>
      </c>
      <c r="AQ15" s="74">
        <f t="shared" si="21"/>
        <v>0</v>
      </c>
      <c r="AR15" s="74">
        <f t="shared" si="22"/>
        <v>29661.516061091086</v>
      </c>
      <c r="AS15" s="72">
        <f t="shared" si="23"/>
        <v>62064.980471687319</v>
      </c>
      <c r="AT15" s="72">
        <f t="shared" si="24"/>
        <v>33469.036061091087</v>
      </c>
      <c r="AU15" s="78">
        <f t="shared" si="25"/>
        <v>3109.349318198726</v>
      </c>
      <c r="AV15" s="79">
        <f t="shared" si="26"/>
        <v>1.1256363838166342E-2</v>
      </c>
      <c r="AW15" s="80">
        <f t="shared" si="27"/>
        <v>1153.7105911269971</v>
      </c>
      <c r="AX15" s="81">
        <f t="shared" si="28"/>
        <v>1955.6387270717291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TOP HUNG WINDOW</v>
      </c>
      <c r="D16" s="131" t="str">
        <f>Pricing!B12</f>
        <v>CW3</v>
      </c>
      <c r="E16" s="132" t="str">
        <f>Pricing!N12</f>
        <v>6MM (ST-167)</v>
      </c>
      <c r="F16" s="68">
        <f>Pricing!G12</f>
        <v>720</v>
      </c>
      <c r="G16" s="68">
        <f>Pricing!H12</f>
        <v>840</v>
      </c>
      <c r="H16" s="100">
        <f t="shared" si="0"/>
        <v>0.6048</v>
      </c>
      <c r="I16" s="70">
        <f>Pricing!I12</f>
        <v>1</v>
      </c>
      <c r="J16" s="69">
        <f t="shared" si="30"/>
        <v>0.6048</v>
      </c>
      <c r="K16" s="71">
        <f t="shared" si="31"/>
        <v>6.5100671999999999</v>
      </c>
      <c r="L16" s="69"/>
      <c r="M16" s="72"/>
      <c r="N16" s="72"/>
      <c r="O16" s="72">
        <f t="shared" si="3"/>
        <v>0</v>
      </c>
      <c r="P16" s="73">
        <f>Pricing!M12</f>
        <v>9909.3700000000008</v>
      </c>
      <c r="Q16" s="74">
        <f t="shared" si="4"/>
        <v>990.93700000000013</v>
      </c>
      <c r="R16" s="74">
        <f t="shared" si="5"/>
        <v>1199.03377</v>
      </c>
      <c r="S16" s="74">
        <f t="shared" si="6"/>
        <v>60.496703850000003</v>
      </c>
      <c r="T16" s="74">
        <f t="shared" si="7"/>
        <v>121.59837473850001</v>
      </c>
      <c r="U16" s="72">
        <f t="shared" si="8"/>
        <v>12281.4358485885</v>
      </c>
      <c r="V16" s="74">
        <f t="shared" si="9"/>
        <v>184.22153772882751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1130.9760000000001</v>
      </c>
      <c r="AE16" s="76">
        <f t="shared" si="43"/>
        <v>255.73770491803282</v>
      </c>
      <c r="AF16" s="338">
        <f t="shared" si="44"/>
        <v>262.08</v>
      </c>
      <c r="AG16" s="339"/>
      <c r="AH16" s="76">
        <f t="shared" si="45"/>
        <v>9.36</v>
      </c>
      <c r="AI16" s="76">
        <f t="shared" si="49"/>
        <v>31.200000000000003</v>
      </c>
      <c r="AJ16" s="76">
        <f>J16*Pricing!Q12</f>
        <v>0</v>
      </c>
      <c r="AK16" s="76">
        <f>J16*Pricing!R12</f>
        <v>0</v>
      </c>
      <c r="AL16" s="76">
        <f t="shared" si="16"/>
        <v>651.00671999999997</v>
      </c>
      <c r="AM16" s="77">
        <f t="shared" si="17"/>
        <v>0</v>
      </c>
      <c r="AN16" s="76">
        <f t="shared" si="18"/>
        <v>520.80537599999991</v>
      </c>
      <c r="AO16" s="72">
        <f t="shared" si="19"/>
        <v>13024.035091235359</v>
      </c>
      <c r="AP16" s="74">
        <f t="shared" si="20"/>
        <v>16280.043864044199</v>
      </c>
      <c r="AQ16" s="74">
        <f t="shared" si="21"/>
        <v>0</v>
      </c>
      <c r="AR16" s="74">
        <f t="shared" si="22"/>
        <v>48452.511500131543</v>
      </c>
      <c r="AS16" s="72">
        <f t="shared" si="23"/>
        <v>31606.867051279554</v>
      </c>
      <c r="AT16" s="72">
        <f t="shared" si="24"/>
        <v>52260.031500131539</v>
      </c>
      <c r="AU16" s="78">
        <f t="shared" si="25"/>
        <v>4855.0753902017414</v>
      </c>
      <c r="AV16" s="79">
        <f t="shared" si="26"/>
        <v>3.6711868255624486E-3</v>
      </c>
      <c r="AW16" s="80">
        <f t="shared" si="27"/>
        <v>1914.8277588159654</v>
      </c>
      <c r="AX16" s="81">
        <f t="shared" si="28"/>
        <v>2940.2476313857765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SHUTTER SLIDING DOOR</v>
      </c>
      <c r="D17" s="131" t="str">
        <f>Pricing!B13</f>
        <v>SD2</v>
      </c>
      <c r="E17" s="132" t="str">
        <f>Pricing!N13</f>
        <v>8MM (ST-167)</v>
      </c>
      <c r="F17" s="68">
        <f>Pricing!G13</f>
        <v>2700</v>
      </c>
      <c r="G17" s="68">
        <f>Pricing!H13</f>
        <v>2350</v>
      </c>
      <c r="H17" s="100">
        <f t="shared" si="0"/>
        <v>6.3449999999999998</v>
      </c>
      <c r="I17" s="70">
        <f>Pricing!I13</f>
        <v>2</v>
      </c>
      <c r="J17" s="69">
        <f t="shared" si="30"/>
        <v>12.69</v>
      </c>
      <c r="K17" s="71">
        <f t="shared" si="31"/>
        <v>136.59515999999999</v>
      </c>
      <c r="L17" s="69"/>
      <c r="M17" s="72"/>
      <c r="N17" s="72"/>
      <c r="O17" s="72">
        <f t="shared" si="3"/>
        <v>0</v>
      </c>
      <c r="P17" s="73">
        <f>Pricing!M13</f>
        <v>80440.28</v>
      </c>
      <c r="Q17" s="74">
        <f t="shared" si="4"/>
        <v>8044.0280000000002</v>
      </c>
      <c r="R17" s="74">
        <f t="shared" si="5"/>
        <v>9733.2738800000006</v>
      </c>
      <c r="S17" s="74">
        <f t="shared" si="6"/>
        <v>491.08790940000006</v>
      </c>
      <c r="T17" s="74">
        <f t="shared" si="7"/>
        <v>987.08669789400017</v>
      </c>
      <c r="U17" s="72">
        <f t="shared" si="8"/>
        <v>99695.756487294013</v>
      </c>
      <c r="V17" s="74">
        <f t="shared" si="9"/>
        <v>1495.4363473094102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27791.1</v>
      </c>
      <c r="AE17" s="76">
        <f t="shared" si="43"/>
        <v>1655.7377049180327</v>
      </c>
      <c r="AF17" s="338">
        <f t="shared" si="44"/>
        <v>1696.8</v>
      </c>
      <c r="AG17" s="339"/>
      <c r="AH17" s="76">
        <f t="shared" si="45"/>
        <v>60.599999999999994</v>
      </c>
      <c r="AI17" s="76">
        <f t="shared" si="49"/>
        <v>202</v>
      </c>
      <c r="AJ17" s="76">
        <f>J17*Pricing!Q13</f>
        <v>6829.7579999999989</v>
      </c>
      <c r="AK17" s="76">
        <f>J17*Pricing!R13</f>
        <v>0</v>
      </c>
      <c r="AL17" s="76">
        <f t="shared" si="16"/>
        <v>13659.515999999998</v>
      </c>
      <c r="AM17" s="77">
        <f t="shared" si="17"/>
        <v>0</v>
      </c>
      <c r="AN17" s="76">
        <f t="shared" si="18"/>
        <v>10927.612799999999</v>
      </c>
      <c r="AO17" s="72">
        <f t="shared" si="19"/>
        <v>104806.33053952144</v>
      </c>
      <c r="AP17" s="74">
        <f t="shared" si="20"/>
        <v>131007.91317440179</v>
      </c>
      <c r="AQ17" s="74">
        <f t="shared" si="21"/>
        <v>0</v>
      </c>
      <c r="AR17" s="74">
        <f t="shared" si="22"/>
        <v>18582.682719773304</v>
      </c>
      <c r="AS17" s="72">
        <f t="shared" si="23"/>
        <v>295022.23051392322</v>
      </c>
      <c r="AT17" s="72">
        <f t="shared" si="24"/>
        <v>23248.402719773305</v>
      </c>
      <c r="AU17" s="78">
        <f t="shared" si="25"/>
        <v>2159.8293125021651</v>
      </c>
      <c r="AV17" s="79">
        <f t="shared" si="26"/>
        <v>7.7029366429212084E-2</v>
      </c>
      <c r="AW17" s="80">
        <f t="shared" si="27"/>
        <v>740.81096895822247</v>
      </c>
      <c r="AX17" s="81">
        <f t="shared" si="28"/>
        <v>1419.0183435439428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3 TRACK 2 SHUTTER SLIDING WINDOW</v>
      </c>
      <c r="D18" s="131" t="str">
        <f>Pricing!B14</f>
        <v>SW4</v>
      </c>
      <c r="E18" s="132" t="str">
        <f>Pricing!N14</f>
        <v>6MM (ST-167)</v>
      </c>
      <c r="F18" s="68">
        <f>Pricing!G14</f>
        <v>1575</v>
      </c>
      <c r="G18" s="68">
        <f>Pricing!H14</f>
        <v>1700</v>
      </c>
      <c r="H18" s="100">
        <f t="shared" si="0"/>
        <v>2.6775000000000002</v>
      </c>
      <c r="I18" s="70">
        <f>Pricing!I14</f>
        <v>1</v>
      </c>
      <c r="J18" s="69">
        <f t="shared" si="30"/>
        <v>2.6775000000000002</v>
      </c>
      <c r="K18" s="71">
        <f t="shared" si="31"/>
        <v>28.820610000000002</v>
      </c>
      <c r="L18" s="69"/>
      <c r="M18" s="72"/>
      <c r="N18" s="72"/>
      <c r="O18" s="72">
        <f t="shared" si="3"/>
        <v>0</v>
      </c>
      <c r="P18" s="73">
        <f>Pricing!M14</f>
        <v>27629.040000000001</v>
      </c>
      <c r="Q18" s="74">
        <f t="shared" si="4"/>
        <v>2762.9040000000005</v>
      </c>
      <c r="R18" s="74">
        <f t="shared" si="5"/>
        <v>3343.1138400000004</v>
      </c>
      <c r="S18" s="74">
        <f t="shared" si="6"/>
        <v>168.67528920000001</v>
      </c>
      <c r="T18" s="74">
        <f t="shared" si="7"/>
        <v>339.03733129200003</v>
      </c>
      <c r="U18" s="72">
        <f t="shared" si="8"/>
        <v>34242.770460492</v>
      </c>
      <c r="V18" s="74">
        <f t="shared" si="9"/>
        <v>513.64155690737994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5006.9250000000002</v>
      </c>
      <c r="AE18" s="76">
        <f t="shared" si="43"/>
        <v>536.88524590163934</v>
      </c>
      <c r="AF18" s="338">
        <f t="shared" si="44"/>
        <v>550.19999999999993</v>
      </c>
      <c r="AG18" s="339"/>
      <c r="AH18" s="76">
        <f t="shared" si="45"/>
        <v>19.649999999999999</v>
      </c>
      <c r="AI18" s="76">
        <f t="shared" si="49"/>
        <v>65.5</v>
      </c>
      <c r="AJ18" s="76">
        <f>J18*Pricing!Q14</f>
        <v>1441.0304999999998</v>
      </c>
      <c r="AK18" s="76">
        <f>J18*Pricing!R14</f>
        <v>0</v>
      </c>
      <c r="AL18" s="76">
        <f t="shared" si="16"/>
        <v>2882.0609999999997</v>
      </c>
      <c r="AM18" s="77">
        <f t="shared" si="17"/>
        <v>0</v>
      </c>
      <c r="AN18" s="76">
        <f t="shared" si="18"/>
        <v>2305.6487999999999</v>
      </c>
      <c r="AO18" s="72">
        <f t="shared" si="19"/>
        <v>35928.647263301013</v>
      </c>
      <c r="AP18" s="74">
        <f t="shared" si="20"/>
        <v>44910.809079126266</v>
      </c>
      <c r="AQ18" s="74">
        <f t="shared" si="21"/>
        <v>0</v>
      </c>
      <c r="AR18" s="74">
        <f t="shared" si="22"/>
        <v>30192.140557395807</v>
      </c>
      <c r="AS18" s="72">
        <f t="shared" si="23"/>
        <v>92475.121642427272</v>
      </c>
      <c r="AT18" s="72">
        <f t="shared" si="24"/>
        <v>34537.860557395805</v>
      </c>
      <c r="AU18" s="78">
        <f t="shared" si="25"/>
        <v>3208.6455367331669</v>
      </c>
      <c r="AV18" s="79">
        <f t="shared" si="26"/>
        <v>1.6252650009000426E-2</v>
      </c>
      <c r="AW18" s="80">
        <f t="shared" si="27"/>
        <v>1205.9568488453012</v>
      </c>
      <c r="AX18" s="81">
        <f t="shared" si="28"/>
        <v>2002.6886878878654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SHUTTER SLIDING WINDOW</v>
      </c>
      <c r="D19" s="131" t="str">
        <f>Pricing!B15</f>
        <v>SW5</v>
      </c>
      <c r="E19" s="132" t="str">
        <f>Pricing!N15</f>
        <v>6MM (ST-167)</v>
      </c>
      <c r="F19" s="68">
        <f>Pricing!G15</f>
        <v>2400</v>
      </c>
      <c r="G19" s="68">
        <f>Pricing!H15</f>
        <v>1700</v>
      </c>
      <c r="H19" s="100">
        <f t="shared" si="0"/>
        <v>4.08</v>
      </c>
      <c r="I19" s="70">
        <f>Pricing!I15</f>
        <v>2</v>
      </c>
      <c r="J19" s="69">
        <f t="shared" si="30"/>
        <v>8.16</v>
      </c>
      <c r="K19" s="71">
        <f t="shared" si="31"/>
        <v>87.834239999999994</v>
      </c>
      <c r="L19" s="69"/>
      <c r="M19" s="72"/>
      <c r="N19" s="72"/>
      <c r="O19" s="72">
        <f t="shared" si="3"/>
        <v>0</v>
      </c>
      <c r="P19" s="73">
        <f>Pricing!M15</f>
        <v>63290.82</v>
      </c>
      <c r="Q19" s="74">
        <f t="shared" si="4"/>
        <v>6329.0820000000003</v>
      </c>
      <c r="R19" s="74">
        <f t="shared" si="5"/>
        <v>7658.1892200000002</v>
      </c>
      <c r="S19" s="74">
        <f t="shared" si="6"/>
        <v>386.39045609999999</v>
      </c>
      <c r="T19" s="74">
        <f t="shared" si="7"/>
        <v>776.64481676100002</v>
      </c>
      <c r="U19" s="72">
        <f t="shared" si="8"/>
        <v>78441.126492861003</v>
      </c>
      <c r="V19" s="74">
        <f t="shared" si="9"/>
        <v>1176.616897392915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15259.2</v>
      </c>
      <c r="AE19" s="76">
        <f t="shared" si="43"/>
        <v>1344.2622950819673</v>
      </c>
      <c r="AF19" s="338">
        <f t="shared" si="44"/>
        <v>1377.6</v>
      </c>
      <c r="AG19" s="339"/>
      <c r="AH19" s="76">
        <f t="shared" si="45"/>
        <v>49.199999999999996</v>
      </c>
      <c r="AI19" s="76">
        <f t="shared" si="49"/>
        <v>164</v>
      </c>
      <c r="AJ19" s="76">
        <f>J19*Pricing!Q15</f>
        <v>4391.7119999999995</v>
      </c>
      <c r="AK19" s="76">
        <f>J19*Pricing!R15</f>
        <v>0</v>
      </c>
      <c r="AL19" s="76">
        <f t="shared" si="16"/>
        <v>8783.4239999999991</v>
      </c>
      <c r="AM19" s="77">
        <f t="shared" si="17"/>
        <v>0</v>
      </c>
      <c r="AN19" s="76">
        <f t="shared" si="18"/>
        <v>7026.7391999999991</v>
      </c>
      <c r="AO19" s="72">
        <f t="shared" si="19"/>
        <v>82552.805685335887</v>
      </c>
      <c r="AP19" s="74">
        <f t="shared" si="20"/>
        <v>103191.00710666986</v>
      </c>
      <c r="AQ19" s="74">
        <f t="shared" si="21"/>
        <v>0</v>
      </c>
      <c r="AR19" s="74">
        <f t="shared" si="22"/>
        <v>22762.722155883057</v>
      </c>
      <c r="AS19" s="72">
        <f t="shared" si="23"/>
        <v>221204.88799200574</v>
      </c>
      <c r="AT19" s="72">
        <f t="shared" si="24"/>
        <v>27108.442155883055</v>
      </c>
      <c r="AU19" s="78">
        <f t="shared" si="25"/>
        <v>2518.4357261132532</v>
      </c>
      <c r="AV19" s="79">
        <f t="shared" si="26"/>
        <v>4.9531885741715569E-2</v>
      </c>
      <c r="AW19" s="80">
        <f t="shared" si="27"/>
        <v>906.45451466596535</v>
      </c>
      <c r="AX19" s="81">
        <f t="shared" si="28"/>
        <v>1611.9812114472879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TOP HUNG WINDOW WITH FIXED GLASS</v>
      </c>
      <c r="D20" s="131" t="str">
        <f>Pricing!B16</f>
        <v>V</v>
      </c>
      <c r="E20" s="132" t="str">
        <f>Pricing!N16</f>
        <v>6MM (F)</v>
      </c>
      <c r="F20" s="68">
        <f>Pricing!G16</f>
        <v>1220</v>
      </c>
      <c r="G20" s="68">
        <f>Pricing!H16</f>
        <v>610</v>
      </c>
      <c r="H20" s="100">
        <f t="shared" si="0"/>
        <v>0.74419999999999997</v>
      </c>
      <c r="I20" s="70">
        <f>Pricing!I16</f>
        <v>1</v>
      </c>
      <c r="J20" s="69">
        <f t="shared" si="30"/>
        <v>0.74419999999999997</v>
      </c>
      <c r="K20" s="71">
        <f t="shared" si="31"/>
        <v>8.0105687999999997</v>
      </c>
      <c r="L20" s="69"/>
      <c r="M20" s="72"/>
      <c r="N20" s="72"/>
      <c r="O20" s="72">
        <f t="shared" si="3"/>
        <v>0</v>
      </c>
      <c r="P20" s="73">
        <f>Pricing!M16</f>
        <v>12769.55</v>
      </c>
      <c r="Q20" s="74">
        <f t="shared" si="4"/>
        <v>1276.9549999999999</v>
      </c>
      <c r="R20" s="74">
        <f t="shared" si="5"/>
        <v>1545.11555</v>
      </c>
      <c r="S20" s="74">
        <f t="shared" si="6"/>
        <v>77.958102749999995</v>
      </c>
      <c r="T20" s="74">
        <f t="shared" si="7"/>
        <v>156.69578652750002</v>
      </c>
      <c r="U20" s="72">
        <f t="shared" si="8"/>
        <v>15826.2744392775</v>
      </c>
      <c r="V20" s="74">
        <f t="shared" si="9"/>
        <v>237.39411658916251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1490.6325999999999</v>
      </c>
      <c r="AE20" s="76">
        <f t="shared" si="43"/>
        <v>300</v>
      </c>
      <c r="AF20" s="338">
        <f t="shared" si="44"/>
        <v>307.44</v>
      </c>
      <c r="AG20" s="339"/>
      <c r="AH20" s="76">
        <f t="shared" si="45"/>
        <v>10.98</v>
      </c>
      <c r="AI20" s="76">
        <f t="shared" si="49"/>
        <v>36.6</v>
      </c>
      <c r="AJ20" s="76">
        <f>J20*Pricing!Q16</f>
        <v>0</v>
      </c>
      <c r="AK20" s="76">
        <f>J20*Pricing!R16</f>
        <v>0</v>
      </c>
      <c r="AL20" s="76">
        <f t="shared" si="16"/>
        <v>801.05687999999986</v>
      </c>
      <c r="AM20" s="77">
        <f t="shared" si="17"/>
        <v>0</v>
      </c>
      <c r="AN20" s="76">
        <f t="shared" si="18"/>
        <v>640.84550399999989</v>
      </c>
      <c r="AO20" s="72">
        <f t="shared" si="19"/>
        <v>16718.688555866662</v>
      </c>
      <c r="AP20" s="74">
        <f t="shared" si="20"/>
        <v>20898.360694833325</v>
      </c>
      <c r="AQ20" s="74">
        <f t="shared" si="21"/>
        <v>0</v>
      </c>
      <c r="AR20" s="74">
        <f t="shared" si="22"/>
        <v>50546.962175087327</v>
      </c>
      <c r="AS20" s="72">
        <f t="shared" si="23"/>
        <v>40549.584234699985</v>
      </c>
      <c r="AT20" s="72">
        <f t="shared" si="24"/>
        <v>54487.482175087323</v>
      </c>
      <c r="AU20" s="78">
        <f t="shared" si="25"/>
        <v>5062.0106071244263</v>
      </c>
      <c r="AV20" s="79">
        <f t="shared" si="26"/>
        <v>4.5173565403167559E-3</v>
      </c>
      <c r="AW20" s="80">
        <f t="shared" si="27"/>
        <v>2005.3093552940541</v>
      </c>
      <c r="AX20" s="81">
        <f t="shared" si="28"/>
        <v>3056.7012518303727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2 SHUTTER SLIDING WINDOW</v>
      </c>
      <c r="D21" s="131" t="str">
        <f>Pricing!B17</f>
        <v>SW6</v>
      </c>
      <c r="E21" s="132" t="str">
        <f>Pricing!N17</f>
        <v>6MM (ST-167)</v>
      </c>
      <c r="F21" s="68">
        <f>Pricing!G17</f>
        <v>1830</v>
      </c>
      <c r="G21" s="68">
        <f>Pricing!H17</f>
        <v>1700</v>
      </c>
      <c r="H21" s="100">
        <f t="shared" si="0"/>
        <v>3.1110000000000002</v>
      </c>
      <c r="I21" s="70">
        <f>Pricing!I17</f>
        <v>2</v>
      </c>
      <c r="J21" s="69">
        <f t="shared" si="30"/>
        <v>6.2220000000000004</v>
      </c>
      <c r="K21" s="71">
        <f t="shared" si="31"/>
        <v>66.973607999999999</v>
      </c>
      <c r="L21" s="69"/>
      <c r="M21" s="72"/>
      <c r="N21" s="72"/>
      <c r="O21" s="72">
        <f t="shared" si="3"/>
        <v>0</v>
      </c>
      <c r="P21" s="73">
        <f>Pricing!M17</f>
        <v>57741.439999999995</v>
      </c>
      <c r="Q21" s="74">
        <f t="shared" ref="Q21:Q26" si="50">P21*$Q$6</f>
        <v>5774.1440000000002</v>
      </c>
      <c r="R21" s="74">
        <f t="shared" ref="R21:R26" si="51">(P21+Q21)*$R$6</f>
        <v>6986.7142399999993</v>
      </c>
      <c r="S21" s="74">
        <f t="shared" ref="S21:S26" si="52">(P21+Q21+R21)*$S$6</f>
        <v>352.51149119999997</v>
      </c>
      <c r="T21" s="74">
        <f t="shared" ref="T21:T26" si="53">(P21+Q21+R21+S21)*$T$6</f>
        <v>708.54809731199987</v>
      </c>
      <c r="U21" s="72">
        <f t="shared" ref="U21:U26" si="54">SUM(P21:T21)</f>
        <v>71563.357828511987</v>
      </c>
      <c r="V21" s="74">
        <f t="shared" ref="V21:V26" si="55">U21*$V$6</f>
        <v>1073.4503674276798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11635.140000000001</v>
      </c>
      <c r="AE21" s="76">
        <f t="shared" si="43"/>
        <v>1157.377049180328</v>
      </c>
      <c r="AF21" s="338">
        <f t="shared" si="44"/>
        <v>1186.08</v>
      </c>
      <c r="AG21" s="339"/>
      <c r="AH21" s="76">
        <f t="shared" si="45"/>
        <v>42.36</v>
      </c>
      <c r="AI21" s="76">
        <f t="shared" si="15"/>
        <v>141.19999999999999</v>
      </c>
      <c r="AJ21" s="76">
        <f>J21*Pricing!Q17</f>
        <v>3348.6803999999997</v>
      </c>
      <c r="AK21" s="76">
        <f>J21*Pricing!R17</f>
        <v>0</v>
      </c>
      <c r="AL21" s="76">
        <f t="shared" si="16"/>
        <v>6697.3607999999995</v>
      </c>
      <c r="AM21" s="77">
        <f t="shared" si="17"/>
        <v>0</v>
      </c>
      <c r="AN21" s="76">
        <f t="shared" si="18"/>
        <v>5357.8886400000001</v>
      </c>
      <c r="AO21" s="72">
        <f t="shared" si="19"/>
        <v>75163.825245119995</v>
      </c>
      <c r="AP21" s="74">
        <f t="shared" si="20"/>
        <v>93954.78155639999</v>
      </c>
      <c r="AQ21" s="74">
        <f t="shared" ref="AQ21:AQ26" si="61">(AO21+AP21)*$AQ$6</f>
        <v>0</v>
      </c>
      <c r="AR21" s="74">
        <f t="shared" si="22"/>
        <v>27180.746834059784</v>
      </c>
      <c r="AS21" s="72">
        <f t="shared" si="23"/>
        <v>196157.67664152</v>
      </c>
      <c r="AT21" s="72">
        <f t="shared" si="24"/>
        <v>31526.466834059785</v>
      </c>
      <c r="AU21" s="78">
        <f t="shared" ref="AU21:AU26" si="62">AT21/10.764</f>
        <v>2928.8802335618529</v>
      </c>
      <c r="AV21" s="79">
        <f t="shared" si="26"/>
        <v>3.7768062878058124E-2</v>
      </c>
      <c r="AW21" s="80">
        <f t="shared" si="27"/>
        <v>1084.5586846081171</v>
      </c>
      <c r="AX21" s="81">
        <f t="shared" si="28"/>
        <v>1844.3215489537358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3 TRACK 2 SHUTTER SLIDING WINDOW</v>
      </c>
      <c r="D22" s="131" t="str">
        <f>Pricing!B18</f>
        <v>SW7</v>
      </c>
      <c r="E22" s="132" t="str">
        <f>Pricing!N18</f>
        <v>13.52MM (ST-167)</v>
      </c>
      <c r="F22" s="68">
        <f>Pricing!G18</f>
        <v>2440</v>
      </c>
      <c r="G22" s="68">
        <f>Pricing!H18</f>
        <v>830</v>
      </c>
      <c r="H22" s="100">
        <f t="shared" si="0"/>
        <v>2.0251999999999999</v>
      </c>
      <c r="I22" s="70">
        <f>Pricing!I18</f>
        <v>2</v>
      </c>
      <c r="J22" s="69">
        <f t="shared" si="30"/>
        <v>4.0503999999999998</v>
      </c>
      <c r="K22" s="71">
        <f t="shared" si="31"/>
        <v>43.598505599999996</v>
      </c>
      <c r="L22" s="69"/>
      <c r="M22" s="72"/>
      <c r="N22" s="72"/>
      <c r="O22" s="72">
        <f t="shared" si="3"/>
        <v>0</v>
      </c>
      <c r="P22" s="73">
        <f>Pricing!M18</f>
        <v>49131.020000000004</v>
      </c>
      <c r="Q22" s="74">
        <f t="shared" si="50"/>
        <v>4913.1020000000008</v>
      </c>
      <c r="R22" s="74">
        <f t="shared" si="51"/>
        <v>5944.8534200000004</v>
      </c>
      <c r="S22" s="74">
        <f t="shared" si="52"/>
        <v>299.94487710000004</v>
      </c>
      <c r="T22" s="74">
        <f t="shared" si="53"/>
        <v>602.88920297100003</v>
      </c>
      <c r="U22" s="72">
        <f t="shared" si="54"/>
        <v>60891.809500071002</v>
      </c>
      <c r="V22" s="74">
        <f t="shared" si="55"/>
        <v>913.37714250106501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21369.910399999997</v>
      </c>
      <c r="AE22" s="76">
        <f t="shared" si="43"/>
        <v>1072.1311475409836</v>
      </c>
      <c r="AF22" s="338">
        <f t="shared" si="44"/>
        <v>1098.72</v>
      </c>
      <c r="AG22" s="339"/>
      <c r="AH22" s="76">
        <f t="shared" si="45"/>
        <v>39.24</v>
      </c>
      <c r="AI22" s="76">
        <f t="shared" si="15"/>
        <v>130.80000000000001</v>
      </c>
      <c r="AJ22" s="76">
        <f>J22*Pricing!Q18</f>
        <v>2179.9252799999995</v>
      </c>
      <c r="AK22" s="76">
        <f>J22*Pricing!R18</f>
        <v>0</v>
      </c>
      <c r="AL22" s="76">
        <f t="shared" si="16"/>
        <v>4359.8505599999989</v>
      </c>
      <c r="AM22" s="77">
        <f t="shared" si="17"/>
        <v>0</v>
      </c>
      <c r="AN22" s="76">
        <f t="shared" si="18"/>
        <v>3487.8804479999994</v>
      </c>
      <c r="AO22" s="72">
        <f t="shared" si="19"/>
        <v>64146.07779011305</v>
      </c>
      <c r="AP22" s="74">
        <f t="shared" si="20"/>
        <v>80182.597237641312</v>
      </c>
      <c r="AQ22" s="74">
        <f t="shared" si="61"/>
        <v>0</v>
      </c>
      <c r="AR22" s="74">
        <f t="shared" si="22"/>
        <v>35633.190555933827</v>
      </c>
      <c r="AS22" s="72">
        <f t="shared" si="23"/>
        <v>175726.24171575435</v>
      </c>
      <c r="AT22" s="72">
        <f t="shared" si="24"/>
        <v>43384.910555933828</v>
      </c>
      <c r="AU22" s="78">
        <f t="shared" si="62"/>
        <v>4030.5565362257366</v>
      </c>
      <c r="AV22" s="79">
        <f t="shared" si="26"/>
        <v>2.4586268383363325E-2</v>
      </c>
      <c r="AW22" s="80">
        <f t="shared" si="27"/>
        <v>1417.5987408745511</v>
      </c>
      <c r="AX22" s="81">
        <f t="shared" si="28"/>
        <v>2612.9577953511853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3 TRACK 2 SHUTTER SLIDING WINDOW</v>
      </c>
      <c r="D23" s="131" t="str">
        <f>Pricing!B19</f>
        <v>SW8</v>
      </c>
      <c r="E23" s="132" t="str">
        <f>Pricing!N19</f>
        <v>6MM (ST-167)</v>
      </c>
      <c r="F23" s="68">
        <f>Pricing!G19</f>
        <v>1220</v>
      </c>
      <c r="G23" s="68">
        <f>Pricing!H19</f>
        <v>1700</v>
      </c>
      <c r="H23" s="100">
        <f t="shared" si="0"/>
        <v>2.0739999999999998</v>
      </c>
      <c r="I23" s="70">
        <f>Pricing!I19</f>
        <v>4</v>
      </c>
      <c r="J23" s="69">
        <f t="shared" si="30"/>
        <v>8.2959999999999994</v>
      </c>
      <c r="K23" s="71">
        <f t="shared" si="31"/>
        <v>89.298143999999994</v>
      </c>
      <c r="L23" s="69"/>
      <c r="M23" s="72"/>
      <c r="N23" s="72"/>
      <c r="O23" s="72">
        <f t="shared" si="3"/>
        <v>0</v>
      </c>
      <c r="P23" s="73">
        <f>Pricing!M19</f>
        <v>103603.92</v>
      </c>
      <c r="Q23" s="74">
        <f t="shared" si="50"/>
        <v>10360.392</v>
      </c>
      <c r="R23" s="74">
        <f t="shared" si="51"/>
        <v>12536.074320000002</v>
      </c>
      <c r="S23" s="74">
        <f t="shared" si="52"/>
        <v>632.50193160000003</v>
      </c>
      <c r="T23" s="74">
        <f t="shared" si="53"/>
        <v>1271.328882516</v>
      </c>
      <c r="U23" s="72">
        <f t="shared" si="54"/>
        <v>128404.217134116</v>
      </c>
      <c r="V23" s="74">
        <f t="shared" si="55"/>
        <v>1926.06325701174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15513.519999999999</v>
      </c>
      <c r="AE23" s="76">
        <f t="shared" si="43"/>
        <v>1914.7540983606557</v>
      </c>
      <c r="AF23" s="338">
        <f t="shared" si="44"/>
        <v>1962.24</v>
      </c>
      <c r="AG23" s="339"/>
      <c r="AH23" s="76">
        <f t="shared" si="45"/>
        <v>70.08</v>
      </c>
      <c r="AI23" s="76">
        <f t="shared" si="15"/>
        <v>233.6</v>
      </c>
      <c r="AJ23" s="76">
        <f>J23*Pricing!Q19</f>
        <v>4464.9071999999987</v>
      </c>
      <c r="AK23" s="76">
        <f>J23*Pricing!R19</f>
        <v>0</v>
      </c>
      <c r="AL23" s="76">
        <f t="shared" si="16"/>
        <v>8929.8143999999975</v>
      </c>
      <c r="AM23" s="77">
        <f t="shared" si="17"/>
        <v>0</v>
      </c>
      <c r="AN23" s="76">
        <f t="shared" si="18"/>
        <v>7143.8515199999983</v>
      </c>
      <c r="AO23" s="72">
        <f t="shared" si="19"/>
        <v>134510.95448948842</v>
      </c>
      <c r="AP23" s="74">
        <f t="shared" si="20"/>
        <v>168138.69311186051</v>
      </c>
      <c r="AQ23" s="74">
        <f t="shared" si="61"/>
        <v>0</v>
      </c>
      <c r="AR23" s="74">
        <f t="shared" si="22"/>
        <v>36481.394358889702</v>
      </c>
      <c r="AS23" s="72">
        <f t="shared" si="23"/>
        <v>338701.74072134891</v>
      </c>
      <c r="AT23" s="72">
        <f t="shared" si="24"/>
        <v>40827.114358889696</v>
      </c>
      <c r="AU23" s="78">
        <f t="shared" si="62"/>
        <v>3792.9314714687566</v>
      </c>
      <c r="AV23" s="79">
        <f t="shared" si="26"/>
        <v>5.0357417170744163E-2</v>
      </c>
      <c r="AW23" s="80">
        <f t="shared" si="27"/>
        <v>1459.4959598614698</v>
      </c>
      <c r="AX23" s="81">
        <f t="shared" si="28"/>
        <v>2333.435511607287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CORNOR WINDOW FIXED GLASS</v>
      </c>
      <c r="D24" s="131" t="str">
        <f>Pricing!B20</f>
        <v>GSG 3</v>
      </c>
      <c r="E24" s="132" t="str">
        <f>Pricing!N20</f>
        <v>12MM (ST-167)</v>
      </c>
      <c r="F24" s="68">
        <f>Pricing!G20</f>
        <v>3375</v>
      </c>
      <c r="G24" s="68">
        <f>Pricing!H20</f>
        <v>2170</v>
      </c>
      <c r="H24" s="100">
        <f t="shared" si="0"/>
        <v>7.3237500000000004</v>
      </c>
      <c r="I24" s="70">
        <f>Pricing!I20</f>
        <v>1</v>
      </c>
      <c r="J24" s="69">
        <f t="shared" si="30"/>
        <v>7.3237500000000004</v>
      </c>
      <c r="K24" s="71">
        <f t="shared" si="31"/>
        <v>78.832845000000006</v>
      </c>
      <c r="L24" s="69"/>
      <c r="M24" s="72"/>
      <c r="N24" s="72"/>
      <c r="O24" s="72">
        <f t="shared" si="3"/>
        <v>0</v>
      </c>
      <c r="P24" s="73">
        <f>Pricing!M20</f>
        <v>5048.0600000000004</v>
      </c>
      <c r="Q24" s="74">
        <f t="shared" si="50"/>
        <v>504.80600000000004</v>
      </c>
      <c r="R24" s="74">
        <f t="shared" si="51"/>
        <v>610.81525999999997</v>
      </c>
      <c r="S24" s="74">
        <f t="shared" si="52"/>
        <v>30.818406300000003</v>
      </c>
      <c r="T24" s="74">
        <f t="shared" si="53"/>
        <v>61.944996663000005</v>
      </c>
      <c r="U24" s="72">
        <f t="shared" si="54"/>
        <v>6256.4446629630002</v>
      </c>
      <c r="V24" s="74">
        <f t="shared" si="55"/>
        <v>93.846669944444997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20198.9025</v>
      </c>
      <c r="AE24" s="76">
        <f t="shared" si="43"/>
        <v>909.01639344262298</v>
      </c>
      <c r="AF24" s="338">
        <f t="shared" si="44"/>
        <v>931.55999999999983</v>
      </c>
      <c r="AG24" s="339"/>
      <c r="AH24" s="76">
        <f t="shared" si="45"/>
        <v>33.269999999999996</v>
      </c>
      <c r="AI24" s="76">
        <f t="shared" si="15"/>
        <v>110.9</v>
      </c>
      <c r="AJ24" s="76">
        <f>J24*Pricing!Q20</f>
        <v>0</v>
      </c>
      <c r="AK24" s="76">
        <f>J24*Pricing!R20</f>
        <v>0</v>
      </c>
      <c r="AL24" s="76">
        <f t="shared" si="16"/>
        <v>7883.2844999999998</v>
      </c>
      <c r="AM24" s="77">
        <f t="shared" si="17"/>
        <v>0</v>
      </c>
      <c r="AN24" s="76">
        <f t="shared" si="18"/>
        <v>6306.6275999999998</v>
      </c>
      <c r="AO24" s="72">
        <f t="shared" si="19"/>
        <v>8335.0377263500741</v>
      </c>
      <c r="AP24" s="74">
        <f t="shared" si="20"/>
        <v>10418.797157937592</v>
      </c>
      <c r="AQ24" s="74">
        <f t="shared" si="61"/>
        <v>0</v>
      </c>
      <c r="AR24" s="74">
        <f t="shared" si="22"/>
        <v>2560.6874735330484</v>
      </c>
      <c r="AS24" s="72">
        <f t="shared" si="23"/>
        <v>53142.649484287656</v>
      </c>
      <c r="AT24" s="72">
        <f t="shared" si="24"/>
        <v>7256.2074735330471</v>
      </c>
      <c r="AU24" s="78">
        <f t="shared" si="62"/>
        <v>674.11812277341573</v>
      </c>
      <c r="AV24" s="79">
        <f t="shared" si="26"/>
        <v>4.4455777965795279E-2</v>
      </c>
      <c r="AW24" s="80">
        <f t="shared" si="27"/>
        <v>80.553877421364717</v>
      </c>
      <c r="AX24" s="81">
        <f t="shared" si="28"/>
        <v>593.5642453520511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SIDE HUNG WINDOW WITH TOP FIXED</v>
      </c>
      <c r="D25" s="131" t="str">
        <f>Pricing!B21</f>
        <v>CW3</v>
      </c>
      <c r="E25" s="132" t="str">
        <f>Pricing!N21</f>
        <v>6MM (ST-167)</v>
      </c>
      <c r="F25" s="68">
        <f>Pricing!G21</f>
        <v>700</v>
      </c>
      <c r="G25" s="68">
        <f>Pricing!H21</f>
        <v>2170</v>
      </c>
      <c r="H25" s="100">
        <f t="shared" si="0"/>
        <v>1.5189999999999999</v>
      </c>
      <c r="I25" s="70">
        <f>Pricing!I21</f>
        <v>1</v>
      </c>
      <c r="J25" s="69">
        <f t="shared" si="30"/>
        <v>1.5189999999999999</v>
      </c>
      <c r="K25" s="71">
        <f t="shared" si="31"/>
        <v>16.350515999999999</v>
      </c>
      <c r="L25" s="69"/>
      <c r="M25" s="72"/>
      <c r="N25" s="72"/>
      <c r="O25" s="72">
        <f t="shared" si="3"/>
        <v>0</v>
      </c>
      <c r="P25" s="73">
        <f>Pricing!M21</f>
        <v>13429.400000000001</v>
      </c>
      <c r="Q25" s="74">
        <f t="shared" si="50"/>
        <v>1342.9400000000003</v>
      </c>
      <c r="R25" s="74">
        <f t="shared" si="51"/>
        <v>1624.9574000000002</v>
      </c>
      <c r="S25" s="74">
        <f t="shared" si="52"/>
        <v>81.986487000000011</v>
      </c>
      <c r="T25" s="74">
        <f t="shared" si="53"/>
        <v>164.79283887000003</v>
      </c>
      <c r="U25" s="72">
        <f t="shared" si="54"/>
        <v>16644.07672587</v>
      </c>
      <c r="V25" s="74">
        <f t="shared" si="55"/>
        <v>249.66115088804997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2840.5299999999997</v>
      </c>
      <c r="AE25" s="76">
        <f t="shared" si="43"/>
        <v>470.49180327868851</v>
      </c>
      <c r="AF25" s="338">
        <f t="shared" si="44"/>
        <v>482.15999999999997</v>
      </c>
      <c r="AG25" s="339"/>
      <c r="AH25" s="76">
        <f t="shared" si="45"/>
        <v>17.22</v>
      </c>
      <c r="AI25" s="76">
        <f t="shared" si="15"/>
        <v>57.400000000000006</v>
      </c>
      <c r="AJ25" s="76">
        <f>J25*Pricing!Q21</f>
        <v>0</v>
      </c>
      <c r="AK25" s="76">
        <f>J25*Pricing!R21</f>
        <v>0</v>
      </c>
      <c r="AL25" s="76">
        <f t="shared" si="16"/>
        <v>1635.0515999999998</v>
      </c>
      <c r="AM25" s="77">
        <f t="shared" si="17"/>
        <v>0</v>
      </c>
      <c r="AN25" s="76">
        <f t="shared" si="18"/>
        <v>1308.0412799999997</v>
      </c>
      <c r="AO25" s="72">
        <f t="shared" si="19"/>
        <v>17921.009680036739</v>
      </c>
      <c r="AP25" s="74">
        <f t="shared" si="20"/>
        <v>22401.262100045926</v>
      </c>
      <c r="AQ25" s="74">
        <f t="shared" si="61"/>
        <v>0</v>
      </c>
      <c r="AR25" s="74">
        <f t="shared" si="22"/>
        <v>26545.274377934606</v>
      </c>
      <c r="AS25" s="72">
        <f t="shared" si="23"/>
        <v>46105.89466008266</v>
      </c>
      <c r="AT25" s="72">
        <f t="shared" si="24"/>
        <v>30352.794377934602</v>
      </c>
      <c r="AU25" s="78">
        <f t="shared" si="62"/>
        <v>2819.8434018891307</v>
      </c>
      <c r="AV25" s="79">
        <f t="shared" si="26"/>
        <v>9.2204576521649449E-3</v>
      </c>
      <c r="AW25" s="80">
        <f t="shared" si="27"/>
        <v>1033.2235310957801</v>
      </c>
      <c r="AX25" s="81">
        <f t="shared" si="28"/>
        <v>1786.6198707933509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3 TRACK 2 SHUTTER SLIDING DOOR</v>
      </c>
      <c r="D26" s="131" t="str">
        <f>Pricing!B22</f>
        <v>SD3</v>
      </c>
      <c r="E26" s="132" t="str">
        <f>Pricing!N22</f>
        <v>13.52MM (ST-167)</v>
      </c>
      <c r="F26" s="68">
        <f>Pricing!G22</f>
        <v>2000</v>
      </c>
      <c r="G26" s="68">
        <f>Pricing!H22</f>
        <v>2400</v>
      </c>
      <c r="H26" s="100">
        <f t="shared" si="0"/>
        <v>4.8</v>
      </c>
      <c r="I26" s="70">
        <f>Pricing!I22</f>
        <v>1</v>
      </c>
      <c r="J26" s="69">
        <f t="shared" si="30"/>
        <v>4.8</v>
      </c>
      <c r="K26" s="71">
        <f t="shared" si="31"/>
        <v>51.667199999999994</v>
      </c>
      <c r="L26" s="69"/>
      <c r="M26" s="72"/>
      <c r="N26" s="72"/>
      <c r="O26" s="72">
        <f t="shared" si="3"/>
        <v>0</v>
      </c>
      <c r="P26" s="73">
        <f>Pricing!M22</f>
        <v>34225.880000000005</v>
      </c>
      <c r="Q26" s="74">
        <f t="shared" si="50"/>
        <v>3422.5880000000006</v>
      </c>
      <c r="R26" s="74">
        <f t="shared" si="51"/>
        <v>4141.3314800000007</v>
      </c>
      <c r="S26" s="74">
        <f t="shared" si="52"/>
        <v>208.94899740000005</v>
      </c>
      <c r="T26" s="74">
        <f t="shared" si="53"/>
        <v>419.98748477400011</v>
      </c>
      <c r="U26" s="72">
        <f t="shared" si="54"/>
        <v>42418.735962174011</v>
      </c>
      <c r="V26" s="74">
        <f t="shared" si="55"/>
        <v>636.2810394326101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25324.799999999999</v>
      </c>
      <c r="AE26" s="76">
        <f t="shared" si="43"/>
        <v>721.31147540983602</v>
      </c>
      <c r="AF26" s="338">
        <f t="shared" si="44"/>
        <v>739.2</v>
      </c>
      <c r="AG26" s="339"/>
      <c r="AH26" s="76">
        <f t="shared" si="45"/>
        <v>26.400000000000002</v>
      </c>
      <c r="AI26" s="76">
        <f t="shared" si="15"/>
        <v>88</v>
      </c>
      <c r="AJ26" s="76">
        <f>J26*Pricing!Q22</f>
        <v>2583.3599999999997</v>
      </c>
      <c r="AK26" s="76">
        <f>J26*Pricing!R22</f>
        <v>0</v>
      </c>
      <c r="AL26" s="76">
        <f t="shared" si="16"/>
        <v>5166.7199999999993</v>
      </c>
      <c r="AM26" s="77">
        <f t="shared" si="17"/>
        <v>0</v>
      </c>
      <c r="AN26" s="76">
        <f t="shared" si="18"/>
        <v>4133.3759999999993</v>
      </c>
      <c r="AO26" s="72">
        <f t="shared" si="19"/>
        <v>44629.928477016452</v>
      </c>
      <c r="AP26" s="74">
        <f t="shared" si="20"/>
        <v>55787.410596270565</v>
      </c>
      <c r="AQ26" s="74">
        <f t="shared" si="61"/>
        <v>0</v>
      </c>
      <c r="AR26" s="74">
        <f t="shared" si="22"/>
        <v>20920.278973601464</v>
      </c>
      <c r="AS26" s="72">
        <f t="shared" si="23"/>
        <v>137625.595073287</v>
      </c>
      <c r="AT26" s="72">
        <f t="shared" si="24"/>
        <v>28671.998973601458</v>
      </c>
      <c r="AU26" s="78">
        <f t="shared" si="62"/>
        <v>2663.6936987738259</v>
      </c>
      <c r="AV26" s="79">
        <f t="shared" si="26"/>
        <v>2.9136403377479747E-2</v>
      </c>
      <c r="AW26" s="80">
        <f t="shared" si="27"/>
        <v>833.3143077543707</v>
      </c>
      <c r="AX26" s="81">
        <f t="shared" si="28"/>
        <v>1830.3793910194554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 2 NO'S</v>
      </c>
      <c r="D27" s="131" t="str">
        <f>Pricing!B23</f>
        <v>CW5</v>
      </c>
      <c r="E27" s="132" t="str">
        <f>Pricing!N23</f>
        <v>12MM (ST-167)</v>
      </c>
      <c r="F27" s="68">
        <f>Pricing!G23</f>
        <v>3900</v>
      </c>
      <c r="G27" s="68">
        <f>Pricing!H23</f>
        <v>2400</v>
      </c>
      <c r="H27" s="100">
        <f t="shared" si="0"/>
        <v>9.36</v>
      </c>
      <c r="I27" s="70">
        <f>Pricing!I23</f>
        <v>1</v>
      </c>
      <c r="J27" s="69">
        <f t="shared" si="30"/>
        <v>9.36</v>
      </c>
      <c r="K27" s="71">
        <f t="shared" si="31"/>
        <v>100.75103999999999</v>
      </c>
      <c r="L27" s="69"/>
      <c r="M27" s="72"/>
      <c r="N27" s="72"/>
      <c r="O27" s="72">
        <f t="shared" si="3"/>
        <v>0</v>
      </c>
      <c r="P27" s="73">
        <f>Pricing!M23</f>
        <v>12991.99</v>
      </c>
      <c r="Q27" s="74">
        <f t="shared" si="4"/>
        <v>1299.1990000000001</v>
      </c>
      <c r="R27" s="74">
        <f t="shared" si="5"/>
        <v>1572.03079</v>
      </c>
      <c r="S27" s="74">
        <f t="shared" si="6"/>
        <v>79.316098950000011</v>
      </c>
      <c r="T27" s="74">
        <f t="shared" si="7"/>
        <v>159.42535888950002</v>
      </c>
      <c r="U27" s="72">
        <f t="shared" si="8"/>
        <v>16101.961247839501</v>
      </c>
      <c r="V27" s="74">
        <f t="shared" si="9"/>
        <v>241.52941871759251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25814.879999999997</v>
      </c>
      <c r="AE27" s="76">
        <f t="shared" si="43"/>
        <v>1032.7868852459017</v>
      </c>
      <c r="AF27" s="338">
        <f t="shared" si="44"/>
        <v>1058.3999999999999</v>
      </c>
      <c r="AG27" s="339"/>
      <c r="AH27" s="76">
        <f t="shared" si="45"/>
        <v>37.799999999999997</v>
      </c>
      <c r="AI27" s="76">
        <f t="shared" ref="AI27:AI32" si="64">(((F27+G27)*2*I27)/1000)*2*$AI$7</f>
        <v>126</v>
      </c>
      <c r="AJ27" s="76">
        <f>J27*Pricing!Q23</f>
        <v>0</v>
      </c>
      <c r="AK27" s="76">
        <f>J27*Pricing!R23</f>
        <v>0</v>
      </c>
      <c r="AL27" s="76">
        <f t="shared" si="16"/>
        <v>10075.103999999998</v>
      </c>
      <c r="AM27" s="77">
        <f t="shared" si="17"/>
        <v>0</v>
      </c>
      <c r="AN27" s="76">
        <f t="shared" si="18"/>
        <v>8060.0831999999982</v>
      </c>
      <c r="AO27" s="72">
        <f t="shared" si="19"/>
        <v>18598.477551803</v>
      </c>
      <c r="AP27" s="74">
        <f t="shared" si="20"/>
        <v>23248.096939753748</v>
      </c>
      <c r="AQ27" s="74">
        <f t="shared" si="21"/>
        <v>0</v>
      </c>
      <c r="AR27" s="74">
        <f t="shared" si="22"/>
        <v>4470.787873029567</v>
      </c>
      <c r="AS27" s="72">
        <f t="shared" si="23"/>
        <v>85796.641691556739</v>
      </c>
      <c r="AT27" s="72">
        <f t="shared" si="24"/>
        <v>9166.3078730295674</v>
      </c>
      <c r="AU27" s="78">
        <f t="shared" si="25"/>
        <v>851.57077973147227</v>
      </c>
      <c r="AV27" s="79">
        <f t="shared" si="26"/>
        <v>5.6815986586085505E-2</v>
      </c>
      <c r="AW27" s="80">
        <f t="shared" si="27"/>
        <v>162.21659514936121</v>
      </c>
      <c r="AX27" s="81">
        <f t="shared" si="28"/>
        <v>689.35418458211109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TOP HUNG WINDOW WITH BOTTOM FIXED</v>
      </c>
      <c r="D28" s="131" t="str">
        <f>Pricing!B24</f>
        <v>V1</v>
      </c>
      <c r="E28" s="132" t="str">
        <f>Pricing!N24</f>
        <v>6MM (F)</v>
      </c>
      <c r="F28" s="68">
        <f>Pricing!G24</f>
        <v>760</v>
      </c>
      <c r="G28" s="68">
        <f>Pricing!H24</f>
        <v>1720</v>
      </c>
      <c r="H28" s="100">
        <f t="shared" si="0"/>
        <v>1.3071999999999999</v>
      </c>
      <c r="I28" s="70">
        <f>Pricing!I24</f>
        <v>1</v>
      </c>
      <c r="J28" s="69">
        <f t="shared" si="30"/>
        <v>1.3071999999999999</v>
      </c>
      <c r="K28" s="71">
        <f t="shared" si="31"/>
        <v>14.070700799999999</v>
      </c>
      <c r="L28" s="69"/>
      <c r="M28" s="72"/>
      <c r="N28" s="72"/>
      <c r="O28" s="72">
        <f t="shared" si="3"/>
        <v>0</v>
      </c>
      <c r="P28" s="73">
        <f>Pricing!M24</f>
        <v>13148.029999999999</v>
      </c>
      <c r="Q28" s="74">
        <f t="shared" si="4"/>
        <v>1314.8029999999999</v>
      </c>
      <c r="R28" s="74">
        <f t="shared" si="5"/>
        <v>1590.9116299999998</v>
      </c>
      <c r="S28" s="74">
        <f t="shared" si="6"/>
        <v>80.26872315</v>
      </c>
      <c r="T28" s="74">
        <f t="shared" si="7"/>
        <v>161.34013353149999</v>
      </c>
      <c r="U28" s="72">
        <f t="shared" si="8"/>
        <v>16295.353486681499</v>
      </c>
      <c r="V28" s="74">
        <f t="shared" si="9"/>
        <v>244.43030230022248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2618.3215999999998</v>
      </c>
      <c r="AE28" s="76">
        <f t="shared" si="43"/>
        <v>406.55737704918033</v>
      </c>
      <c r="AF28" s="338">
        <f t="shared" si="44"/>
        <v>416.64000000000004</v>
      </c>
      <c r="AG28" s="339"/>
      <c r="AH28" s="76">
        <f t="shared" si="45"/>
        <v>14.879999999999999</v>
      </c>
      <c r="AI28" s="76">
        <f t="shared" si="64"/>
        <v>49.6</v>
      </c>
      <c r="AJ28" s="76">
        <f>J28*Pricing!Q24</f>
        <v>0</v>
      </c>
      <c r="AK28" s="76">
        <f>J28*Pricing!R24</f>
        <v>0</v>
      </c>
      <c r="AL28" s="76">
        <f t="shared" si="16"/>
        <v>1407.0700799999997</v>
      </c>
      <c r="AM28" s="77">
        <f t="shared" si="17"/>
        <v>0</v>
      </c>
      <c r="AN28" s="76">
        <f t="shared" si="18"/>
        <v>1125.6560639999998</v>
      </c>
      <c r="AO28" s="72">
        <f t="shared" si="19"/>
        <v>17427.461166030902</v>
      </c>
      <c r="AP28" s="74">
        <f t="shared" si="20"/>
        <v>21784.326457538627</v>
      </c>
      <c r="AQ28" s="74">
        <f t="shared" si="21"/>
        <v>0</v>
      </c>
      <c r="AR28" s="74">
        <f t="shared" si="22"/>
        <v>29996.77755781023</v>
      </c>
      <c r="AS28" s="72">
        <f t="shared" si="23"/>
        <v>44362.835367569533</v>
      </c>
      <c r="AT28" s="72">
        <f t="shared" si="24"/>
        <v>33937.297557810234</v>
      </c>
      <c r="AU28" s="78">
        <f t="shared" si="25"/>
        <v>3152.8518727062651</v>
      </c>
      <c r="AV28" s="79">
        <f t="shared" si="26"/>
        <v>7.9348138531336512E-3</v>
      </c>
      <c r="AW28" s="80">
        <f t="shared" si="27"/>
        <v>1175.4769022578976</v>
      </c>
      <c r="AX28" s="81">
        <f t="shared" si="28"/>
        <v>1977.3749704483669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FIXED GLASS 2 NO'S</v>
      </c>
      <c r="D29" s="131" t="str">
        <f>Pricing!B25</f>
        <v>CW6</v>
      </c>
      <c r="E29" s="132" t="str">
        <f>Pricing!N25</f>
        <v>18.28MM (ST-167)</v>
      </c>
      <c r="F29" s="68">
        <f>Pricing!G25</f>
        <v>3585</v>
      </c>
      <c r="G29" s="68">
        <f>Pricing!H25</f>
        <v>2800</v>
      </c>
      <c r="H29" s="100">
        <f t="shared" si="0"/>
        <v>10.038</v>
      </c>
      <c r="I29" s="70">
        <f>Pricing!I25</f>
        <v>1</v>
      </c>
      <c r="J29" s="69">
        <f t="shared" si="30"/>
        <v>10.038</v>
      </c>
      <c r="K29" s="71">
        <f t="shared" si="31"/>
        <v>108.049032</v>
      </c>
      <c r="L29" s="69"/>
      <c r="M29" s="72"/>
      <c r="N29" s="72"/>
      <c r="O29" s="72">
        <f t="shared" si="3"/>
        <v>0</v>
      </c>
      <c r="P29" s="73">
        <f>Pricing!M25</f>
        <v>17457.39</v>
      </c>
      <c r="Q29" s="74">
        <f t="shared" si="4"/>
        <v>1745.739</v>
      </c>
      <c r="R29" s="74">
        <f t="shared" si="5"/>
        <v>2112.3441900000003</v>
      </c>
      <c r="S29" s="74">
        <f t="shared" si="6"/>
        <v>106.57736595</v>
      </c>
      <c r="T29" s="74">
        <f t="shared" si="7"/>
        <v>214.22050555950003</v>
      </c>
      <c r="U29" s="72">
        <f t="shared" si="8"/>
        <v>21636.271061509502</v>
      </c>
      <c r="V29" s="74">
        <f t="shared" si="9"/>
        <v>324.54406592264252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72805.614000000001</v>
      </c>
      <c r="AE29" s="76">
        <f t="shared" si="43"/>
        <v>1046.7213114754099</v>
      </c>
      <c r="AF29" s="338">
        <f t="shared" si="44"/>
        <v>1072.68</v>
      </c>
      <c r="AG29" s="339"/>
      <c r="AH29" s="76">
        <f t="shared" si="45"/>
        <v>38.31</v>
      </c>
      <c r="AI29" s="76">
        <f t="shared" si="64"/>
        <v>127.69999999999999</v>
      </c>
      <c r="AJ29" s="76">
        <f>J29*Pricing!Q25</f>
        <v>0</v>
      </c>
      <c r="AK29" s="76">
        <f>J29*Pricing!R25</f>
        <v>0</v>
      </c>
      <c r="AL29" s="76">
        <f t="shared" si="16"/>
        <v>10804.903199999999</v>
      </c>
      <c r="AM29" s="77">
        <f t="shared" si="17"/>
        <v>0</v>
      </c>
      <c r="AN29" s="76">
        <f t="shared" si="18"/>
        <v>8643.9225599999991</v>
      </c>
      <c r="AO29" s="72">
        <f t="shared" si="19"/>
        <v>24246.226438907543</v>
      </c>
      <c r="AP29" s="74">
        <f t="shared" si="20"/>
        <v>30307.783048634428</v>
      </c>
      <c r="AQ29" s="74">
        <f t="shared" si="21"/>
        <v>0</v>
      </c>
      <c r="AR29" s="74">
        <f t="shared" si="22"/>
        <v>5434.7489029230892</v>
      </c>
      <c r="AS29" s="72">
        <f t="shared" si="23"/>
        <v>146808.44924754195</v>
      </c>
      <c r="AT29" s="72">
        <f t="shared" si="24"/>
        <v>14625.268902923088</v>
      </c>
      <c r="AU29" s="78">
        <f t="shared" si="25"/>
        <v>1358.7206338650212</v>
      </c>
      <c r="AV29" s="79">
        <f t="shared" si="26"/>
        <v>6.0931503563154528E-2</v>
      </c>
      <c r="AW29" s="80">
        <f t="shared" si="27"/>
        <v>203.24860594245905</v>
      </c>
      <c r="AX29" s="81">
        <f t="shared" si="28"/>
        <v>1155.4720279225623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3 TRACK 2 SHUTTER SLIDING WINDOW</v>
      </c>
      <c r="D30" s="131" t="str">
        <f>Pricing!B26</f>
        <v>SW9</v>
      </c>
      <c r="E30" s="132" t="str">
        <f>Pricing!N26</f>
        <v>6MM (ST-167)</v>
      </c>
      <c r="F30" s="68">
        <f>Pricing!G26</f>
        <v>1160</v>
      </c>
      <c r="G30" s="68">
        <f>Pricing!H26</f>
        <v>1670</v>
      </c>
      <c r="H30" s="100">
        <f t="shared" si="0"/>
        <v>1.9372</v>
      </c>
      <c r="I30" s="70">
        <f>Pricing!I26</f>
        <v>2</v>
      </c>
      <c r="J30" s="69">
        <f t="shared" si="30"/>
        <v>3.8744000000000001</v>
      </c>
      <c r="K30" s="71">
        <f t="shared" si="31"/>
        <v>41.704041599999996</v>
      </c>
      <c r="L30" s="69"/>
      <c r="M30" s="72"/>
      <c r="N30" s="72"/>
      <c r="O30" s="72">
        <f t="shared" si="3"/>
        <v>0</v>
      </c>
      <c r="P30" s="73">
        <f>Pricing!M26</f>
        <v>50784.380000000005</v>
      </c>
      <c r="Q30" s="74">
        <f t="shared" si="4"/>
        <v>5078.438000000001</v>
      </c>
      <c r="R30" s="74">
        <f t="shared" si="5"/>
        <v>6144.9099800000004</v>
      </c>
      <c r="S30" s="74">
        <f t="shared" si="6"/>
        <v>310.03863990000008</v>
      </c>
      <c r="T30" s="74">
        <f t="shared" si="7"/>
        <v>623.1776661990001</v>
      </c>
      <c r="U30" s="72">
        <f t="shared" si="8"/>
        <v>62940.944286099009</v>
      </c>
      <c r="V30" s="74">
        <f t="shared" si="9"/>
        <v>944.11416429148505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7245.1279999999997</v>
      </c>
      <c r="AE30" s="76">
        <f t="shared" si="43"/>
        <v>927.86885245901635</v>
      </c>
      <c r="AF30" s="338">
        <f t="shared" si="44"/>
        <v>950.87999999999988</v>
      </c>
      <c r="AG30" s="339"/>
      <c r="AH30" s="76">
        <f t="shared" si="45"/>
        <v>33.96</v>
      </c>
      <c r="AI30" s="76">
        <f t="shared" si="64"/>
        <v>113.2</v>
      </c>
      <c r="AJ30" s="76">
        <f>J30*Pricing!Q26</f>
        <v>2085.2020799999996</v>
      </c>
      <c r="AK30" s="76">
        <f>J30*Pricing!R26</f>
        <v>0</v>
      </c>
      <c r="AL30" s="76">
        <f t="shared" si="16"/>
        <v>4170.4041599999991</v>
      </c>
      <c r="AM30" s="77">
        <f t="shared" si="17"/>
        <v>0</v>
      </c>
      <c r="AN30" s="76">
        <f t="shared" si="18"/>
        <v>3336.3233279999995</v>
      </c>
      <c r="AO30" s="72">
        <f t="shared" si="19"/>
        <v>65910.967302849516</v>
      </c>
      <c r="AP30" s="74">
        <f t="shared" si="20"/>
        <v>82388.709128561895</v>
      </c>
      <c r="AQ30" s="74">
        <f t="shared" si="21"/>
        <v>0</v>
      </c>
      <c r="AR30" s="74">
        <f t="shared" si="22"/>
        <v>38276.810972385763</v>
      </c>
      <c r="AS30" s="72">
        <f t="shared" si="23"/>
        <v>165136.7339994114</v>
      </c>
      <c r="AT30" s="72">
        <f t="shared" si="24"/>
        <v>42622.530972385764</v>
      </c>
      <c r="AU30" s="78">
        <f t="shared" si="25"/>
        <v>3959.7297447404094</v>
      </c>
      <c r="AV30" s="79">
        <f t="shared" si="26"/>
        <v>2.3517933592855735E-2</v>
      </c>
      <c r="AW30" s="80">
        <f t="shared" si="27"/>
        <v>1531.867320274074</v>
      </c>
      <c r="AX30" s="81">
        <f t="shared" si="28"/>
        <v>2427.8624244663356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FIXED GLASS</v>
      </c>
      <c r="D31" s="131" t="str">
        <f>Pricing!B27</f>
        <v>CW7</v>
      </c>
      <c r="E31" s="132" t="str">
        <f>Pricing!N27</f>
        <v>18.28MM (ST-167)</v>
      </c>
      <c r="F31" s="68">
        <f>Pricing!G27</f>
        <v>2300</v>
      </c>
      <c r="G31" s="68">
        <f>Pricing!H27</f>
        <v>2380</v>
      </c>
      <c r="H31" s="100">
        <f t="shared" si="0"/>
        <v>5.4740000000000002</v>
      </c>
      <c r="I31" s="70">
        <f>Pricing!I27</f>
        <v>1</v>
      </c>
      <c r="J31" s="69">
        <f t="shared" si="30"/>
        <v>5.4740000000000002</v>
      </c>
      <c r="K31" s="71">
        <f t="shared" si="31"/>
        <v>58.922136000000002</v>
      </c>
      <c r="L31" s="69"/>
      <c r="M31" s="72"/>
      <c r="N31" s="72"/>
      <c r="O31" s="72">
        <f t="shared" si="3"/>
        <v>0</v>
      </c>
      <c r="P31" s="73">
        <f>Pricing!M27</f>
        <v>5946.9500000000007</v>
      </c>
      <c r="Q31" s="74">
        <f t="shared" si="4"/>
        <v>594.69500000000005</v>
      </c>
      <c r="R31" s="74">
        <f t="shared" si="5"/>
        <v>719.58095000000003</v>
      </c>
      <c r="S31" s="74">
        <f t="shared" si="6"/>
        <v>36.306129750000004</v>
      </c>
      <c r="T31" s="74">
        <f t="shared" si="7"/>
        <v>72.975320797500004</v>
      </c>
      <c r="U31" s="72">
        <f t="shared" si="8"/>
        <v>7370.5074005474999</v>
      </c>
      <c r="V31" s="74">
        <f t="shared" si="9"/>
        <v>110.55761100821249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39702.921999999999</v>
      </c>
      <c r="AE31" s="76">
        <f t="shared" si="43"/>
        <v>767.21311475409834</v>
      </c>
      <c r="AF31" s="338">
        <f t="shared" si="44"/>
        <v>786.24</v>
      </c>
      <c r="AG31" s="339"/>
      <c r="AH31" s="76">
        <f t="shared" si="45"/>
        <v>28.08</v>
      </c>
      <c r="AI31" s="76">
        <f t="shared" si="64"/>
        <v>93.6</v>
      </c>
      <c r="AJ31" s="76">
        <f>J31*Pricing!Q27</f>
        <v>0</v>
      </c>
      <c r="AK31" s="76">
        <f>J31*Pricing!R27</f>
        <v>0</v>
      </c>
      <c r="AL31" s="76">
        <f t="shared" si="16"/>
        <v>5892.2135999999991</v>
      </c>
      <c r="AM31" s="77">
        <f t="shared" si="17"/>
        <v>0</v>
      </c>
      <c r="AN31" s="76">
        <f t="shared" si="18"/>
        <v>4713.7708799999991</v>
      </c>
      <c r="AO31" s="72">
        <f t="shared" si="19"/>
        <v>9156.1981263098132</v>
      </c>
      <c r="AP31" s="74">
        <f t="shared" si="20"/>
        <v>11445.247657887267</v>
      </c>
      <c r="AQ31" s="74">
        <f t="shared" si="21"/>
        <v>0</v>
      </c>
      <c r="AR31" s="74">
        <f t="shared" si="22"/>
        <v>3763.5085466198539</v>
      </c>
      <c r="AS31" s="72">
        <f t="shared" si="23"/>
        <v>70910.352264197078</v>
      </c>
      <c r="AT31" s="72">
        <f t="shared" si="24"/>
        <v>12954.028546619853</v>
      </c>
      <c r="AU31" s="78">
        <f t="shared" si="25"/>
        <v>1203.4586163712238</v>
      </c>
      <c r="AV31" s="79">
        <f t="shared" si="26"/>
        <v>3.3227640018400867E-2</v>
      </c>
      <c r="AW31" s="80">
        <f t="shared" si="27"/>
        <v>126.96527178776601</v>
      </c>
      <c r="AX31" s="81">
        <f t="shared" si="28"/>
        <v>1076.4933445834577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 2 NO'S</v>
      </c>
      <c r="D32" s="131" t="str">
        <f>Pricing!B28</f>
        <v>CW8</v>
      </c>
      <c r="E32" s="132" t="str">
        <f>Pricing!N28</f>
        <v>18.28MM (ST-167)</v>
      </c>
      <c r="F32" s="68">
        <f>Pricing!G28</f>
        <v>3060</v>
      </c>
      <c r="G32" s="68">
        <f>Pricing!H28</f>
        <v>2480</v>
      </c>
      <c r="H32" s="100">
        <f t="shared" si="0"/>
        <v>7.5888</v>
      </c>
      <c r="I32" s="70">
        <f>Pricing!I28</f>
        <v>1</v>
      </c>
      <c r="J32" s="69">
        <f t="shared" si="30"/>
        <v>7.5888</v>
      </c>
      <c r="K32" s="71">
        <f t="shared" si="31"/>
        <v>81.685843199999994</v>
      </c>
      <c r="L32" s="69"/>
      <c r="M32" s="72"/>
      <c r="N32" s="72"/>
      <c r="O32" s="72">
        <f t="shared" si="3"/>
        <v>0</v>
      </c>
      <c r="P32" s="73">
        <f>Pricing!M28</f>
        <v>15422.23</v>
      </c>
      <c r="Q32" s="74">
        <f t="shared" si="4"/>
        <v>1542.223</v>
      </c>
      <c r="R32" s="74">
        <f t="shared" si="5"/>
        <v>1866.0898300000001</v>
      </c>
      <c r="S32" s="74">
        <f t="shared" si="6"/>
        <v>94.152714150000008</v>
      </c>
      <c r="T32" s="74">
        <f t="shared" si="7"/>
        <v>189.24695544150003</v>
      </c>
      <c r="U32" s="72">
        <f t="shared" si="8"/>
        <v>19113.942499591503</v>
      </c>
      <c r="V32" s="74">
        <f t="shared" si="9"/>
        <v>286.70913749387256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55041.566400000003</v>
      </c>
      <c r="AE32" s="76">
        <f t="shared" si="43"/>
        <v>908.19672131147547</v>
      </c>
      <c r="AF32" s="338">
        <f t="shared" si="44"/>
        <v>930.71999999999991</v>
      </c>
      <c r="AG32" s="339"/>
      <c r="AH32" s="76">
        <f t="shared" si="45"/>
        <v>33.24</v>
      </c>
      <c r="AI32" s="76">
        <f t="shared" si="64"/>
        <v>110.8</v>
      </c>
      <c r="AJ32" s="76">
        <f>J32*Pricing!Q28</f>
        <v>0</v>
      </c>
      <c r="AK32" s="76">
        <f>J32*Pricing!R28</f>
        <v>0</v>
      </c>
      <c r="AL32" s="76">
        <f t="shared" si="16"/>
        <v>8168.584319999999</v>
      </c>
      <c r="AM32" s="77">
        <f t="shared" si="17"/>
        <v>0</v>
      </c>
      <c r="AN32" s="76">
        <f t="shared" si="18"/>
        <v>6534.867455999999</v>
      </c>
      <c r="AO32" s="72">
        <f t="shared" si="19"/>
        <v>21383.60835839685</v>
      </c>
      <c r="AP32" s="74">
        <f t="shared" si="20"/>
        <v>26729.510447996065</v>
      </c>
      <c r="AQ32" s="74">
        <f t="shared" si="21"/>
        <v>0</v>
      </c>
      <c r="AR32" s="74">
        <f t="shared" si="22"/>
        <v>6340.0167096764853</v>
      </c>
      <c r="AS32" s="72">
        <f t="shared" si="23"/>
        <v>117858.13698239291</v>
      </c>
      <c r="AT32" s="72">
        <f t="shared" si="24"/>
        <v>15530.536709676486</v>
      </c>
      <c r="AU32" s="78">
        <f t="shared" si="25"/>
        <v>1442.8220651873362</v>
      </c>
      <c r="AV32" s="79">
        <f t="shared" si="26"/>
        <v>4.6064653739795479E-2</v>
      </c>
      <c r="AW32" s="80">
        <f t="shared" si="27"/>
        <v>237.50323038944128</v>
      </c>
      <c r="AX32" s="81">
        <f t="shared" si="28"/>
        <v>1205.3188347978949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FIXED GLASS 2 NO'S</v>
      </c>
      <c r="D33" s="131" t="str">
        <f>Pricing!B29</f>
        <v>CW9</v>
      </c>
      <c r="E33" s="132" t="str">
        <f>Pricing!N29</f>
        <v>18.28MM (ST-167)</v>
      </c>
      <c r="F33" s="68">
        <f>Pricing!G29</f>
        <v>2650</v>
      </c>
      <c r="G33" s="68">
        <f>Pricing!H29</f>
        <v>2480</v>
      </c>
      <c r="H33" s="100">
        <f t="shared" si="0"/>
        <v>6.5720000000000001</v>
      </c>
      <c r="I33" s="70">
        <f>Pricing!I29</f>
        <v>2</v>
      </c>
      <c r="J33" s="69">
        <f t="shared" si="30"/>
        <v>13.144</v>
      </c>
      <c r="K33" s="71">
        <f t="shared" si="31"/>
        <v>141.48201599999999</v>
      </c>
      <c r="L33" s="69"/>
      <c r="M33" s="72"/>
      <c r="N33" s="72"/>
      <c r="O33" s="72">
        <f t="shared" si="3"/>
        <v>0</v>
      </c>
      <c r="P33" s="73">
        <f>Pricing!M29</f>
        <v>25039.440000000002</v>
      </c>
      <c r="Q33" s="74">
        <f t="shared" ref="Q33:Q38" si="65">P33*$Q$6</f>
        <v>2503.9440000000004</v>
      </c>
      <c r="R33" s="74">
        <f t="shared" ref="R33:R38" si="66">(P33+Q33)*$R$6</f>
        <v>3029.7722400000002</v>
      </c>
      <c r="S33" s="74">
        <f t="shared" ref="S33:S38" si="67">(P33+Q33+R33)*$S$6</f>
        <v>152.86578120000001</v>
      </c>
      <c r="T33" s="74">
        <f t="shared" ref="T33:T38" si="68">(P33+Q33+R33+S33)*$T$6</f>
        <v>307.26022021200004</v>
      </c>
      <c r="U33" s="72">
        <f t="shared" ref="U33:U38" si="69">SUM(P33:T33)</f>
        <v>31033.282241412002</v>
      </c>
      <c r="V33" s="74">
        <f t="shared" ref="V33:V38" si="70">U33*$V$6</f>
        <v>465.49923362118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95333.432000000001</v>
      </c>
      <c r="AE33" s="76">
        <f t="shared" si="43"/>
        <v>1681.967213114754</v>
      </c>
      <c r="AF33" s="338">
        <f t="shared" si="44"/>
        <v>1723.68</v>
      </c>
      <c r="AG33" s="339"/>
      <c r="AH33" s="76">
        <f t="shared" si="45"/>
        <v>61.56</v>
      </c>
      <c r="AI33" s="76">
        <f t="shared" si="15"/>
        <v>205.2</v>
      </c>
      <c r="AJ33" s="76">
        <f>J33*Pricing!Q29</f>
        <v>0</v>
      </c>
      <c r="AK33" s="76">
        <f>J33*Pricing!R29</f>
        <v>0</v>
      </c>
      <c r="AL33" s="76">
        <f t="shared" si="16"/>
        <v>14148.201599999999</v>
      </c>
      <c r="AM33" s="77">
        <f t="shared" si="17"/>
        <v>0</v>
      </c>
      <c r="AN33" s="76">
        <f t="shared" si="18"/>
        <v>11318.561279999998</v>
      </c>
      <c r="AO33" s="72">
        <f t="shared" si="19"/>
        <v>35171.188688147929</v>
      </c>
      <c r="AP33" s="74">
        <f t="shared" si="20"/>
        <v>43963.985860184912</v>
      </c>
      <c r="AQ33" s="74">
        <f t="shared" ref="AQ33:AQ38" si="76">(AO33+AP33)*$AQ$6</f>
        <v>0</v>
      </c>
      <c r="AR33" s="74">
        <f t="shared" si="22"/>
        <v>6020.6310520642755</v>
      </c>
      <c r="AS33" s="72">
        <f t="shared" si="23"/>
        <v>199935.36942833284</v>
      </c>
      <c r="AT33" s="72">
        <f t="shared" si="24"/>
        <v>15211.151052064275</v>
      </c>
      <c r="AU33" s="78">
        <f t="shared" ref="AU33:AU38" si="77">AT33/10.764</f>
        <v>1413.1504136068631</v>
      </c>
      <c r="AV33" s="79">
        <f t="shared" si="26"/>
        <v>7.9785184581998708E-2</v>
      </c>
      <c r="AW33" s="80">
        <f t="shared" si="27"/>
        <v>222.63452533100167</v>
      </c>
      <c r="AX33" s="81">
        <f t="shared" si="28"/>
        <v>1190.5158882758615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FRENCH CASEMENT WINDOW</v>
      </c>
      <c r="D34" s="131" t="str">
        <f>Pricing!B30</f>
        <v>CW10</v>
      </c>
      <c r="E34" s="132" t="str">
        <f>Pricing!N30</f>
        <v>18.28MM (ST-167)</v>
      </c>
      <c r="F34" s="68">
        <f>Pricing!G30</f>
        <v>1220</v>
      </c>
      <c r="G34" s="68">
        <f>Pricing!H30</f>
        <v>1220</v>
      </c>
      <c r="H34" s="100">
        <f t="shared" si="0"/>
        <v>1.4883999999999999</v>
      </c>
      <c r="I34" s="70">
        <f>Pricing!I30</f>
        <v>1</v>
      </c>
      <c r="J34" s="69">
        <f t="shared" si="30"/>
        <v>1.4883999999999999</v>
      </c>
      <c r="K34" s="71">
        <f t="shared" si="31"/>
        <v>16.021137599999999</v>
      </c>
      <c r="L34" s="69"/>
      <c r="M34" s="72"/>
      <c r="N34" s="72"/>
      <c r="O34" s="72">
        <f t="shared" si="3"/>
        <v>0</v>
      </c>
      <c r="P34" s="73">
        <f>Pricing!M30</f>
        <v>15947.619999999999</v>
      </c>
      <c r="Q34" s="74">
        <f t="shared" si="65"/>
        <v>1594.7619999999999</v>
      </c>
      <c r="R34" s="74">
        <f t="shared" si="66"/>
        <v>1929.6620199999998</v>
      </c>
      <c r="S34" s="74">
        <f t="shared" si="67"/>
        <v>97.360220099999992</v>
      </c>
      <c r="T34" s="74">
        <f t="shared" si="68"/>
        <v>195.69404240099996</v>
      </c>
      <c r="U34" s="72">
        <f t="shared" si="69"/>
        <v>19765.098282500996</v>
      </c>
      <c r="V34" s="74">
        <f t="shared" si="70"/>
        <v>296.47647423751494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10795.3652</v>
      </c>
      <c r="AE34" s="76">
        <f t="shared" si="43"/>
        <v>400</v>
      </c>
      <c r="AF34" s="338">
        <f t="shared" si="44"/>
        <v>409.92</v>
      </c>
      <c r="AG34" s="339"/>
      <c r="AH34" s="76">
        <f t="shared" si="45"/>
        <v>14.64</v>
      </c>
      <c r="AI34" s="76">
        <f t="shared" si="15"/>
        <v>48.8</v>
      </c>
      <c r="AJ34" s="76">
        <f>J34*Pricing!Q30</f>
        <v>0</v>
      </c>
      <c r="AK34" s="76">
        <f>J34*Pricing!R30</f>
        <v>0</v>
      </c>
      <c r="AL34" s="76">
        <f t="shared" si="16"/>
        <v>1602.1137599999997</v>
      </c>
      <c r="AM34" s="77">
        <f t="shared" si="17"/>
        <v>0</v>
      </c>
      <c r="AN34" s="76">
        <f t="shared" si="18"/>
        <v>1281.6910079999998</v>
      </c>
      <c r="AO34" s="72">
        <f t="shared" si="19"/>
        <v>20934.934756738512</v>
      </c>
      <c r="AP34" s="74">
        <f t="shared" si="20"/>
        <v>26168.66844592314</v>
      </c>
      <c r="AQ34" s="74">
        <f t="shared" si="76"/>
        <v>0</v>
      </c>
      <c r="AR34" s="74">
        <f t="shared" si="22"/>
        <v>31647.140017912963</v>
      </c>
      <c r="AS34" s="72">
        <f t="shared" si="23"/>
        <v>60782.773170661647</v>
      </c>
      <c r="AT34" s="72">
        <f t="shared" si="24"/>
        <v>40837.66001791296</v>
      </c>
      <c r="AU34" s="78">
        <f t="shared" si="77"/>
        <v>3793.9111870970792</v>
      </c>
      <c r="AV34" s="79">
        <f t="shared" si="26"/>
        <v>9.0347130806335118E-3</v>
      </c>
      <c r="AW34" s="80">
        <f t="shared" si="27"/>
        <v>1252.1941486064331</v>
      </c>
      <c r="AX34" s="81">
        <f t="shared" si="28"/>
        <v>2541.7170384906462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3 TRACK 2 SHUTTER SLIDING WINDOW</v>
      </c>
      <c r="D35" s="131" t="str">
        <f>Pricing!B31</f>
        <v>SW10</v>
      </c>
      <c r="E35" s="132" t="str">
        <f>Pricing!N31</f>
        <v>6MM (ST-167)</v>
      </c>
      <c r="F35" s="68">
        <f>Pricing!G31</f>
        <v>2440</v>
      </c>
      <c r="G35" s="68">
        <f>Pricing!H31</f>
        <v>1220</v>
      </c>
      <c r="H35" s="100">
        <f t="shared" si="0"/>
        <v>2.9767999999999999</v>
      </c>
      <c r="I35" s="70">
        <f>Pricing!I31</f>
        <v>2</v>
      </c>
      <c r="J35" s="69">
        <f t="shared" si="30"/>
        <v>5.9535999999999998</v>
      </c>
      <c r="K35" s="71">
        <f t="shared" si="31"/>
        <v>64.084550399999998</v>
      </c>
      <c r="L35" s="69"/>
      <c r="M35" s="72"/>
      <c r="N35" s="72"/>
      <c r="O35" s="72">
        <f t="shared" si="3"/>
        <v>0</v>
      </c>
      <c r="P35" s="73">
        <f>Pricing!M31</f>
        <v>26583.239999999998</v>
      </c>
      <c r="Q35" s="74">
        <f t="shared" si="65"/>
        <v>2658.3240000000001</v>
      </c>
      <c r="R35" s="74">
        <f t="shared" si="66"/>
        <v>3216.57204</v>
      </c>
      <c r="S35" s="74">
        <f t="shared" si="67"/>
        <v>162.2906802</v>
      </c>
      <c r="T35" s="74">
        <f t="shared" si="68"/>
        <v>326.20426720199998</v>
      </c>
      <c r="U35" s="72">
        <f t="shared" si="69"/>
        <v>32946.630987402001</v>
      </c>
      <c r="V35" s="74">
        <f t="shared" si="70"/>
        <v>494.19946481103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11133.232</v>
      </c>
      <c r="AE35" s="76">
        <f t="shared" si="43"/>
        <v>1200</v>
      </c>
      <c r="AF35" s="338">
        <f t="shared" si="44"/>
        <v>1229.76</v>
      </c>
      <c r="AG35" s="339"/>
      <c r="AH35" s="76">
        <f t="shared" si="45"/>
        <v>43.92</v>
      </c>
      <c r="AI35" s="76">
        <f t="shared" si="15"/>
        <v>146.4</v>
      </c>
      <c r="AJ35" s="76">
        <f>J35*Pricing!Q31</f>
        <v>3204.2275199999995</v>
      </c>
      <c r="AK35" s="76">
        <f>J35*Pricing!R31</f>
        <v>0</v>
      </c>
      <c r="AL35" s="76">
        <f t="shared" si="16"/>
        <v>6408.4550399999989</v>
      </c>
      <c r="AM35" s="77">
        <f t="shared" si="17"/>
        <v>0</v>
      </c>
      <c r="AN35" s="76">
        <f t="shared" si="18"/>
        <v>5126.7640319999991</v>
      </c>
      <c r="AO35" s="72">
        <f t="shared" si="19"/>
        <v>36060.910452213022</v>
      </c>
      <c r="AP35" s="74">
        <f t="shared" si="20"/>
        <v>45076.138065266277</v>
      </c>
      <c r="AQ35" s="74">
        <f t="shared" si="76"/>
        <v>0</v>
      </c>
      <c r="AR35" s="74">
        <f t="shared" si="22"/>
        <v>13628.233088799936</v>
      </c>
      <c r="AS35" s="72">
        <f t="shared" si="23"/>
        <v>107009.7271094793</v>
      </c>
      <c r="AT35" s="72">
        <f t="shared" si="24"/>
        <v>17973.953088799935</v>
      </c>
      <c r="AU35" s="78">
        <f t="shared" si="77"/>
        <v>1669.8209855815624</v>
      </c>
      <c r="AV35" s="79">
        <f t="shared" si="26"/>
        <v>3.6138852322534047E-2</v>
      </c>
      <c r="AW35" s="80">
        <f t="shared" si="27"/>
        <v>521.82359466491675</v>
      </c>
      <c r="AX35" s="81">
        <f t="shared" si="28"/>
        <v>1147.9973909166456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3 TRACK 2 SHUTTER SLIDING WINDOW</v>
      </c>
      <c r="D36" s="131" t="str">
        <f>Pricing!B32</f>
        <v>SW11</v>
      </c>
      <c r="E36" s="132" t="str">
        <f>Pricing!N32</f>
        <v>6MM (ST-167)</v>
      </c>
      <c r="F36" s="68">
        <f>Pricing!G32</f>
        <v>915</v>
      </c>
      <c r="G36" s="68">
        <f>Pricing!H32</f>
        <v>1220</v>
      </c>
      <c r="H36" s="100">
        <f t="shared" si="0"/>
        <v>1.1163000000000001</v>
      </c>
      <c r="I36" s="70">
        <f>Pricing!I32</f>
        <v>2</v>
      </c>
      <c r="J36" s="69">
        <f t="shared" si="30"/>
        <v>2.2326000000000001</v>
      </c>
      <c r="K36" s="71">
        <f t="shared" si="31"/>
        <v>24.031706400000001</v>
      </c>
      <c r="L36" s="69"/>
      <c r="M36" s="72"/>
      <c r="N36" s="72"/>
      <c r="O36" s="72">
        <f>N36*M36*L36/1000000</f>
        <v>0</v>
      </c>
      <c r="P36" s="73">
        <f>Pricing!M32</f>
        <v>19490.059999999998</v>
      </c>
      <c r="Q36" s="74">
        <f t="shared" si="65"/>
        <v>1949.0059999999999</v>
      </c>
      <c r="R36" s="74">
        <f t="shared" si="66"/>
        <v>2358.2972599999998</v>
      </c>
      <c r="S36" s="74">
        <f t="shared" si="67"/>
        <v>118.98681629999999</v>
      </c>
      <c r="T36" s="74">
        <f t="shared" si="68"/>
        <v>239.16350076299997</v>
      </c>
      <c r="U36" s="72">
        <f t="shared" si="69"/>
        <v>24155.513577062997</v>
      </c>
      <c r="V36" s="74">
        <f t="shared" si="70"/>
        <v>362.33270365594495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4174.9620000000004</v>
      </c>
      <c r="AE36" s="76">
        <f t="shared" si="43"/>
        <v>700</v>
      </c>
      <c r="AF36" s="338">
        <f t="shared" si="44"/>
        <v>717.35999999999979</v>
      </c>
      <c r="AG36" s="339"/>
      <c r="AH36" s="76">
        <f t="shared" si="45"/>
        <v>25.619999999999997</v>
      </c>
      <c r="AI36" s="76">
        <f t="shared" si="15"/>
        <v>85.399999999999991</v>
      </c>
      <c r="AJ36" s="76">
        <f>J36*Pricing!Q32</f>
        <v>1201.5853199999999</v>
      </c>
      <c r="AK36" s="76">
        <f>J36*Pricing!R32</f>
        <v>0</v>
      </c>
      <c r="AL36" s="76">
        <f t="shared" si="16"/>
        <v>2403.1706399999998</v>
      </c>
      <c r="AM36" s="77">
        <f t="shared" si="17"/>
        <v>0</v>
      </c>
      <c r="AN36" s="76">
        <f t="shared" si="18"/>
        <v>1922.5365119999999</v>
      </c>
      <c r="AO36" s="72">
        <f t="shared" si="19"/>
        <v>26046.226280718944</v>
      </c>
      <c r="AP36" s="74">
        <f t="shared" si="20"/>
        <v>32557.782850898679</v>
      </c>
      <c r="AQ36" s="74">
        <f t="shared" si="76"/>
        <v>0</v>
      </c>
      <c r="AR36" s="74">
        <f t="shared" si="22"/>
        <v>26249.220250657359</v>
      </c>
      <c r="AS36" s="72">
        <f t="shared" si="23"/>
        <v>68306.263603617626</v>
      </c>
      <c r="AT36" s="72">
        <f t="shared" si="24"/>
        <v>30594.940250657361</v>
      </c>
      <c r="AU36" s="78">
        <f t="shared" si="77"/>
        <v>2842.3393023650465</v>
      </c>
      <c r="AV36" s="79">
        <f t="shared" si="26"/>
        <v>1.3552069620950269E-2</v>
      </c>
      <c r="AW36" s="80">
        <f t="shared" si="27"/>
        <v>1020.2291036943985</v>
      </c>
      <c r="AX36" s="81">
        <f t="shared" si="28"/>
        <v>1822.1101986706476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TOP HUNG WINDOW</v>
      </c>
      <c r="D37" s="131" t="str">
        <f>Pricing!B33</f>
        <v>V2</v>
      </c>
      <c r="E37" s="132" t="str">
        <f>Pricing!N33</f>
        <v>6MM (F)</v>
      </c>
      <c r="F37" s="68">
        <f>Pricing!G33</f>
        <v>760</v>
      </c>
      <c r="G37" s="68">
        <f>Pricing!H33</f>
        <v>910</v>
      </c>
      <c r="H37" s="100">
        <f t="shared" si="0"/>
        <v>0.69159999999999999</v>
      </c>
      <c r="I37" s="70">
        <f>Pricing!I33</f>
        <v>2</v>
      </c>
      <c r="J37" s="69">
        <f t="shared" si="30"/>
        <v>1.3832</v>
      </c>
      <c r="K37" s="71">
        <f t="shared" si="31"/>
        <v>14.888764799999999</v>
      </c>
      <c r="L37" s="69"/>
      <c r="M37" s="72"/>
      <c r="N37" s="72"/>
      <c r="O37" s="72">
        <f t="shared" ref="O37:O100" si="79">N37*M37*L37/1000000</f>
        <v>0</v>
      </c>
      <c r="P37" s="73">
        <f>Pricing!M33</f>
        <v>20358.240000000002</v>
      </c>
      <c r="Q37" s="74">
        <f t="shared" si="65"/>
        <v>2035.8240000000003</v>
      </c>
      <c r="R37" s="74">
        <f t="shared" si="66"/>
        <v>2463.3470400000001</v>
      </c>
      <c r="S37" s="74">
        <f t="shared" si="67"/>
        <v>124.28705520000001</v>
      </c>
      <c r="T37" s="74">
        <f t="shared" si="68"/>
        <v>249.81698095200002</v>
      </c>
      <c r="U37" s="72">
        <f t="shared" si="69"/>
        <v>25231.515076152002</v>
      </c>
      <c r="V37" s="74">
        <f t="shared" si="70"/>
        <v>378.47272614228001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2770.5495999999998</v>
      </c>
      <c r="AE37" s="76">
        <f t="shared" si="43"/>
        <v>547.54098360655746</v>
      </c>
      <c r="AF37" s="338">
        <f t="shared" si="44"/>
        <v>561.12</v>
      </c>
      <c r="AG37" s="339"/>
      <c r="AH37" s="76">
        <f t="shared" si="45"/>
        <v>20.04</v>
      </c>
      <c r="AI37" s="76">
        <f t="shared" si="15"/>
        <v>66.8</v>
      </c>
      <c r="AJ37" s="76">
        <f>J37*Pricing!Q33</f>
        <v>0</v>
      </c>
      <c r="AK37" s="76">
        <f>J37*Pricing!R33</f>
        <v>0</v>
      </c>
      <c r="AL37" s="76">
        <f t="shared" si="16"/>
        <v>1488.8764799999999</v>
      </c>
      <c r="AM37" s="77">
        <f t="shared" si="17"/>
        <v>0</v>
      </c>
      <c r="AN37" s="76">
        <f t="shared" si="18"/>
        <v>1191.1011839999999</v>
      </c>
      <c r="AO37" s="72">
        <f t="shared" si="19"/>
        <v>26805.488785900841</v>
      </c>
      <c r="AP37" s="74">
        <f t="shared" si="20"/>
        <v>33506.860982376049</v>
      </c>
      <c r="AQ37" s="74">
        <f t="shared" si="76"/>
        <v>0</v>
      </c>
      <c r="AR37" s="74">
        <f t="shared" si="22"/>
        <v>43603.49173530718</v>
      </c>
      <c r="AS37" s="72">
        <f t="shared" si="23"/>
        <v>65762.877032276898</v>
      </c>
      <c r="AT37" s="72">
        <f t="shared" si="24"/>
        <v>47544.011735307184</v>
      </c>
      <c r="AU37" s="78">
        <f t="shared" si="77"/>
        <v>4416.9464637037518</v>
      </c>
      <c r="AV37" s="79">
        <f t="shared" si="26"/>
        <v>8.396140239943747E-3</v>
      </c>
      <c r="AW37" s="80">
        <f t="shared" si="27"/>
        <v>1720.0881433961724</v>
      </c>
      <c r="AX37" s="81">
        <f t="shared" si="28"/>
        <v>2696.8583203075791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 t="str">
        <f>Pricing!D34</f>
        <v>3 TRACK 2 SHUTTER SLIDING WINDOW</v>
      </c>
      <c r="D38" s="131" t="str">
        <f>Pricing!B34</f>
        <v>SW12</v>
      </c>
      <c r="E38" s="132" t="str">
        <f>Pricing!N34</f>
        <v>6MM</v>
      </c>
      <c r="F38" s="68">
        <f>Pricing!G34</f>
        <v>1220</v>
      </c>
      <c r="G38" s="68">
        <f>Pricing!H34</f>
        <v>1350</v>
      </c>
      <c r="H38" s="100">
        <f t="shared" si="0"/>
        <v>1.647</v>
      </c>
      <c r="I38" s="70">
        <f>Pricing!I34</f>
        <v>1</v>
      </c>
      <c r="J38" s="69">
        <f t="shared" si="30"/>
        <v>1.647</v>
      </c>
      <c r="K38" s="71">
        <f t="shared" si="31"/>
        <v>17.728307999999998</v>
      </c>
      <c r="L38" s="69"/>
      <c r="M38" s="72"/>
      <c r="N38" s="72"/>
      <c r="O38" s="72">
        <f t="shared" si="79"/>
        <v>0</v>
      </c>
      <c r="P38" s="73">
        <f>Pricing!M34</f>
        <v>10973.43</v>
      </c>
      <c r="Q38" s="74">
        <f t="shared" si="65"/>
        <v>1097.3430000000001</v>
      </c>
      <c r="R38" s="74">
        <f t="shared" si="66"/>
        <v>1327.7850300000002</v>
      </c>
      <c r="S38" s="74">
        <f t="shared" si="67"/>
        <v>66.992790150000005</v>
      </c>
      <c r="T38" s="74">
        <f t="shared" si="68"/>
        <v>134.65550820150003</v>
      </c>
      <c r="U38" s="72">
        <f t="shared" si="69"/>
        <v>13600.206328351502</v>
      </c>
      <c r="V38" s="74">
        <f t="shared" si="70"/>
        <v>204.00309492527251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1650.2940000000001</v>
      </c>
      <c r="AE38" s="76">
        <f t="shared" si="43"/>
        <v>421.31147540983608</v>
      </c>
      <c r="AF38" s="338">
        <f t="shared" si="44"/>
        <v>431.75999999999993</v>
      </c>
      <c r="AG38" s="339"/>
      <c r="AH38" s="76">
        <f t="shared" si="45"/>
        <v>15.419999999999998</v>
      </c>
      <c r="AI38" s="76">
        <f t="shared" si="15"/>
        <v>51.4</v>
      </c>
      <c r="AJ38" s="76">
        <f>J38*Pricing!Q34</f>
        <v>886.41539999999986</v>
      </c>
      <c r="AK38" s="76">
        <f>J38*Pricing!R34</f>
        <v>0</v>
      </c>
      <c r="AL38" s="76">
        <f t="shared" si="16"/>
        <v>1772.8307999999997</v>
      </c>
      <c r="AM38" s="77">
        <f t="shared" si="17"/>
        <v>0</v>
      </c>
      <c r="AN38" s="76">
        <f t="shared" si="18"/>
        <v>1418.2646399999999</v>
      </c>
      <c r="AO38" s="72">
        <f t="shared" si="19"/>
        <v>14724.100898686611</v>
      </c>
      <c r="AP38" s="74">
        <f t="shared" si="20"/>
        <v>18405.126123358263</v>
      </c>
      <c r="AQ38" s="74">
        <f t="shared" si="76"/>
        <v>0</v>
      </c>
      <c r="AR38" s="74">
        <f t="shared" si="22"/>
        <v>20114.891938096462</v>
      </c>
      <c r="AS38" s="72">
        <f t="shared" si="23"/>
        <v>38857.031862044874</v>
      </c>
      <c r="AT38" s="72">
        <f t="shared" si="24"/>
        <v>23592.611938096463</v>
      </c>
      <c r="AU38" s="78">
        <f t="shared" si="77"/>
        <v>2191.8071291431124</v>
      </c>
      <c r="AV38" s="79">
        <f t="shared" si="26"/>
        <v>9.9974284088977378E-3</v>
      </c>
      <c r="AW38" s="80">
        <f t="shared" si="27"/>
        <v>778.65351974236773</v>
      </c>
      <c r="AX38" s="81">
        <f t="shared" si="28"/>
        <v>1413.1536094007447</v>
      </c>
      <c r="AY38" s="82"/>
      <c r="AZ38" s="83">
        <f t="shared" si="78"/>
        <v>0</v>
      </c>
      <c r="BB38" s="84"/>
    </row>
    <row r="39" spans="2:54" ht="34.5" customHeight="1" thickTop="1" thickBot="1">
      <c r="B39" s="129">
        <f>Pricing!A35</f>
        <v>32</v>
      </c>
      <c r="C39" s="130" t="str">
        <f>Pricing!D35</f>
        <v>3 TRACK 2 SHUTTER SLIDING WINDOW</v>
      </c>
      <c r="D39" s="131" t="str">
        <f>Pricing!B35</f>
        <v>SW13</v>
      </c>
      <c r="E39" s="132" t="str">
        <f>Pricing!N35</f>
        <v>6MM</v>
      </c>
      <c r="F39" s="68">
        <f>Pricing!G35</f>
        <v>1220</v>
      </c>
      <c r="G39" s="68">
        <f>Pricing!H35</f>
        <v>1350</v>
      </c>
      <c r="H39" s="100">
        <f t="shared" si="0"/>
        <v>1.647</v>
      </c>
      <c r="I39" s="70">
        <f>Pricing!I35</f>
        <v>2</v>
      </c>
      <c r="J39" s="69">
        <f t="shared" si="30"/>
        <v>3.294</v>
      </c>
      <c r="K39" s="71">
        <f t="shared" si="31"/>
        <v>35.456615999999997</v>
      </c>
      <c r="L39" s="69"/>
      <c r="M39" s="72"/>
      <c r="N39" s="72"/>
      <c r="O39" s="72">
        <f t="shared" si="79"/>
        <v>0</v>
      </c>
      <c r="P39" s="73">
        <f>Pricing!M35</f>
        <v>21946.86</v>
      </c>
      <c r="Q39" s="74">
        <f t="shared" si="4"/>
        <v>2194.6860000000001</v>
      </c>
      <c r="R39" s="74">
        <f t="shared" si="5"/>
        <v>2655.5700600000005</v>
      </c>
      <c r="S39" s="74">
        <f t="shared" si="6"/>
        <v>133.98558030000001</v>
      </c>
      <c r="T39" s="74">
        <f t="shared" si="7"/>
        <v>269.31101640300005</v>
      </c>
      <c r="U39" s="72">
        <f t="shared" si="8"/>
        <v>27200.412656703003</v>
      </c>
      <c r="V39" s="74">
        <f t="shared" si="9"/>
        <v>408.00618985054501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3300.5880000000002</v>
      </c>
      <c r="AE39" s="76">
        <f t="shared" si="43"/>
        <v>842.62295081967216</v>
      </c>
      <c r="AF39" s="338">
        <f t="shared" si="44"/>
        <v>863.51999999999987</v>
      </c>
      <c r="AG39" s="339"/>
      <c r="AH39" s="76">
        <f t="shared" si="45"/>
        <v>30.839999999999996</v>
      </c>
      <c r="AI39" s="76">
        <f t="shared" ref="AI39:AI44" si="80">(((F39+G39)*2*I39)/1000)*2*$AI$7</f>
        <v>102.8</v>
      </c>
      <c r="AJ39" s="76">
        <f>J39*Pricing!Q35</f>
        <v>1772.8307999999997</v>
      </c>
      <c r="AK39" s="76">
        <f>J39*Pricing!R35</f>
        <v>0</v>
      </c>
      <c r="AL39" s="76">
        <f t="shared" si="16"/>
        <v>3545.6615999999995</v>
      </c>
      <c r="AM39" s="77">
        <f t="shared" si="17"/>
        <v>0</v>
      </c>
      <c r="AN39" s="76">
        <f t="shared" si="18"/>
        <v>2836.5292799999997</v>
      </c>
      <c r="AO39" s="72">
        <f t="shared" si="19"/>
        <v>29448.201797373222</v>
      </c>
      <c r="AP39" s="74">
        <f t="shared" si="20"/>
        <v>36810.252246716525</v>
      </c>
      <c r="AQ39" s="74">
        <f t="shared" si="21"/>
        <v>0</v>
      </c>
      <c r="AR39" s="74">
        <f t="shared" si="22"/>
        <v>20114.891938096462</v>
      </c>
      <c r="AS39" s="72">
        <f t="shared" si="23"/>
        <v>77714.063724089749</v>
      </c>
      <c r="AT39" s="72">
        <f t="shared" si="24"/>
        <v>23592.611938096463</v>
      </c>
      <c r="AU39" s="78">
        <f t="shared" si="25"/>
        <v>2191.8071291431124</v>
      </c>
      <c r="AV39" s="79">
        <f t="shared" si="26"/>
        <v>1.9994856817795476E-2</v>
      </c>
      <c r="AW39" s="80">
        <f t="shared" si="27"/>
        <v>778.65351974236773</v>
      </c>
      <c r="AX39" s="81">
        <f t="shared" si="28"/>
        <v>1413.1536094007447</v>
      </c>
      <c r="AY39" s="82"/>
      <c r="AZ39" s="83">
        <f t="shared" si="29"/>
        <v>0</v>
      </c>
      <c r="BB39" s="84"/>
    </row>
    <row r="40" spans="2:54" ht="34.5" customHeight="1" thickTop="1" thickBot="1">
      <c r="B40" s="129">
        <f>Pricing!A36</f>
        <v>33</v>
      </c>
      <c r="C40" s="130" t="str">
        <f>Pricing!D36</f>
        <v>FRENCH CASEMENT WINDOW</v>
      </c>
      <c r="D40" s="131" t="str">
        <f>Pricing!B36</f>
        <v>CW12</v>
      </c>
      <c r="E40" s="132" t="str">
        <f>Pricing!N36</f>
        <v>6MM</v>
      </c>
      <c r="F40" s="68">
        <f>Pricing!G36</f>
        <v>915</v>
      </c>
      <c r="G40" s="68">
        <f>Pricing!H36</f>
        <v>1365</v>
      </c>
      <c r="H40" s="100">
        <f t="shared" si="0"/>
        <v>1.2489749999999999</v>
      </c>
      <c r="I40" s="70">
        <f>Pricing!I36</f>
        <v>1</v>
      </c>
      <c r="J40" s="69">
        <f t="shared" si="30"/>
        <v>1.2489749999999999</v>
      </c>
      <c r="K40" s="71">
        <f t="shared" si="31"/>
        <v>13.443966899999998</v>
      </c>
      <c r="L40" s="69"/>
      <c r="M40" s="72"/>
      <c r="N40" s="72"/>
      <c r="O40" s="72">
        <f t="shared" si="79"/>
        <v>0</v>
      </c>
      <c r="P40" s="73">
        <f>Pricing!M36</f>
        <v>15752.57</v>
      </c>
      <c r="Q40" s="74">
        <f t="shared" si="4"/>
        <v>1575.2570000000001</v>
      </c>
      <c r="R40" s="74">
        <f t="shared" si="5"/>
        <v>1906.0609700000002</v>
      </c>
      <c r="S40" s="74">
        <f t="shared" si="6"/>
        <v>96.169439850000003</v>
      </c>
      <c r="T40" s="74">
        <f t="shared" si="7"/>
        <v>193.30057409849999</v>
      </c>
      <c r="U40" s="72">
        <f t="shared" si="8"/>
        <v>19523.357983948499</v>
      </c>
      <c r="V40" s="74">
        <f t="shared" si="9"/>
        <v>292.85036975922748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1251.4729499999999</v>
      </c>
      <c r="AE40" s="76">
        <f t="shared" si="43"/>
        <v>373.77049180327873</v>
      </c>
      <c r="AF40" s="338">
        <f t="shared" si="44"/>
        <v>383.04</v>
      </c>
      <c r="AG40" s="339"/>
      <c r="AH40" s="76">
        <f t="shared" si="45"/>
        <v>13.68</v>
      </c>
      <c r="AI40" s="76">
        <f t="shared" si="80"/>
        <v>45.599999999999994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1344.3966899999998</v>
      </c>
      <c r="AM40" s="77">
        <f t="shared" ref="AM40:AM89" si="82">$AM$6*J40</f>
        <v>0</v>
      </c>
      <c r="AN40" s="76">
        <f t="shared" ref="AN40:AN89" si="83">$AN$6*J40</f>
        <v>1075.5173519999998</v>
      </c>
      <c r="AO40" s="72">
        <f t="shared" ref="AO40:AO89" si="84">SUM(U40:V40)+SUM(AC40:AI40)-AD40</f>
        <v>20632.298845511006</v>
      </c>
      <c r="AP40" s="74">
        <f t="shared" ref="AP40:AP89" si="85">AO40*$AP$6</f>
        <v>25790.373556888757</v>
      </c>
      <c r="AQ40" s="74">
        <f t="shared" si="21"/>
        <v>0</v>
      </c>
      <c r="AR40" s="74">
        <f t="shared" ref="AR40:AR57" si="86">SUM(AO40:AQ40)/J40</f>
        <v>37168.616187193315</v>
      </c>
      <c r="AS40" s="72">
        <f t="shared" ref="AS40:AS57" si="87">SUM(AJ40:AQ40)+AD40+AB40</f>
        <v>50094.059394399766</v>
      </c>
      <c r="AT40" s="72">
        <f t="shared" ref="AT40:AT89" si="88">AS40/J40</f>
        <v>40108.136187193311</v>
      </c>
      <c r="AU40" s="78">
        <f t="shared" si="25"/>
        <v>3726.1367695274353</v>
      </c>
      <c r="AV40" s="79">
        <f t="shared" ref="AV40:AV71" si="89">K40/$K$109</f>
        <v>7.5813832100807841E-3</v>
      </c>
      <c r="AW40" s="80">
        <f t="shared" ref="AW40:AW89" si="90">(U40+V40)/(J40*10.764)</f>
        <v>1473.9852084660913</v>
      </c>
      <c r="AX40" s="81">
        <f t="shared" ref="AX40:AX89" si="91">SUM(W40:AN40,AP40)/(J40*10.764)</f>
        <v>2252.1515610613442</v>
      </c>
      <c r="AY40" s="82"/>
      <c r="AZ40" s="83">
        <f t="shared" si="29"/>
        <v>0</v>
      </c>
      <c r="BB40" s="84"/>
    </row>
    <row r="41" spans="2:54" ht="34.5" customHeight="1" thickTop="1" thickBot="1">
      <c r="B41" s="129">
        <f>Pricing!A37</f>
        <v>34</v>
      </c>
      <c r="C41" s="130" t="str">
        <f>Pricing!D37</f>
        <v>SIDE HUNG WINDOW</v>
      </c>
      <c r="D41" s="131" t="str">
        <f>Pricing!B37</f>
        <v>CW13</v>
      </c>
      <c r="E41" s="132" t="str">
        <f>Pricing!N37</f>
        <v>6MM</v>
      </c>
      <c r="F41" s="68">
        <f>Pricing!G37</f>
        <v>720</v>
      </c>
      <c r="G41" s="68">
        <f>Pricing!H37</f>
        <v>1365</v>
      </c>
      <c r="H41" s="100">
        <f t="shared" si="0"/>
        <v>0.98280000000000001</v>
      </c>
      <c r="I41" s="70">
        <f>Pricing!I37</f>
        <v>2</v>
      </c>
      <c r="J41" s="69">
        <f t="shared" si="30"/>
        <v>1.9656</v>
      </c>
      <c r="K41" s="71">
        <f t="shared" si="31"/>
        <v>21.1577184</v>
      </c>
      <c r="L41" s="69"/>
      <c r="M41" s="72"/>
      <c r="N41" s="72"/>
      <c r="O41" s="72">
        <f t="shared" si="79"/>
        <v>0</v>
      </c>
      <c r="P41" s="73">
        <f>Pricing!M37</f>
        <v>19571.400000000001</v>
      </c>
      <c r="Q41" s="74">
        <f t="shared" si="4"/>
        <v>1957.1400000000003</v>
      </c>
      <c r="R41" s="74">
        <f t="shared" si="5"/>
        <v>2368.1394</v>
      </c>
      <c r="S41" s="74">
        <f t="shared" si="6"/>
        <v>119.48339700000001</v>
      </c>
      <c r="T41" s="74">
        <f t="shared" si="7"/>
        <v>240.16162797000001</v>
      </c>
      <c r="U41" s="72">
        <f t="shared" si="8"/>
        <v>24256.32442497</v>
      </c>
      <c r="V41" s="74">
        <f t="shared" si="9"/>
        <v>363.84486637455001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1969.5312000000001</v>
      </c>
      <c r="AE41" s="76">
        <f t="shared" si="43"/>
        <v>683.60655737704917</v>
      </c>
      <c r="AF41" s="338">
        <f t="shared" si="44"/>
        <v>700.56000000000006</v>
      </c>
      <c r="AG41" s="339"/>
      <c r="AH41" s="76">
        <f t="shared" si="45"/>
        <v>25.02</v>
      </c>
      <c r="AI41" s="76">
        <f t="shared" si="80"/>
        <v>83.4</v>
      </c>
      <c r="AJ41" s="76">
        <f>J41*Pricing!Q37</f>
        <v>0</v>
      </c>
      <c r="AK41" s="76">
        <f>J41*Pricing!R37</f>
        <v>0</v>
      </c>
      <c r="AL41" s="76">
        <f t="shared" si="81"/>
        <v>2115.7718399999999</v>
      </c>
      <c r="AM41" s="77">
        <f t="shared" si="82"/>
        <v>0</v>
      </c>
      <c r="AN41" s="76">
        <f t="shared" si="83"/>
        <v>1692.6174719999999</v>
      </c>
      <c r="AO41" s="72">
        <f t="shared" si="84"/>
        <v>26112.755848721597</v>
      </c>
      <c r="AP41" s="74">
        <f t="shared" si="85"/>
        <v>32640.944810901998</v>
      </c>
      <c r="AQ41" s="74">
        <f t="shared" si="21"/>
        <v>0</v>
      </c>
      <c r="AR41" s="74">
        <f t="shared" si="86"/>
        <v>29890.975101558604</v>
      </c>
      <c r="AS41" s="72">
        <f t="shared" si="87"/>
        <v>64531.621171623592</v>
      </c>
      <c r="AT41" s="72">
        <f t="shared" si="88"/>
        <v>32830.495101558605</v>
      </c>
      <c r="AU41" s="78">
        <f t="shared" si="25"/>
        <v>3050.0274156037353</v>
      </c>
      <c r="AV41" s="79">
        <f t="shared" si="89"/>
        <v>1.1931357183077957E-2</v>
      </c>
      <c r="AW41" s="80">
        <f t="shared" si="90"/>
        <v>1163.6495403655883</v>
      </c>
      <c r="AX41" s="81">
        <f t="shared" si="91"/>
        <v>1886.377875238147</v>
      </c>
      <c r="AY41" s="82"/>
      <c r="AZ41" s="83">
        <f t="shared" si="29"/>
        <v>0</v>
      </c>
      <c r="BB41" s="84"/>
    </row>
    <row r="42" spans="2:54" ht="34.5" customHeight="1" thickTop="1" thickBot="1">
      <c r="B42" s="129">
        <f>Pricing!A38</f>
        <v>35</v>
      </c>
      <c r="C42" s="130" t="str">
        <f>Pricing!D38</f>
        <v>SIDE HUNG WINDOW</v>
      </c>
      <c r="D42" s="131" t="str">
        <f>Pricing!B38</f>
        <v>CW14</v>
      </c>
      <c r="E42" s="132" t="str">
        <f>Pricing!N38</f>
        <v>6MM</v>
      </c>
      <c r="F42" s="68">
        <f>Pricing!G38</f>
        <v>720</v>
      </c>
      <c r="G42" s="68">
        <f>Pricing!H38</f>
        <v>1220</v>
      </c>
      <c r="H42" s="100">
        <f t="shared" si="0"/>
        <v>0.87839999999999996</v>
      </c>
      <c r="I42" s="70">
        <f>Pricing!I38</f>
        <v>1</v>
      </c>
      <c r="J42" s="69">
        <f t="shared" si="30"/>
        <v>0.87839999999999996</v>
      </c>
      <c r="K42" s="71">
        <f t="shared" si="31"/>
        <v>9.4550975999999984</v>
      </c>
      <c r="L42" s="69"/>
      <c r="M42" s="72"/>
      <c r="N42" s="72"/>
      <c r="O42" s="72">
        <f t="shared" si="79"/>
        <v>0</v>
      </c>
      <c r="P42" s="73">
        <f>Pricing!M38</f>
        <v>9053.64</v>
      </c>
      <c r="Q42" s="74">
        <f t="shared" si="4"/>
        <v>905.36400000000003</v>
      </c>
      <c r="R42" s="74">
        <f t="shared" si="5"/>
        <v>1095.4904399999998</v>
      </c>
      <c r="S42" s="74">
        <f t="shared" si="6"/>
        <v>55.272472199999996</v>
      </c>
      <c r="T42" s="74">
        <f t="shared" si="7"/>
        <v>111.09766912199999</v>
      </c>
      <c r="U42" s="72">
        <f t="shared" si="8"/>
        <v>11220.864581321999</v>
      </c>
      <c r="V42" s="74">
        <f t="shared" si="9"/>
        <v>168.31296871982997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880.15679999999998</v>
      </c>
      <c r="AE42" s="76">
        <f t="shared" si="43"/>
        <v>318.03278688524591</v>
      </c>
      <c r="AF42" s="338">
        <f t="shared" si="44"/>
        <v>325.92</v>
      </c>
      <c r="AG42" s="339"/>
      <c r="AH42" s="76">
        <f t="shared" si="45"/>
        <v>11.64</v>
      </c>
      <c r="AI42" s="76">
        <f t="shared" si="80"/>
        <v>38.799999999999997</v>
      </c>
      <c r="AJ42" s="76">
        <f>J42*Pricing!Q38</f>
        <v>0</v>
      </c>
      <c r="AK42" s="76">
        <f>J42*Pricing!R38</f>
        <v>0</v>
      </c>
      <c r="AL42" s="76">
        <f t="shared" si="81"/>
        <v>945.5097599999998</v>
      </c>
      <c r="AM42" s="77">
        <f t="shared" si="82"/>
        <v>0</v>
      </c>
      <c r="AN42" s="76">
        <f t="shared" si="83"/>
        <v>756.40780799999982</v>
      </c>
      <c r="AO42" s="72">
        <f t="shared" si="84"/>
        <v>12083.570336927076</v>
      </c>
      <c r="AP42" s="74">
        <f t="shared" si="85"/>
        <v>15104.462921158845</v>
      </c>
      <c r="AQ42" s="74">
        <f t="shared" si="21"/>
        <v>0</v>
      </c>
      <c r="AR42" s="74">
        <f t="shared" si="86"/>
        <v>30951.76828106321</v>
      </c>
      <c r="AS42" s="72">
        <f t="shared" si="87"/>
        <v>29770.107626085923</v>
      </c>
      <c r="AT42" s="72">
        <f t="shared" si="88"/>
        <v>33891.288281063207</v>
      </c>
      <c r="AU42" s="78">
        <f t="shared" si="25"/>
        <v>3148.5775066019332</v>
      </c>
      <c r="AV42" s="79">
        <f t="shared" si="89"/>
        <v>5.3319618180787936E-3</v>
      </c>
      <c r="AW42" s="80">
        <f t="shared" si="90"/>
        <v>1204.5542025966852</v>
      </c>
      <c r="AX42" s="81">
        <f t="shared" si="91"/>
        <v>1944.0233040052481</v>
      </c>
      <c r="AY42" s="82"/>
      <c r="AZ42" s="83">
        <f t="shared" si="29"/>
        <v>0</v>
      </c>
      <c r="BB42" s="84"/>
    </row>
    <row r="43" spans="2:54" ht="34.5" customHeight="1" thickTop="1" thickBot="1">
      <c r="B43" s="129">
        <f>Pricing!A39</f>
        <v>36</v>
      </c>
      <c r="C43" s="130" t="str">
        <f>Pricing!D39</f>
        <v>TOP HUNG WINDOW</v>
      </c>
      <c r="D43" s="131" t="str">
        <f>Pricing!B39</f>
        <v>V4</v>
      </c>
      <c r="E43" s="132" t="str">
        <f>Pricing!N39</f>
        <v>6MM (F)</v>
      </c>
      <c r="F43" s="68">
        <f>Pricing!G39</f>
        <v>760</v>
      </c>
      <c r="G43" s="68">
        <f>Pricing!H39</f>
        <v>760</v>
      </c>
      <c r="H43" s="100">
        <f t="shared" si="0"/>
        <v>0.5776</v>
      </c>
      <c r="I43" s="70">
        <f>Pricing!I39</f>
        <v>2</v>
      </c>
      <c r="J43" s="69">
        <f t="shared" si="30"/>
        <v>1.1552</v>
      </c>
      <c r="K43" s="71">
        <f t="shared" si="31"/>
        <v>12.4345728</v>
      </c>
      <c r="L43" s="69"/>
      <c r="M43" s="72"/>
      <c r="N43" s="72"/>
      <c r="O43" s="72">
        <f t="shared" si="79"/>
        <v>0</v>
      </c>
      <c r="P43" s="73">
        <f>Pricing!M39</f>
        <v>18173.68</v>
      </c>
      <c r="Q43" s="74">
        <f t="shared" si="4"/>
        <v>1817.3680000000002</v>
      </c>
      <c r="R43" s="74">
        <f t="shared" si="5"/>
        <v>2199.0152800000001</v>
      </c>
      <c r="S43" s="74">
        <f t="shared" si="6"/>
        <v>110.95031639999999</v>
      </c>
      <c r="T43" s="74">
        <f t="shared" si="7"/>
        <v>223.010135964</v>
      </c>
      <c r="U43" s="72">
        <f t="shared" si="8"/>
        <v>22524.023732363999</v>
      </c>
      <c r="V43" s="74">
        <f t="shared" si="9"/>
        <v>337.86035598545999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2313.8656000000001</v>
      </c>
      <c r="AE43" s="76">
        <f t="shared" si="43"/>
        <v>498.36065573770492</v>
      </c>
      <c r="AF43" s="338">
        <f t="shared" si="44"/>
        <v>510.72</v>
      </c>
      <c r="AG43" s="339"/>
      <c r="AH43" s="76">
        <f t="shared" si="45"/>
        <v>18.240000000000002</v>
      </c>
      <c r="AI43" s="76">
        <f t="shared" si="80"/>
        <v>60.8</v>
      </c>
      <c r="AJ43" s="76">
        <f>J43*Pricing!Q39</f>
        <v>0</v>
      </c>
      <c r="AK43" s="76">
        <f>J43*Pricing!R39</f>
        <v>0</v>
      </c>
      <c r="AL43" s="76">
        <f t="shared" si="81"/>
        <v>1243.4572799999999</v>
      </c>
      <c r="AM43" s="77">
        <f t="shared" si="82"/>
        <v>0</v>
      </c>
      <c r="AN43" s="76">
        <f t="shared" si="83"/>
        <v>994.76582399999984</v>
      </c>
      <c r="AO43" s="72">
        <f t="shared" si="84"/>
        <v>23950.004744087164</v>
      </c>
      <c r="AP43" s="74">
        <f t="shared" si="85"/>
        <v>29937.505930108957</v>
      </c>
      <c r="AQ43" s="74">
        <f t="shared" si="21"/>
        <v>0</v>
      </c>
      <c r="AR43" s="74">
        <f t="shared" si="86"/>
        <v>46647.775860626833</v>
      </c>
      <c r="AS43" s="72">
        <f t="shared" si="87"/>
        <v>58439.599378196122</v>
      </c>
      <c r="AT43" s="72">
        <f t="shared" si="88"/>
        <v>50588.295860626837</v>
      </c>
      <c r="AU43" s="78">
        <f t="shared" si="25"/>
        <v>4699.7673597758121</v>
      </c>
      <c r="AV43" s="79">
        <f t="shared" si="89"/>
        <v>7.0121610795134594E-3</v>
      </c>
      <c r="AW43" s="80">
        <f t="shared" si="90"/>
        <v>1838.5741477463109</v>
      </c>
      <c r="AX43" s="81">
        <f t="shared" si="91"/>
        <v>2861.1932120295005</v>
      </c>
      <c r="AY43" s="82"/>
      <c r="AZ43" s="83">
        <f t="shared" si="29"/>
        <v>0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8">
        <f t="shared" si="44"/>
        <v>0</v>
      </c>
      <c r="AG44" s="339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8">
        <f t="shared" si="44"/>
        <v>0</v>
      </c>
      <c r="AG45" s="339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8">
        <f t="shared" si="44"/>
        <v>0</v>
      </c>
      <c r="AG46" s="339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8">
        <f t="shared" si="44"/>
        <v>0</v>
      </c>
      <c r="AG47" s="339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8">
        <f t="shared" si="44"/>
        <v>0</v>
      </c>
      <c r="AG48" s="339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8">
        <f t="shared" si="44"/>
        <v>0</v>
      </c>
      <c r="AG49" s="339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8">
        <f t="shared" si="44"/>
        <v>0</v>
      </c>
      <c r="AG50" s="339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8">
        <f t="shared" si="44"/>
        <v>0</v>
      </c>
      <c r="AG51" s="339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8">
        <f t="shared" si="44"/>
        <v>0</v>
      </c>
      <c r="AG52" s="339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8">
        <f t="shared" si="44"/>
        <v>0</v>
      </c>
      <c r="AG53" s="339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8">
        <f t="shared" si="44"/>
        <v>0</v>
      </c>
      <c r="AG54" s="339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8">
        <f t="shared" si="44"/>
        <v>0</v>
      </c>
      <c r="AG55" s="339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8">
        <f t="shared" si="44"/>
        <v>0</v>
      </c>
      <c r="AG56" s="339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0">
        <f t="shared" si="44"/>
        <v>0</v>
      </c>
      <c r="AG57" s="341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8">
        <f>(((((F58*4)+(G58*4))/1000)*$AF$6*$AG$6)/300)*I58*$AF$7</f>
        <v>0</v>
      </c>
      <c r="AG58" s="339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8">
        <f t="shared" ref="AF59:AF107" si="128">(((((F59*4)+(G59*4))/1000)*$AF$6*$AG$6)/300)*I59*$AF$7</f>
        <v>0</v>
      </c>
      <c r="AG59" s="339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8">
        <f t="shared" si="128"/>
        <v>0</v>
      </c>
      <c r="AG60" s="339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8">
        <f t="shared" si="128"/>
        <v>0</v>
      </c>
      <c r="AG61" s="339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8">
        <f t="shared" si="128"/>
        <v>0</v>
      </c>
      <c r="AG62" s="339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8">
        <f t="shared" si="128"/>
        <v>0</v>
      </c>
      <c r="AG63" s="339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8">
        <f t="shared" si="128"/>
        <v>0</v>
      </c>
      <c r="AG64" s="339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8">
        <f t="shared" si="128"/>
        <v>0</v>
      </c>
      <c r="AG65" s="339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8">
        <f t="shared" si="128"/>
        <v>0</v>
      </c>
      <c r="AG66" s="339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8">
        <f t="shared" si="128"/>
        <v>0</v>
      </c>
      <c r="AG67" s="339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8">
        <f t="shared" si="128"/>
        <v>0</v>
      </c>
      <c r="AG68" s="339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8">
        <f t="shared" si="128"/>
        <v>0</v>
      </c>
      <c r="AG69" s="339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8">
        <f t="shared" si="128"/>
        <v>0</v>
      </c>
      <c r="AG70" s="339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8">
        <f t="shared" si="128"/>
        <v>0</v>
      </c>
      <c r="AG71" s="339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8">
        <f t="shared" si="128"/>
        <v>0</v>
      </c>
      <c r="AG72" s="339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8">
        <f t="shared" si="128"/>
        <v>0</v>
      </c>
      <c r="AG73" s="339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8">
        <f t="shared" si="128"/>
        <v>0</v>
      </c>
      <c r="AG74" s="339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8">
        <f t="shared" si="128"/>
        <v>0</v>
      </c>
      <c r="AG75" s="339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8">
        <f t="shared" si="128"/>
        <v>0</v>
      </c>
      <c r="AG76" s="339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8">
        <f t="shared" si="128"/>
        <v>0</v>
      </c>
      <c r="AG77" s="339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8">
        <f t="shared" si="128"/>
        <v>0</v>
      </c>
      <c r="AG78" s="339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8">
        <f t="shared" si="128"/>
        <v>0</v>
      </c>
      <c r="AG79" s="339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8">
        <f t="shared" si="128"/>
        <v>0</v>
      </c>
      <c r="AG80" s="339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8">
        <f t="shared" si="128"/>
        <v>0</v>
      </c>
      <c r="AG81" s="339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8">
        <f t="shared" si="128"/>
        <v>0</v>
      </c>
      <c r="AG82" s="339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8">
        <f t="shared" si="128"/>
        <v>0</v>
      </c>
      <c r="AG83" s="339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8">
        <f t="shared" si="128"/>
        <v>0</v>
      </c>
      <c r="AG84" s="339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8">
        <f t="shared" si="128"/>
        <v>0</v>
      </c>
      <c r="AG85" s="339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8">
        <f t="shared" si="128"/>
        <v>0</v>
      </c>
      <c r="AG86" s="339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8">
        <f t="shared" si="128"/>
        <v>0</v>
      </c>
      <c r="AG87" s="339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8">
        <f t="shared" si="128"/>
        <v>0</v>
      </c>
      <c r="AG88" s="339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8">
        <f t="shared" si="128"/>
        <v>0</v>
      </c>
      <c r="AG89" s="339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8">
        <f t="shared" si="128"/>
        <v>0</v>
      </c>
      <c r="AG90" s="339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8">
        <f t="shared" si="128"/>
        <v>0</v>
      </c>
      <c r="AG91" s="339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8">
        <f t="shared" si="128"/>
        <v>0</v>
      </c>
      <c r="AG92" s="339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8">
        <f t="shared" si="128"/>
        <v>0</v>
      </c>
      <c r="AG93" s="339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8">
        <f t="shared" si="128"/>
        <v>0</v>
      </c>
      <c r="AG94" s="339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8">
        <f t="shared" si="128"/>
        <v>0</v>
      </c>
      <c r="AG95" s="339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8">
        <f t="shared" si="128"/>
        <v>0</v>
      </c>
      <c r="AG96" s="339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8">
        <f t="shared" si="128"/>
        <v>0</v>
      </c>
      <c r="AG97" s="339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8">
        <f t="shared" si="128"/>
        <v>0</v>
      </c>
      <c r="AG98" s="339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8">
        <f t="shared" si="128"/>
        <v>0</v>
      </c>
      <c r="AG99" s="339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8">
        <f t="shared" si="128"/>
        <v>0</v>
      </c>
      <c r="AG100" s="339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8">
        <f t="shared" si="128"/>
        <v>0</v>
      </c>
      <c r="AG101" s="339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8">
        <f t="shared" si="128"/>
        <v>0</v>
      </c>
      <c r="AG102" s="339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8">
        <f t="shared" si="128"/>
        <v>0</v>
      </c>
      <c r="AG103" s="339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8">
        <f t="shared" si="128"/>
        <v>0</v>
      </c>
      <c r="AG104" s="339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8">
        <f t="shared" si="128"/>
        <v>0</v>
      </c>
      <c r="AG105" s="339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8">
        <f t="shared" si="128"/>
        <v>0</v>
      </c>
      <c r="AG106" s="339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0">
        <f t="shared" si="128"/>
        <v>0</v>
      </c>
      <c r="AG107" s="341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6" t="s">
        <v>5</v>
      </c>
      <c r="C109" s="347"/>
      <c r="D109" s="347"/>
      <c r="E109" s="347"/>
      <c r="F109" s="347"/>
      <c r="G109" s="348"/>
      <c r="H109" s="149">
        <f>SUM(H8:H108)</f>
        <v>122.007165</v>
      </c>
      <c r="I109" s="87">
        <f>SUM(I8:I108)</f>
        <v>53</v>
      </c>
      <c r="J109" s="88">
        <f>SUM(J8:J108)</f>
        <v>164.74236499999998</v>
      </c>
      <c r="K109" s="89">
        <f>SUM(K8:K108)</f>
        <v>1773.2868168599994</v>
      </c>
      <c r="L109" s="88">
        <f>SUM(L8:L8)</f>
        <v>0</v>
      </c>
      <c r="M109" s="88"/>
      <c r="N109" s="88"/>
      <c r="O109" s="88"/>
      <c r="P109" s="87">
        <f>SUM(P8:P108)</f>
        <v>954819.55</v>
      </c>
      <c r="Q109" s="88">
        <f t="shared" ref="Q109:AE109" si="156">SUM(Q8:Q108)</f>
        <v>95481.954999999987</v>
      </c>
      <c r="R109" s="88">
        <f t="shared" si="156"/>
        <v>115533.16555000002</v>
      </c>
      <c r="S109" s="88">
        <f t="shared" si="156"/>
        <v>5829.17335275</v>
      </c>
      <c r="T109" s="88">
        <f t="shared" si="156"/>
        <v>11716.638439027502</v>
      </c>
      <c r="U109" s="88">
        <f t="shared" si="156"/>
        <v>1183380.4823417775</v>
      </c>
      <c r="V109" s="88">
        <f t="shared" si="156"/>
        <v>17750.707235126669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611824.93585000013</v>
      </c>
      <c r="AE109" s="88">
        <f t="shared" si="156"/>
        <v>28979.34426229509</v>
      </c>
      <c r="AF109" s="349">
        <f>SUM(AF8:AG108)</f>
        <v>29698.031999999999</v>
      </c>
      <c r="AG109" s="350"/>
      <c r="AH109" s="88">
        <f t="shared" ref="AH109:AQ109" si="157">SUM(AH8:AH108)</f>
        <v>1060.644</v>
      </c>
      <c r="AI109" s="88">
        <f t="shared" si="157"/>
        <v>3535.4800000000009</v>
      </c>
      <c r="AJ109" s="88">
        <f t="shared" ref="AJ109" si="158">SUM(AJ8:AJ108)</f>
        <v>43143.532847999988</v>
      </c>
      <c r="AK109" s="88">
        <f t="shared" si="157"/>
        <v>0</v>
      </c>
      <c r="AL109" s="88">
        <f t="shared" si="157"/>
        <v>177328.68168599997</v>
      </c>
      <c r="AM109" s="88">
        <f t="shared" si="157"/>
        <v>0</v>
      </c>
      <c r="AN109" s="88">
        <f t="shared" si="157"/>
        <v>141862.94534879993</v>
      </c>
      <c r="AO109" s="88">
        <f t="shared" si="157"/>
        <v>1264404.6898391987</v>
      </c>
      <c r="AP109" s="88">
        <f t="shared" si="157"/>
        <v>1580505.862298999</v>
      </c>
      <c r="AQ109" s="88">
        <f t="shared" si="157"/>
        <v>0</v>
      </c>
      <c r="AR109" s="88"/>
      <c r="AS109" s="87">
        <f>SUM(AS8:AS108)</f>
        <v>3819070.6478709979</v>
      </c>
      <c r="AT109" s="90"/>
      <c r="AU109" s="91"/>
      <c r="AV109" s="92">
        <f>SUM(AV8:AV108)</f>
        <v>1.0000000000000002</v>
      </c>
    </row>
    <row r="110" spans="2:54" ht="13.5" thickTop="1">
      <c r="AF110" s="49">
        <f>AF109</f>
        <v>29698.031999999999</v>
      </c>
      <c r="AW110" s="84"/>
    </row>
    <row r="111" spans="2:54">
      <c r="AF111" s="174"/>
      <c r="AG111" s="174"/>
      <c r="AH111" s="174">
        <f>SUM(AE109:AI109,AC109)</f>
        <v>63273.500262295092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8"/>
  <sheetViews>
    <sheetView tabSelected="1" view="pageBreakPreview" zoomScale="55" zoomScaleNormal="60" zoomScaleSheetLayoutView="55" workbookViewId="0">
      <selection activeCell="O2" sqref="O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29.7109375" style="122" customWidth="1"/>
    <col min="8" max="8" width="32.855468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1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3"/>
    </row>
    <row r="2" spans="2:15" ht="23.25" customHeight="1">
      <c r="B2" s="424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6"/>
    </row>
    <row r="3" spans="2:15" ht="23.25" customHeight="1">
      <c r="B3" s="424"/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6"/>
    </row>
    <row r="4" spans="2:15" ht="30" customHeight="1">
      <c r="B4" s="424"/>
      <c r="C4" s="425"/>
      <c r="D4" s="425"/>
      <c r="E4" s="425"/>
      <c r="F4" s="425"/>
      <c r="G4" s="425"/>
      <c r="H4" s="425"/>
      <c r="I4" s="425"/>
      <c r="J4" s="425"/>
      <c r="K4" s="425"/>
      <c r="L4" s="425"/>
      <c r="M4" s="425"/>
      <c r="N4" s="426"/>
    </row>
    <row r="5" spans="2:15" ht="30" customHeight="1" thickBot="1">
      <c r="B5" s="424"/>
      <c r="C5" s="425"/>
      <c r="D5" s="425"/>
      <c r="E5" s="425"/>
      <c r="F5" s="425"/>
      <c r="G5" s="425"/>
      <c r="H5" s="425"/>
      <c r="I5" s="425"/>
      <c r="J5" s="425"/>
      <c r="K5" s="425"/>
      <c r="L5" s="425"/>
      <c r="M5" s="425"/>
      <c r="N5" s="426"/>
    </row>
    <row r="6" spans="2:15" ht="24.95" customHeight="1" thickTop="1">
      <c r="B6" s="472"/>
      <c r="C6" s="473"/>
      <c r="D6" s="473"/>
      <c r="E6" s="473"/>
      <c r="F6" s="473"/>
      <c r="G6" s="473"/>
      <c r="H6" s="473"/>
      <c r="I6" s="473"/>
      <c r="J6" s="474"/>
      <c r="K6" s="479" t="s">
        <v>103</v>
      </c>
      <c r="L6" s="480"/>
      <c r="M6" s="475" t="str">
        <f>'BD Team'!J2</f>
        <v>ABPL-DE-19.20-2174</v>
      </c>
      <c r="N6" s="476"/>
    </row>
    <row r="7" spans="2:15" ht="24.95" customHeight="1">
      <c r="B7" s="495" t="s">
        <v>125</v>
      </c>
      <c r="C7" s="496"/>
      <c r="D7" s="496"/>
      <c r="E7" s="496"/>
      <c r="F7" s="430" t="str">
        <f>'BD Team'!E2</f>
        <v>Mr. Kishore</v>
      </c>
      <c r="G7" s="430"/>
      <c r="H7" s="430"/>
      <c r="I7" s="430"/>
      <c r="J7" s="431"/>
      <c r="K7" s="503" t="s">
        <v>104</v>
      </c>
      <c r="L7" s="496"/>
      <c r="M7" s="501">
        <f>'BD Team'!J3</f>
        <v>43704</v>
      </c>
      <c r="N7" s="502"/>
    </row>
    <row r="8" spans="2:15" ht="24.95" customHeight="1">
      <c r="B8" s="495" t="s">
        <v>126</v>
      </c>
      <c r="C8" s="496"/>
      <c r="D8" s="496"/>
      <c r="E8" s="496"/>
      <c r="F8" s="210" t="str">
        <f>'BD Team'!E3</f>
        <v>Orissa</v>
      </c>
      <c r="G8" s="487" t="s">
        <v>177</v>
      </c>
      <c r="H8" s="488"/>
      <c r="I8" s="430" t="str">
        <f>'BD Team'!G3</f>
        <v>2Kpa</v>
      </c>
      <c r="J8" s="431"/>
      <c r="K8" s="503" t="s">
        <v>105</v>
      </c>
      <c r="L8" s="496"/>
      <c r="M8" s="178" t="s">
        <v>519</v>
      </c>
      <c r="N8" s="179">
        <v>43712</v>
      </c>
    </row>
    <row r="9" spans="2:15" ht="24.95" customHeight="1">
      <c r="B9" s="495" t="s">
        <v>166</v>
      </c>
      <c r="C9" s="496"/>
      <c r="D9" s="496"/>
      <c r="E9" s="496"/>
      <c r="F9" s="430" t="str">
        <f>'BD Team'!E4</f>
        <v>Mr. Srinivas : 9949077279</v>
      </c>
      <c r="G9" s="430"/>
      <c r="H9" s="430"/>
      <c r="I9" s="430"/>
      <c r="J9" s="431"/>
      <c r="K9" s="503" t="s">
        <v>176</v>
      </c>
      <c r="L9" s="496"/>
      <c r="M9" s="477" t="str">
        <f>'BD Team'!J4</f>
        <v>Mahesh</v>
      </c>
      <c r="N9" s="478"/>
    </row>
    <row r="10" spans="2:15" ht="27.75" customHeight="1" thickBot="1">
      <c r="B10" s="497" t="s">
        <v>174</v>
      </c>
      <c r="C10" s="498"/>
      <c r="D10" s="498"/>
      <c r="E10" s="498"/>
      <c r="F10" s="212" t="str">
        <f>'BD Team'!E5</f>
        <v>Anodized</v>
      </c>
      <c r="G10" s="507" t="s">
        <v>175</v>
      </c>
      <c r="H10" s="508"/>
      <c r="I10" s="505" t="str">
        <f>'BD Team'!G5</f>
        <v>Silver</v>
      </c>
      <c r="J10" s="506"/>
      <c r="K10" s="504" t="s">
        <v>370</v>
      </c>
      <c r="L10" s="498"/>
      <c r="M10" s="499" t="str">
        <f>'BD Team'!J5</f>
        <v>Design Concepts</v>
      </c>
      <c r="N10" s="500"/>
    </row>
    <row r="11" spans="2:15" ht="19.5" thickTop="1">
      <c r="B11" s="427"/>
      <c r="C11" s="428"/>
      <c r="D11" s="428"/>
      <c r="E11" s="428"/>
      <c r="F11" s="428"/>
      <c r="G11" s="428"/>
      <c r="H11" s="428"/>
      <c r="I11" s="428"/>
      <c r="J11" s="428"/>
      <c r="K11" s="428"/>
      <c r="L11" s="428"/>
      <c r="M11" s="428"/>
      <c r="N11" s="429"/>
    </row>
    <row r="12" spans="2:15" s="93" customFormat="1" ht="19.5" thickBot="1">
      <c r="B12" s="427"/>
      <c r="C12" s="428"/>
      <c r="D12" s="428"/>
      <c r="E12" s="428"/>
      <c r="F12" s="428"/>
      <c r="G12" s="428"/>
      <c r="H12" s="428"/>
      <c r="I12" s="428"/>
      <c r="J12" s="428"/>
      <c r="K12" s="428"/>
      <c r="L12" s="428"/>
      <c r="M12" s="428"/>
      <c r="N12" s="429"/>
    </row>
    <row r="13" spans="2:15" s="93" customFormat="1" ht="18" customHeight="1" thickTop="1" thickBot="1">
      <c r="B13" s="489" t="s">
        <v>167</v>
      </c>
      <c r="C13" s="490"/>
      <c r="D13" s="493" t="s">
        <v>168</v>
      </c>
      <c r="E13" s="493" t="s">
        <v>169</v>
      </c>
      <c r="F13" s="493" t="s">
        <v>37</v>
      </c>
      <c r="G13" s="491" t="s">
        <v>63</v>
      </c>
      <c r="H13" s="491" t="s">
        <v>207</v>
      </c>
      <c r="I13" s="491" t="s">
        <v>206</v>
      </c>
      <c r="J13" s="492" t="s">
        <v>170</v>
      </c>
      <c r="K13" s="492" t="s">
        <v>171</v>
      </c>
      <c r="L13" s="490" t="s">
        <v>208</v>
      </c>
      <c r="M13" s="492" t="s">
        <v>172</v>
      </c>
      <c r="N13" s="494" t="s">
        <v>173</v>
      </c>
    </row>
    <row r="14" spans="2:15" s="94" customFormat="1" ht="18" customHeight="1" thickTop="1" thickBot="1">
      <c r="B14" s="489"/>
      <c r="C14" s="490"/>
      <c r="D14" s="493"/>
      <c r="E14" s="493"/>
      <c r="F14" s="493"/>
      <c r="G14" s="491"/>
      <c r="H14" s="491"/>
      <c r="I14" s="491"/>
      <c r="J14" s="492"/>
      <c r="K14" s="492"/>
      <c r="L14" s="490"/>
      <c r="M14" s="492"/>
      <c r="N14" s="494"/>
    </row>
    <row r="15" spans="2:15" s="94" customFormat="1" ht="26.25" customHeight="1" thickTop="1" thickBot="1">
      <c r="B15" s="489"/>
      <c r="C15" s="490"/>
      <c r="D15" s="493"/>
      <c r="E15" s="493"/>
      <c r="F15" s="493"/>
      <c r="G15" s="491"/>
      <c r="H15" s="491"/>
      <c r="I15" s="491"/>
      <c r="J15" s="492"/>
      <c r="K15" s="492"/>
      <c r="L15" s="490"/>
      <c r="M15" s="492"/>
      <c r="N15" s="494"/>
    </row>
    <row r="16" spans="2:15" s="94" customFormat="1" ht="49.9" customHeight="1" thickTop="1" thickBot="1">
      <c r="B16" s="416">
        <f>Pricing!A4</f>
        <v>1</v>
      </c>
      <c r="C16" s="417"/>
      <c r="D16" s="182" t="str">
        <f>Pricing!B4</f>
        <v>G2G</v>
      </c>
      <c r="E16" s="182" t="str">
        <f>Pricing!C4</f>
        <v>M940</v>
      </c>
      <c r="F16" s="182" t="str">
        <f>Pricing!D4</f>
        <v>CORNOR WINDOW FIXED GLASS</v>
      </c>
      <c r="G16" s="182" t="str">
        <f>Pricing!N4</f>
        <v>13.52MM (ST-167)</v>
      </c>
      <c r="H16" s="182" t="str">
        <f>Pricing!F4</f>
        <v>GF - VISITORS ROOM</v>
      </c>
      <c r="I16" s="211" t="str">
        <f>Pricing!E4</f>
        <v>NO</v>
      </c>
      <c r="J16" s="211">
        <f>Pricing!G4</f>
        <v>2430</v>
      </c>
      <c r="K16" s="211">
        <f>Pricing!H4</f>
        <v>1450</v>
      </c>
      <c r="L16" s="211">
        <f>Pricing!I4</f>
        <v>2</v>
      </c>
      <c r="M16" s="183">
        <f t="shared" ref="M16:M24" si="0">J16*K16*L16/1000000</f>
        <v>7.0469999999999997</v>
      </c>
      <c r="N16" s="184">
        <f>'Cost Calculation'!AS8</f>
        <v>85570.249913841631</v>
      </c>
      <c r="O16" s="95"/>
    </row>
    <row r="17" spans="2:15" s="94" customFormat="1" ht="49.9" customHeight="1" thickTop="1" thickBot="1">
      <c r="B17" s="416">
        <f>Pricing!A5</f>
        <v>2</v>
      </c>
      <c r="C17" s="417"/>
      <c r="D17" s="182" t="str">
        <f>Pricing!B5</f>
        <v>SW1</v>
      </c>
      <c r="E17" s="182" t="str">
        <f>Pricing!C5</f>
        <v>M14600</v>
      </c>
      <c r="F17" s="182" t="str">
        <f>Pricing!D5</f>
        <v>3 TRACK 2 SHUTTER SLIDING WINDOW</v>
      </c>
      <c r="G17" s="182" t="str">
        <f>Pricing!N5</f>
        <v>13.52MM (ST-167)</v>
      </c>
      <c r="H17" s="182" t="str">
        <f>Pricing!F5</f>
        <v>GF - VISITORS ROOM</v>
      </c>
      <c r="I17" s="211" t="str">
        <f>Pricing!E5</f>
        <v>SS</v>
      </c>
      <c r="J17" s="211">
        <f>Pricing!G5</f>
        <v>3130</v>
      </c>
      <c r="K17" s="211">
        <f>Pricing!H5</f>
        <v>1450</v>
      </c>
      <c r="L17" s="211">
        <f>Pricing!I5</f>
        <v>1</v>
      </c>
      <c r="M17" s="183">
        <f t="shared" si="0"/>
        <v>4.5385</v>
      </c>
      <c r="N17" s="184">
        <f>'Cost Calculation'!AS9</f>
        <v>132938.47589870903</v>
      </c>
      <c r="O17" s="95"/>
    </row>
    <row r="18" spans="2:15" s="94" customFormat="1" ht="49.9" customHeight="1" thickTop="1" thickBot="1">
      <c r="B18" s="416">
        <f>Pricing!A6</f>
        <v>3</v>
      </c>
      <c r="C18" s="417"/>
      <c r="D18" s="182" t="str">
        <f>Pricing!B6</f>
        <v>CW1</v>
      </c>
      <c r="E18" s="182" t="str">
        <f>Pricing!C6</f>
        <v>M940</v>
      </c>
      <c r="F18" s="182" t="str">
        <f>Pricing!D6</f>
        <v>FIXED GLASS</v>
      </c>
      <c r="G18" s="182" t="str">
        <f>Pricing!N6</f>
        <v>13.52MM (ST-167)</v>
      </c>
      <c r="H18" s="182" t="str">
        <f>Pricing!F6</f>
        <v>GF - VISITORS ROOM</v>
      </c>
      <c r="I18" s="211" t="str">
        <f>Pricing!E6</f>
        <v>NO</v>
      </c>
      <c r="J18" s="211">
        <f>Pricing!G6</f>
        <v>1160</v>
      </c>
      <c r="K18" s="211">
        <f>Pricing!H6</f>
        <v>2360</v>
      </c>
      <c r="L18" s="211">
        <f>Pricing!I6</f>
        <v>1</v>
      </c>
      <c r="M18" s="183">
        <f t="shared" si="0"/>
        <v>2.7376</v>
      </c>
      <c r="N18" s="184">
        <f>'Cost Calculation'!AS10</f>
        <v>35477.621599358914</v>
      </c>
      <c r="O18" s="95"/>
    </row>
    <row r="19" spans="2:15" s="94" customFormat="1" ht="49.9" customHeight="1" thickTop="1" thickBot="1">
      <c r="B19" s="416">
        <f>Pricing!A7</f>
        <v>4</v>
      </c>
      <c r="C19" s="417"/>
      <c r="D19" s="182" t="str">
        <f>Pricing!B7</f>
        <v>SW2</v>
      </c>
      <c r="E19" s="182" t="str">
        <f>Pricing!C7</f>
        <v>M900</v>
      </c>
      <c r="F19" s="182" t="str">
        <f>Pricing!D7</f>
        <v>3 TRACK 2 SHUTTER SLIDING WINDOW</v>
      </c>
      <c r="G19" s="182" t="str">
        <f>Pricing!N7</f>
        <v>6MM (ST-167)</v>
      </c>
      <c r="H19" s="182" t="str">
        <f>Pricing!F7</f>
        <v>GF - POOJA ROOM</v>
      </c>
      <c r="I19" s="211" t="str">
        <f>Pricing!E7</f>
        <v>SS</v>
      </c>
      <c r="J19" s="211">
        <f>Pricing!G7</f>
        <v>1524</v>
      </c>
      <c r="K19" s="211">
        <f>Pricing!H7</f>
        <v>610</v>
      </c>
      <c r="L19" s="211">
        <f>Pricing!I7</f>
        <v>1</v>
      </c>
      <c r="M19" s="183">
        <f t="shared" si="0"/>
        <v>0.92964000000000002</v>
      </c>
      <c r="N19" s="184">
        <f>'Cost Calculation'!AS11</f>
        <v>30463.319680304659</v>
      </c>
      <c r="O19" s="95"/>
    </row>
    <row r="20" spans="2:15" s="94" customFormat="1" ht="49.9" customHeight="1" thickTop="1" thickBot="1">
      <c r="B20" s="416">
        <f>Pricing!A8</f>
        <v>5</v>
      </c>
      <c r="C20" s="417"/>
      <c r="D20" s="182" t="str">
        <f>Pricing!B8</f>
        <v>G2G 2</v>
      </c>
      <c r="E20" s="182" t="str">
        <f>Pricing!C8</f>
        <v>M900</v>
      </c>
      <c r="F20" s="182" t="str">
        <f>Pricing!D8</f>
        <v>CORNOR WINDOW FIXED GLASS</v>
      </c>
      <c r="G20" s="182" t="str">
        <f>Pricing!N8</f>
        <v>12MM (ST-167)</v>
      </c>
      <c r="H20" s="182" t="str">
        <f>Pricing!F8</f>
        <v>GF - LIVING</v>
      </c>
      <c r="I20" s="211" t="str">
        <f>Pricing!E8</f>
        <v>NO</v>
      </c>
      <c r="J20" s="211">
        <f>Pricing!G8</f>
        <v>3270</v>
      </c>
      <c r="K20" s="211">
        <f>Pricing!H8</f>
        <v>2360</v>
      </c>
      <c r="L20" s="211">
        <f>Pricing!I8</f>
        <v>1</v>
      </c>
      <c r="M20" s="183">
        <f t="shared" si="0"/>
        <v>7.7172000000000001</v>
      </c>
      <c r="N20" s="184">
        <f>'Cost Calculation'!AS12</f>
        <v>55272.33879164682</v>
      </c>
      <c r="O20" s="95"/>
    </row>
    <row r="21" spans="2:15" s="94" customFormat="1" ht="49.9" customHeight="1" thickTop="1" thickBot="1">
      <c r="B21" s="416">
        <f>Pricing!A9</f>
        <v>6</v>
      </c>
      <c r="C21" s="417"/>
      <c r="D21" s="182" t="str">
        <f>Pricing!B9</f>
        <v>SD1</v>
      </c>
      <c r="E21" s="182" t="str">
        <f>Pricing!C9</f>
        <v>M14600</v>
      </c>
      <c r="F21" s="182" t="str">
        <f>Pricing!D9</f>
        <v>3 TRACK 4 SHUTTER SLIDING DOOR</v>
      </c>
      <c r="G21" s="182" t="str">
        <f>Pricing!N9</f>
        <v>8MM (ST-167)</v>
      </c>
      <c r="H21" s="182" t="str">
        <f>Pricing!F9</f>
        <v>GF - LIVING</v>
      </c>
      <c r="I21" s="211" t="str">
        <f>Pricing!E9</f>
        <v>SS</v>
      </c>
      <c r="J21" s="211">
        <f>Pricing!G9</f>
        <v>3585</v>
      </c>
      <c r="K21" s="211">
        <f>Pricing!H9</f>
        <v>2800</v>
      </c>
      <c r="L21" s="211">
        <f>Pricing!I9</f>
        <v>1</v>
      </c>
      <c r="M21" s="183">
        <f t="shared" si="0"/>
        <v>10.038</v>
      </c>
      <c r="N21" s="184">
        <f>'Cost Calculation'!AS13</f>
        <v>308956.73754761333</v>
      </c>
      <c r="O21" s="95"/>
    </row>
    <row r="22" spans="2:15" s="94" customFormat="1" ht="49.9" customHeight="1" thickTop="1" thickBot="1">
      <c r="B22" s="416">
        <f>Pricing!A10</f>
        <v>7</v>
      </c>
      <c r="C22" s="417"/>
      <c r="D22" s="182" t="str">
        <f>Pricing!B10</f>
        <v>SW3</v>
      </c>
      <c r="E22" s="182" t="str">
        <f>Pricing!C10</f>
        <v>M900</v>
      </c>
      <c r="F22" s="182" t="str">
        <f>Pricing!D10</f>
        <v>3 TRACK 2 SHUTTER SLIDING WINDOW</v>
      </c>
      <c r="G22" s="182" t="str">
        <f>Pricing!N10</f>
        <v>6MM (ST-167)</v>
      </c>
      <c r="H22" s="182" t="str">
        <f>Pricing!F10</f>
        <v>GF - KITCHEN</v>
      </c>
      <c r="I22" s="211" t="str">
        <f>Pricing!E10</f>
        <v>SS</v>
      </c>
      <c r="J22" s="211">
        <f>Pricing!G10</f>
        <v>1380</v>
      </c>
      <c r="K22" s="211">
        <f>Pricing!H10</f>
        <v>550</v>
      </c>
      <c r="L22" s="211">
        <f>Pricing!I10</f>
        <v>1</v>
      </c>
      <c r="M22" s="183">
        <f t="shared" si="0"/>
        <v>0.75900000000000001</v>
      </c>
      <c r="N22" s="184">
        <f>'Cost Calculation'!AS14</f>
        <v>27931.791183742185</v>
      </c>
      <c r="O22" s="95"/>
    </row>
    <row r="23" spans="2:15" s="94" customFormat="1" ht="49.9" customHeight="1" thickTop="1" thickBot="1">
      <c r="B23" s="416">
        <f>Pricing!A11</f>
        <v>8</v>
      </c>
      <c r="C23" s="417"/>
      <c r="D23" s="182" t="str">
        <f>Pricing!B11</f>
        <v>CW2</v>
      </c>
      <c r="E23" s="182" t="str">
        <f>Pricing!C11</f>
        <v>M940</v>
      </c>
      <c r="F23" s="182" t="str">
        <f>Pricing!D11</f>
        <v>SIDE HUNG WINDOW</v>
      </c>
      <c r="G23" s="182" t="str">
        <f>Pricing!N11</f>
        <v>6MM (ST-167)</v>
      </c>
      <c r="H23" s="182" t="str">
        <f>Pricing!F11</f>
        <v>GF - KITCHEN</v>
      </c>
      <c r="I23" s="211" t="str">
        <f>Pricing!E11</f>
        <v>NO</v>
      </c>
      <c r="J23" s="211">
        <f>Pricing!G11</f>
        <v>760</v>
      </c>
      <c r="K23" s="211">
        <f>Pricing!H11</f>
        <v>1220</v>
      </c>
      <c r="L23" s="211">
        <f>Pricing!I11</f>
        <v>2</v>
      </c>
      <c r="M23" s="183">
        <f t="shared" si="0"/>
        <v>1.8544</v>
      </c>
      <c r="N23" s="184">
        <f>'Cost Calculation'!AS15</f>
        <v>62064.980471687319</v>
      </c>
      <c r="O23" s="95"/>
    </row>
    <row r="24" spans="2:15" s="94" customFormat="1" ht="49.9" customHeight="1" thickTop="1" thickBot="1">
      <c r="B24" s="416">
        <f>Pricing!A12</f>
        <v>9</v>
      </c>
      <c r="C24" s="417"/>
      <c r="D24" s="182" t="str">
        <f>Pricing!B12</f>
        <v>CW3</v>
      </c>
      <c r="E24" s="182" t="str">
        <f>Pricing!C12</f>
        <v>M940</v>
      </c>
      <c r="F24" s="182" t="str">
        <f>Pricing!D12</f>
        <v>TOP HUNG WINDOW</v>
      </c>
      <c r="G24" s="182" t="str">
        <f>Pricing!N12</f>
        <v>6MM (ST-167)</v>
      </c>
      <c r="H24" s="182" t="str">
        <f>Pricing!F12</f>
        <v>GF - STORE</v>
      </c>
      <c r="I24" s="211" t="str">
        <f>Pricing!E12</f>
        <v>NO</v>
      </c>
      <c r="J24" s="211">
        <f>Pricing!G12</f>
        <v>720</v>
      </c>
      <c r="K24" s="211">
        <f>Pricing!H12</f>
        <v>840</v>
      </c>
      <c r="L24" s="211">
        <f>Pricing!I12</f>
        <v>1</v>
      </c>
      <c r="M24" s="183">
        <f t="shared" si="0"/>
        <v>0.6048</v>
      </c>
      <c r="N24" s="184">
        <f>'Cost Calculation'!AS16</f>
        <v>31606.867051279554</v>
      </c>
      <c r="O24" s="95"/>
    </row>
    <row r="25" spans="2:15" s="94" customFormat="1" ht="49.9" customHeight="1" thickTop="1" thickBot="1">
      <c r="B25" s="416">
        <f>Pricing!A13</f>
        <v>10</v>
      </c>
      <c r="C25" s="417"/>
      <c r="D25" s="182" t="str">
        <f>Pricing!B13</f>
        <v>SD2</v>
      </c>
      <c r="E25" s="182" t="str">
        <f>Pricing!C13</f>
        <v>M14600</v>
      </c>
      <c r="F25" s="182" t="str">
        <f>Pricing!D13</f>
        <v>3 TRACK 2 SHUTTER SLIDING DOOR</v>
      </c>
      <c r="G25" s="182" t="str">
        <f>Pricing!N13</f>
        <v>8MM (ST-167)</v>
      </c>
      <c r="H25" s="182" t="str">
        <f>Pricing!F13</f>
        <v>GF - DINING &amp; 1F - BALCONY</v>
      </c>
      <c r="I25" s="211" t="str">
        <f>Pricing!E13</f>
        <v>SS</v>
      </c>
      <c r="J25" s="211">
        <f>Pricing!G13</f>
        <v>2700</v>
      </c>
      <c r="K25" s="211">
        <f>Pricing!H13</f>
        <v>2350</v>
      </c>
      <c r="L25" s="211">
        <f>Pricing!I13</f>
        <v>2</v>
      </c>
      <c r="M25" s="183">
        <f t="shared" ref="M25:M42" si="1">J25*K25*L25/1000000</f>
        <v>12.69</v>
      </c>
      <c r="N25" s="184">
        <f>'Cost Calculation'!AS17</f>
        <v>295022.23051392322</v>
      </c>
      <c r="O25" s="95"/>
    </row>
    <row r="26" spans="2:15" s="94" customFormat="1" ht="49.9" customHeight="1" thickTop="1" thickBot="1">
      <c r="B26" s="416">
        <f>Pricing!A14</f>
        <v>11</v>
      </c>
      <c r="C26" s="417"/>
      <c r="D26" s="182" t="str">
        <f>Pricing!B14</f>
        <v>SW4</v>
      </c>
      <c r="E26" s="182" t="str">
        <f>Pricing!C14</f>
        <v>M14600</v>
      </c>
      <c r="F26" s="182" t="str">
        <f>Pricing!D14</f>
        <v>3 TRACK 2 SHUTTER SLIDING WINDOW</v>
      </c>
      <c r="G26" s="182" t="str">
        <f>Pricing!N14</f>
        <v>6MM (ST-167)</v>
      </c>
      <c r="H26" s="182" t="str">
        <f>Pricing!F14</f>
        <v>GF - MASTER BEDROOM</v>
      </c>
      <c r="I26" s="211" t="str">
        <f>Pricing!E14</f>
        <v>SS</v>
      </c>
      <c r="J26" s="211">
        <f>Pricing!G14</f>
        <v>1575</v>
      </c>
      <c r="K26" s="211">
        <f>Pricing!H14</f>
        <v>1700</v>
      </c>
      <c r="L26" s="211">
        <f>Pricing!I14</f>
        <v>1</v>
      </c>
      <c r="M26" s="183">
        <f t="shared" si="1"/>
        <v>2.6775000000000002</v>
      </c>
      <c r="N26" s="184">
        <f>'Cost Calculation'!AS18</f>
        <v>92475.121642427272</v>
      </c>
      <c r="O26" s="95"/>
    </row>
    <row r="27" spans="2:15" s="94" customFormat="1" ht="49.9" customHeight="1" thickTop="1" thickBot="1">
      <c r="B27" s="416">
        <f>Pricing!A15</f>
        <v>12</v>
      </c>
      <c r="C27" s="417"/>
      <c r="D27" s="182" t="str">
        <f>Pricing!B15</f>
        <v>SW5</v>
      </c>
      <c r="E27" s="182" t="str">
        <f>Pricing!C15</f>
        <v>M14600</v>
      </c>
      <c r="F27" s="182" t="str">
        <f>Pricing!D15</f>
        <v>3 TRACK 2 SHUTTER SLIDING WINDOW</v>
      </c>
      <c r="G27" s="182" t="str">
        <f>Pricing!N15</f>
        <v>6MM (ST-167)</v>
      </c>
      <c r="H27" s="182" t="str">
        <f>Pricing!F15</f>
        <v>GF &amp; 1F - MASTER BEDROOM</v>
      </c>
      <c r="I27" s="211" t="str">
        <f>Pricing!E15</f>
        <v>SS</v>
      </c>
      <c r="J27" s="211">
        <f>Pricing!G15</f>
        <v>2400</v>
      </c>
      <c r="K27" s="211">
        <f>Pricing!H15</f>
        <v>1700</v>
      </c>
      <c r="L27" s="211">
        <f>Pricing!I15</f>
        <v>2</v>
      </c>
      <c r="M27" s="183">
        <f t="shared" si="1"/>
        <v>8.16</v>
      </c>
      <c r="N27" s="184">
        <f>'Cost Calculation'!AS19</f>
        <v>221204.88799200574</v>
      </c>
      <c r="O27" s="95"/>
    </row>
    <row r="28" spans="2:15" s="94" customFormat="1" ht="49.9" customHeight="1" thickTop="1" thickBot="1">
      <c r="B28" s="416">
        <f>Pricing!A16</f>
        <v>13</v>
      </c>
      <c r="C28" s="417"/>
      <c r="D28" s="182" t="str">
        <f>Pricing!B16</f>
        <v>V</v>
      </c>
      <c r="E28" s="182" t="str">
        <f>Pricing!C16</f>
        <v>M940</v>
      </c>
      <c r="F28" s="182" t="str">
        <f>Pricing!D16</f>
        <v>TOP HUNG WINDOW WITH FIXED GLASS</v>
      </c>
      <c r="G28" s="182" t="str">
        <f>Pricing!N16</f>
        <v>6MM (F)</v>
      </c>
      <c r="H28" s="182" t="str">
        <f>Pricing!F16</f>
        <v>TOILET</v>
      </c>
      <c r="I28" s="211" t="str">
        <f>Pricing!E16</f>
        <v>NO</v>
      </c>
      <c r="J28" s="211">
        <f>Pricing!G16</f>
        <v>1220</v>
      </c>
      <c r="K28" s="211">
        <f>Pricing!H16</f>
        <v>610</v>
      </c>
      <c r="L28" s="211">
        <f>Pricing!I16</f>
        <v>1</v>
      </c>
      <c r="M28" s="183">
        <f t="shared" si="1"/>
        <v>0.74419999999999997</v>
      </c>
      <c r="N28" s="184">
        <f>'Cost Calculation'!AS20</f>
        <v>40549.584234699985</v>
      </c>
      <c r="O28" s="95"/>
    </row>
    <row r="29" spans="2:15" s="94" customFormat="1" ht="49.9" customHeight="1" thickTop="1" thickBot="1">
      <c r="B29" s="416">
        <f>Pricing!A17</f>
        <v>14</v>
      </c>
      <c r="C29" s="417"/>
      <c r="D29" s="182" t="str">
        <f>Pricing!B17</f>
        <v>SW6</v>
      </c>
      <c r="E29" s="182" t="str">
        <f>Pricing!C17</f>
        <v>M14600</v>
      </c>
      <c r="F29" s="182" t="str">
        <f>Pricing!D17</f>
        <v>3 TRACK 2 SHUTTER SLIDING WINDOW</v>
      </c>
      <c r="G29" s="182" t="str">
        <f>Pricing!N17</f>
        <v>6MM (ST-167)</v>
      </c>
      <c r="H29" s="182" t="str">
        <f>Pricing!F17</f>
        <v>GUEST BEDROOM &amp; GYM</v>
      </c>
      <c r="I29" s="211" t="str">
        <f>Pricing!E17</f>
        <v>SS</v>
      </c>
      <c r="J29" s="211">
        <f>Pricing!G17</f>
        <v>1830</v>
      </c>
      <c r="K29" s="211">
        <f>Pricing!H17</f>
        <v>1700</v>
      </c>
      <c r="L29" s="211">
        <f>Pricing!I17</f>
        <v>2</v>
      </c>
      <c r="M29" s="183">
        <f t="shared" si="1"/>
        <v>6.2220000000000004</v>
      </c>
      <c r="N29" s="184">
        <f>'Cost Calculation'!AS21</f>
        <v>196157.67664152</v>
      </c>
      <c r="O29" s="95"/>
    </row>
    <row r="30" spans="2:15" s="94" customFormat="1" ht="49.9" customHeight="1" thickTop="1" thickBot="1">
      <c r="B30" s="416">
        <f>Pricing!A18</f>
        <v>15</v>
      </c>
      <c r="C30" s="417"/>
      <c r="D30" s="182" t="str">
        <f>Pricing!B18</f>
        <v>SW7</v>
      </c>
      <c r="E30" s="182" t="str">
        <f>Pricing!C18</f>
        <v>M14600</v>
      </c>
      <c r="F30" s="182" t="str">
        <f>Pricing!D18</f>
        <v>3 TRACK 2 SHUTTER SLIDING WINDOW</v>
      </c>
      <c r="G30" s="182" t="str">
        <f>Pricing!N18</f>
        <v>13.52MM (ST-167)</v>
      </c>
      <c r="H30" s="182" t="str">
        <f>Pricing!F18</f>
        <v>GUEST BEDROOM</v>
      </c>
      <c r="I30" s="211" t="str">
        <f>Pricing!E18</f>
        <v>SS</v>
      </c>
      <c r="J30" s="211">
        <f>Pricing!G18</f>
        <v>2440</v>
      </c>
      <c r="K30" s="211">
        <f>Pricing!H18</f>
        <v>830</v>
      </c>
      <c r="L30" s="211">
        <f>Pricing!I18</f>
        <v>2</v>
      </c>
      <c r="M30" s="183">
        <f t="shared" si="1"/>
        <v>4.0503999999999998</v>
      </c>
      <c r="N30" s="184">
        <f>'Cost Calculation'!AS22</f>
        <v>175726.24171575435</v>
      </c>
      <c r="O30" s="95"/>
    </row>
    <row r="31" spans="2:15" s="94" customFormat="1" ht="49.9" customHeight="1" thickTop="1" thickBot="1">
      <c r="B31" s="416">
        <f>Pricing!A19</f>
        <v>16</v>
      </c>
      <c r="C31" s="417"/>
      <c r="D31" s="182" t="str">
        <f>Pricing!B19</f>
        <v>SW8</v>
      </c>
      <c r="E31" s="182" t="str">
        <f>Pricing!C19</f>
        <v>M14600</v>
      </c>
      <c r="F31" s="182" t="str">
        <f>Pricing!D19</f>
        <v>3 TRACK 2 SHUTTER SLIDING WINDOW</v>
      </c>
      <c r="G31" s="182" t="str">
        <f>Pricing!N19</f>
        <v>6MM (ST-167)</v>
      </c>
      <c r="H31" s="182" t="str">
        <f>Pricing!F19</f>
        <v>CBR &amp; MBR</v>
      </c>
      <c r="I31" s="211" t="str">
        <f>Pricing!E19</f>
        <v>SS</v>
      </c>
      <c r="J31" s="211">
        <f>Pricing!G19</f>
        <v>1220</v>
      </c>
      <c r="K31" s="211">
        <f>Pricing!H19</f>
        <v>1700</v>
      </c>
      <c r="L31" s="211">
        <f>Pricing!I19</f>
        <v>4</v>
      </c>
      <c r="M31" s="183">
        <f t="shared" si="1"/>
        <v>8.2959999999999994</v>
      </c>
      <c r="N31" s="184">
        <f>'Cost Calculation'!AS23</f>
        <v>338701.74072134891</v>
      </c>
      <c r="O31" s="95"/>
    </row>
    <row r="32" spans="2:15" s="94" customFormat="1" ht="49.9" customHeight="1" thickTop="1" thickBot="1">
      <c r="B32" s="416">
        <f>Pricing!A20</f>
        <v>17</v>
      </c>
      <c r="C32" s="417"/>
      <c r="D32" s="182" t="str">
        <f>Pricing!B20</f>
        <v>GSG 3</v>
      </c>
      <c r="E32" s="182" t="str">
        <f>Pricing!C20</f>
        <v>M900</v>
      </c>
      <c r="F32" s="182" t="str">
        <f>Pricing!D20</f>
        <v>CORNOR WINDOW FIXED GLASS</v>
      </c>
      <c r="G32" s="182" t="str">
        <f>Pricing!N20</f>
        <v>12MM (ST-167)</v>
      </c>
      <c r="H32" s="182" t="str">
        <f>Pricing!F20</f>
        <v>CBR</v>
      </c>
      <c r="I32" s="211" t="str">
        <f>Pricing!E20</f>
        <v>NO</v>
      </c>
      <c r="J32" s="211">
        <f>Pricing!G20</f>
        <v>3375</v>
      </c>
      <c r="K32" s="211">
        <f>Pricing!H20</f>
        <v>2170</v>
      </c>
      <c r="L32" s="211">
        <f>Pricing!I20</f>
        <v>1</v>
      </c>
      <c r="M32" s="183">
        <f t="shared" si="1"/>
        <v>7.3237500000000004</v>
      </c>
      <c r="N32" s="184">
        <f>'Cost Calculation'!AS24</f>
        <v>53142.649484287656</v>
      </c>
      <c r="O32" s="95"/>
    </row>
    <row r="33" spans="2:15" s="94" customFormat="1" ht="49.9" customHeight="1" thickTop="1" thickBot="1">
      <c r="B33" s="416">
        <f>Pricing!A21</f>
        <v>18</v>
      </c>
      <c r="C33" s="417"/>
      <c r="D33" s="182" t="str">
        <f>Pricing!B21</f>
        <v>CW3</v>
      </c>
      <c r="E33" s="182" t="str">
        <f>Pricing!C21</f>
        <v>M940</v>
      </c>
      <c r="F33" s="182" t="str">
        <f>Pricing!D21</f>
        <v>SIDE HUNG WINDOW WITH TOP FIXED</v>
      </c>
      <c r="G33" s="182" t="str">
        <f>Pricing!N21</f>
        <v>6MM (ST-167)</v>
      </c>
      <c r="H33" s="182" t="str">
        <f>Pricing!F21</f>
        <v>CBR</v>
      </c>
      <c r="I33" s="211" t="str">
        <f>Pricing!E21</f>
        <v>NO</v>
      </c>
      <c r="J33" s="211">
        <f>Pricing!G21</f>
        <v>700</v>
      </c>
      <c r="K33" s="211">
        <f>Pricing!H21</f>
        <v>2170</v>
      </c>
      <c r="L33" s="211">
        <f>Pricing!I21</f>
        <v>1</v>
      </c>
      <c r="M33" s="183">
        <f t="shared" si="1"/>
        <v>1.5189999999999999</v>
      </c>
      <c r="N33" s="184">
        <f>'Cost Calculation'!AS25</f>
        <v>46105.89466008266</v>
      </c>
      <c r="O33" s="95"/>
    </row>
    <row r="34" spans="2:15" s="94" customFormat="1" ht="49.9" customHeight="1" thickTop="1" thickBot="1">
      <c r="B34" s="416">
        <f>Pricing!A22</f>
        <v>19</v>
      </c>
      <c r="C34" s="417"/>
      <c r="D34" s="182" t="str">
        <f>Pricing!B22</f>
        <v>SD3</v>
      </c>
      <c r="E34" s="182" t="str">
        <f>Pricing!C22</f>
        <v>M14600</v>
      </c>
      <c r="F34" s="182" t="str">
        <f>Pricing!D22</f>
        <v>3 TRACK 2 SHUTTER SLIDING DOOR</v>
      </c>
      <c r="G34" s="182" t="str">
        <f>Pricing!N22</f>
        <v>13.52MM (ST-167)</v>
      </c>
      <c r="H34" s="182" t="str">
        <f>Pricing!F22</f>
        <v>BALCONY NORTH</v>
      </c>
      <c r="I34" s="211" t="str">
        <f>Pricing!E22</f>
        <v>SS</v>
      </c>
      <c r="J34" s="211">
        <f>Pricing!G22</f>
        <v>2000</v>
      </c>
      <c r="K34" s="211">
        <f>Pricing!H22</f>
        <v>2400</v>
      </c>
      <c r="L34" s="211">
        <f>Pricing!I22</f>
        <v>1</v>
      </c>
      <c r="M34" s="183">
        <f t="shared" si="1"/>
        <v>4.8</v>
      </c>
      <c r="N34" s="184">
        <f>'Cost Calculation'!AS26</f>
        <v>137625.595073287</v>
      </c>
      <c r="O34" s="95"/>
    </row>
    <row r="35" spans="2:15" s="94" customFormat="1" ht="49.9" customHeight="1" thickTop="1" thickBot="1">
      <c r="B35" s="416">
        <f>Pricing!A23</f>
        <v>20</v>
      </c>
      <c r="C35" s="417"/>
      <c r="D35" s="182" t="str">
        <f>Pricing!B23</f>
        <v>CW5</v>
      </c>
      <c r="E35" s="182" t="str">
        <f>Pricing!C23</f>
        <v>M940</v>
      </c>
      <c r="F35" s="182" t="str">
        <f>Pricing!D23</f>
        <v>FIXED GLASS 2 NO'S</v>
      </c>
      <c r="G35" s="182" t="str">
        <f>Pricing!N23</f>
        <v>12MM (ST-167)</v>
      </c>
      <c r="H35" s="182" t="str">
        <f>Pricing!F23</f>
        <v>GYM</v>
      </c>
      <c r="I35" s="211" t="str">
        <f>Pricing!E23</f>
        <v>NO</v>
      </c>
      <c r="J35" s="211">
        <f>Pricing!G23</f>
        <v>3900</v>
      </c>
      <c r="K35" s="211">
        <f>Pricing!H23</f>
        <v>2400</v>
      </c>
      <c r="L35" s="211">
        <f>Pricing!I23</f>
        <v>1</v>
      </c>
      <c r="M35" s="183">
        <f t="shared" si="1"/>
        <v>9.36</v>
      </c>
      <c r="N35" s="184">
        <f>'Cost Calculation'!AS27</f>
        <v>85796.641691556739</v>
      </c>
      <c r="O35" s="95"/>
    </row>
    <row r="36" spans="2:15" s="94" customFormat="1" ht="49.9" customHeight="1" thickTop="1" thickBot="1">
      <c r="B36" s="416">
        <f>Pricing!A24</f>
        <v>21</v>
      </c>
      <c r="C36" s="417"/>
      <c r="D36" s="182" t="str">
        <f>Pricing!B24</f>
        <v>V1</v>
      </c>
      <c r="E36" s="182" t="str">
        <f>Pricing!C24</f>
        <v>M940</v>
      </c>
      <c r="F36" s="182" t="str">
        <f>Pricing!D24</f>
        <v>TOP HUNG WINDOW WITH BOTTOM FIXED</v>
      </c>
      <c r="G36" s="182" t="str">
        <f>Pricing!N24</f>
        <v>6MM (F)</v>
      </c>
      <c r="H36" s="182" t="str">
        <f>Pricing!F24</f>
        <v>GYM TOILET</v>
      </c>
      <c r="I36" s="211" t="str">
        <f>Pricing!E24</f>
        <v>NO</v>
      </c>
      <c r="J36" s="211">
        <f>Pricing!G24</f>
        <v>760</v>
      </c>
      <c r="K36" s="211">
        <f>Pricing!H24</f>
        <v>1720</v>
      </c>
      <c r="L36" s="211">
        <f>Pricing!I24</f>
        <v>1</v>
      </c>
      <c r="M36" s="183">
        <f t="shared" si="1"/>
        <v>1.3071999999999999</v>
      </c>
      <c r="N36" s="184">
        <f>'Cost Calculation'!AS28</f>
        <v>44362.835367569533</v>
      </c>
      <c r="O36" s="95"/>
    </row>
    <row r="37" spans="2:15" s="94" customFormat="1" ht="49.9" customHeight="1" thickTop="1" thickBot="1">
      <c r="B37" s="416">
        <f>Pricing!A25</f>
        <v>22</v>
      </c>
      <c r="C37" s="417"/>
      <c r="D37" s="182" t="str">
        <f>Pricing!B25</f>
        <v>CW6</v>
      </c>
      <c r="E37" s="182" t="str">
        <f>Pricing!C25</f>
        <v>M940</v>
      </c>
      <c r="F37" s="182" t="str">
        <f>Pricing!D25</f>
        <v>FIXED GLASS 2 NO'S</v>
      </c>
      <c r="G37" s="182" t="str">
        <f>Pricing!N25</f>
        <v>18.28MM (ST-167)</v>
      </c>
      <c r="H37" s="182" t="str">
        <f>Pricing!F25</f>
        <v>GYM</v>
      </c>
      <c r="I37" s="211" t="str">
        <f>Pricing!E25</f>
        <v>NO</v>
      </c>
      <c r="J37" s="211">
        <f>Pricing!G25</f>
        <v>3585</v>
      </c>
      <c r="K37" s="211">
        <f>Pricing!H25</f>
        <v>2800</v>
      </c>
      <c r="L37" s="211">
        <f>Pricing!I25</f>
        <v>1</v>
      </c>
      <c r="M37" s="183">
        <f t="shared" si="1"/>
        <v>10.038</v>
      </c>
      <c r="N37" s="184">
        <f>'Cost Calculation'!AS29</f>
        <v>146808.44924754195</v>
      </c>
      <c r="O37" s="95"/>
    </row>
    <row r="38" spans="2:15" s="94" customFormat="1" ht="49.9" customHeight="1" thickTop="1" thickBot="1">
      <c r="B38" s="416">
        <f>Pricing!A26</f>
        <v>23</v>
      </c>
      <c r="C38" s="417"/>
      <c r="D38" s="182" t="str">
        <f>Pricing!B26</f>
        <v>SW9</v>
      </c>
      <c r="E38" s="182" t="str">
        <f>Pricing!C26</f>
        <v>M14600</v>
      </c>
      <c r="F38" s="182" t="str">
        <f>Pricing!D26</f>
        <v>3 TRACK 2 SHUTTER SLIDING WINDOW</v>
      </c>
      <c r="G38" s="182" t="str">
        <f>Pricing!N26</f>
        <v>6MM (ST-167)</v>
      </c>
      <c r="H38" s="182" t="str">
        <f>Pricing!F26</f>
        <v>POOL</v>
      </c>
      <c r="I38" s="211" t="str">
        <f>Pricing!E26</f>
        <v>SS</v>
      </c>
      <c r="J38" s="211">
        <f>Pricing!G26</f>
        <v>1160</v>
      </c>
      <c r="K38" s="211">
        <f>Pricing!H26</f>
        <v>1670</v>
      </c>
      <c r="L38" s="211">
        <f>Pricing!I26</f>
        <v>2</v>
      </c>
      <c r="M38" s="183">
        <f t="shared" si="1"/>
        <v>3.8744000000000001</v>
      </c>
      <c r="N38" s="184">
        <f>'Cost Calculation'!AS30</f>
        <v>165136.7339994114</v>
      </c>
      <c r="O38" s="95"/>
    </row>
    <row r="39" spans="2:15" s="94" customFormat="1" ht="49.9" customHeight="1" thickTop="1" thickBot="1">
      <c r="B39" s="416">
        <f>Pricing!A27</f>
        <v>24</v>
      </c>
      <c r="C39" s="417"/>
      <c r="D39" s="182" t="str">
        <f>Pricing!B27</f>
        <v>CW7</v>
      </c>
      <c r="E39" s="182" t="str">
        <f>Pricing!C27</f>
        <v>M940</v>
      </c>
      <c r="F39" s="182" t="str">
        <f>Pricing!D27</f>
        <v>FIXED GLASS</v>
      </c>
      <c r="G39" s="182" t="str">
        <f>Pricing!N27</f>
        <v>18.28MM (ST-167)</v>
      </c>
      <c r="H39" s="182" t="str">
        <f>Pricing!F27</f>
        <v>POOL</v>
      </c>
      <c r="I39" s="211" t="str">
        <f>Pricing!E27</f>
        <v>NO</v>
      </c>
      <c r="J39" s="211">
        <f>Pricing!G27</f>
        <v>2300</v>
      </c>
      <c r="K39" s="211">
        <f>Pricing!H27</f>
        <v>2380</v>
      </c>
      <c r="L39" s="211">
        <f>Pricing!I27</f>
        <v>1</v>
      </c>
      <c r="M39" s="183">
        <f t="shared" si="1"/>
        <v>5.4740000000000002</v>
      </c>
      <c r="N39" s="184">
        <f>'Cost Calculation'!AS31</f>
        <v>70910.352264197078</v>
      </c>
      <c r="O39" s="95"/>
    </row>
    <row r="40" spans="2:15" s="94" customFormat="1" ht="49.9" customHeight="1" thickTop="1" thickBot="1">
      <c r="B40" s="416">
        <f>Pricing!A28</f>
        <v>25</v>
      </c>
      <c r="C40" s="417"/>
      <c r="D40" s="182" t="str">
        <f>Pricing!B28</f>
        <v>CW8</v>
      </c>
      <c r="E40" s="182" t="str">
        <f>Pricing!C28</f>
        <v>M940</v>
      </c>
      <c r="F40" s="182" t="str">
        <f>Pricing!D28</f>
        <v>FIXED GLASS 2 NO'S</v>
      </c>
      <c r="G40" s="182" t="str">
        <f>Pricing!N28</f>
        <v>18.28MM (ST-167)</v>
      </c>
      <c r="H40" s="182" t="str">
        <f>Pricing!F28</f>
        <v>GYM</v>
      </c>
      <c r="I40" s="211" t="str">
        <f>Pricing!E28</f>
        <v>NO</v>
      </c>
      <c r="J40" s="211">
        <f>Pricing!G28</f>
        <v>3060</v>
      </c>
      <c r="K40" s="211">
        <f>Pricing!H28</f>
        <v>2480</v>
      </c>
      <c r="L40" s="211">
        <f>Pricing!I28</f>
        <v>1</v>
      </c>
      <c r="M40" s="183">
        <f t="shared" si="1"/>
        <v>7.5888</v>
      </c>
      <c r="N40" s="184">
        <f>'Cost Calculation'!AS32</f>
        <v>117858.13698239291</v>
      </c>
      <c r="O40" s="95"/>
    </row>
    <row r="41" spans="2:15" s="94" customFormat="1" ht="49.9" customHeight="1" thickTop="1" thickBot="1">
      <c r="B41" s="416">
        <f>Pricing!A29</f>
        <v>26</v>
      </c>
      <c r="C41" s="417"/>
      <c r="D41" s="182" t="str">
        <f>Pricing!B29</f>
        <v>CW9</v>
      </c>
      <c r="E41" s="182" t="str">
        <f>Pricing!C29</f>
        <v>M940</v>
      </c>
      <c r="F41" s="182" t="str">
        <f>Pricing!D29</f>
        <v>FIXED GLASS 2 NO'S</v>
      </c>
      <c r="G41" s="182" t="str">
        <f>Pricing!N29</f>
        <v>18.28MM (ST-167)</v>
      </c>
      <c r="H41" s="182" t="str">
        <f>Pricing!F29</f>
        <v>POOL &amp; BAR</v>
      </c>
      <c r="I41" s="211" t="str">
        <f>Pricing!E29</f>
        <v>NO</v>
      </c>
      <c r="J41" s="211">
        <f>Pricing!G29</f>
        <v>2650</v>
      </c>
      <c r="K41" s="211">
        <f>Pricing!H29</f>
        <v>2480</v>
      </c>
      <c r="L41" s="211">
        <f>Pricing!I29</f>
        <v>2</v>
      </c>
      <c r="M41" s="183">
        <f t="shared" si="1"/>
        <v>13.144</v>
      </c>
      <c r="N41" s="184">
        <f>'Cost Calculation'!AS33</f>
        <v>199935.36942833284</v>
      </c>
      <c r="O41" s="95"/>
    </row>
    <row r="42" spans="2:15" s="94" customFormat="1" ht="49.9" customHeight="1" thickTop="1" thickBot="1">
      <c r="B42" s="416">
        <f>Pricing!A30</f>
        <v>27</v>
      </c>
      <c r="C42" s="417"/>
      <c r="D42" s="182" t="str">
        <f>Pricing!B30</f>
        <v>CW10</v>
      </c>
      <c r="E42" s="182" t="str">
        <f>Pricing!C30</f>
        <v>M940</v>
      </c>
      <c r="F42" s="182" t="str">
        <f>Pricing!D30</f>
        <v>FRENCH CASEMENT WINDOW</v>
      </c>
      <c r="G42" s="182" t="str">
        <f>Pricing!N30</f>
        <v>18.28MM (ST-167)</v>
      </c>
      <c r="H42" s="182" t="str">
        <f>Pricing!F30</f>
        <v>HOME THEATER</v>
      </c>
      <c r="I42" s="211" t="str">
        <f>Pricing!E30</f>
        <v>NO</v>
      </c>
      <c r="J42" s="211">
        <f>Pricing!G30</f>
        <v>1220</v>
      </c>
      <c r="K42" s="211">
        <f>Pricing!H30</f>
        <v>1220</v>
      </c>
      <c r="L42" s="211">
        <f>Pricing!I30</f>
        <v>1</v>
      </c>
      <c r="M42" s="183">
        <f t="shared" si="1"/>
        <v>1.4883999999999999</v>
      </c>
      <c r="N42" s="184">
        <f>'Cost Calculation'!AS34</f>
        <v>60782.773170661647</v>
      </c>
      <c r="O42" s="95"/>
    </row>
    <row r="43" spans="2:15" s="94" customFormat="1" ht="49.9" customHeight="1" thickTop="1" thickBot="1">
      <c r="B43" s="416">
        <f>Pricing!A31</f>
        <v>28</v>
      </c>
      <c r="C43" s="417"/>
      <c r="D43" s="182" t="str">
        <f>Pricing!B31</f>
        <v>SW10</v>
      </c>
      <c r="E43" s="182" t="str">
        <f>Pricing!C31</f>
        <v>M900</v>
      </c>
      <c r="F43" s="182" t="str">
        <f>Pricing!D31</f>
        <v>3 TRACK 2 SHUTTER SLIDING WINDOW</v>
      </c>
      <c r="G43" s="182" t="str">
        <f>Pricing!N31</f>
        <v>6MM (ST-167)</v>
      </c>
      <c r="H43" s="182" t="str">
        <f>Pricing!F31</f>
        <v>STAIRCASE</v>
      </c>
      <c r="I43" s="211" t="str">
        <f>Pricing!E31</f>
        <v>SS</v>
      </c>
      <c r="J43" s="211">
        <f>Pricing!G31</f>
        <v>2440</v>
      </c>
      <c r="K43" s="211">
        <f>Pricing!H31</f>
        <v>1220</v>
      </c>
      <c r="L43" s="211">
        <f>Pricing!I31</f>
        <v>2</v>
      </c>
      <c r="M43" s="183">
        <f t="shared" ref="M43:M92" si="2">J43*K43*L43/1000000</f>
        <v>5.9535999999999998</v>
      </c>
      <c r="N43" s="184">
        <f>'Cost Calculation'!AS35</f>
        <v>107009.7271094793</v>
      </c>
      <c r="O43" s="95"/>
    </row>
    <row r="44" spans="2:15" s="94" customFormat="1" ht="49.9" customHeight="1" thickTop="1" thickBot="1">
      <c r="B44" s="416">
        <f>Pricing!A32</f>
        <v>29</v>
      </c>
      <c r="C44" s="417"/>
      <c r="D44" s="182" t="str">
        <f>Pricing!B32</f>
        <v>SW11</v>
      </c>
      <c r="E44" s="182" t="str">
        <f>Pricing!C32</f>
        <v>M900</v>
      </c>
      <c r="F44" s="182" t="str">
        <f>Pricing!D32</f>
        <v>3 TRACK 2 SHUTTER SLIDING WINDOW</v>
      </c>
      <c r="G44" s="182" t="str">
        <f>Pricing!N32</f>
        <v>6MM (ST-167)</v>
      </c>
      <c r="H44" s="182" t="str">
        <f>Pricing!F32</f>
        <v>DOG ROOM</v>
      </c>
      <c r="I44" s="211" t="str">
        <f>Pricing!E32</f>
        <v>SS</v>
      </c>
      <c r="J44" s="211">
        <f>Pricing!G32</f>
        <v>915</v>
      </c>
      <c r="K44" s="211">
        <f>Pricing!H32</f>
        <v>1220</v>
      </c>
      <c r="L44" s="211">
        <f>Pricing!I32</f>
        <v>2</v>
      </c>
      <c r="M44" s="183">
        <f t="shared" si="2"/>
        <v>2.2326000000000001</v>
      </c>
      <c r="N44" s="184">
        <f>'Cost Calculation'!AS36</f>
        <v>68306.263603617626</v>
      </c>
      <c r="O44" s="95"/>
    </row>
    <row r="45" spans="2:15" s="94" customFormat="1" ht="49.9" customHeight="1" thickTop="1" thickBot="1">
      <c r="B45" s="416">
        <f>Pricing!A33</f>
        <v>30</v>
      </c>
      <c r="C45" s="417"/>
      <c r="D45" s="182" t="str">
        <f>Pricing!B33</f>
        <v>V2</v>
      </c>
      <c r="E45" s="182" t="str">
        <f>Pricing!C33</f>
        <v>M940</v>
      </c>
      <c r="F45" s="182" t="str">
        <f>Pricing!D33</f>
        <v>TOP HUNG WINDOW</v>
      </c>
      <c r="G45" s="182" t="str">
        <f>Pricing!N33</f>
        <v>6MM (F)</v>
      </c>
      <c r="H45" s="182" t="str">
        <f>Pricing!F33</f>
        <v>TOILET CELLAR</v>
      </c>
      <c r="I45" s="211" t="str">
        <f>Pricing!E33</f>
        <v>NO</v>
      </c>
      <c r="J45" s="211">
        <f>Pricing!G33</f>
        <v>760</v>
      </c>
      <c r="K45" s="211">
        <f>Pricing!H33</f>
        <v>910</v>
      </c>
      <c r="L45" s="211">
        <f>Pricing!I33</f>
        <v>2</v>
      </c>
      <c r="M45" s="183">
        <f t="shared" si="2"/>
        <v>1.3832</v>
      </c>
      <c r="N45" s="184">
        <f>'Cost Calculation'!AS37</f>
        <v>65762.877032276898</v>
      </c>
      <c r="O45" s="95"/>
    </row>
    <row r="46" spans="2:15" s="94" customFormat="1" ht="49.9" customHeight="1" thickTop="1" thickBot="1">
      <c r="B46" s="416">
        <f>Pricing!A34</f>
        <v>31</v>
      </c>
      <c r="C46" s="417"/>
      <c r="D46" s="182" t="str">
        <f>Pricing!B34</f>
        <v>SW12</v>
      </c>
      <c r="E46" s="182" t="str">
        <f>Pricing!C34</f>
        <v>M900</v>
      </c>
      <c r="F46" s="182" t="str">
        <f>Pricing!D34</f>
        <v>3 TRACK 2 SHUTTER SLIDING WINDOW</v>
      </c>
      <c r="G46" s="182" t="str">
        <f>Pricing!N34</f>
        <v>6MM</v>
      </c>
      <c r="H46" s="182" t="str">
        <f>Pricing!F34</f>
        <v>OFFICE</v>
      </c>
      <c r="I46" s="211" t="str">
        <f>Pricing!E34</f>
        <v>SS</v>
      </c>
      <c r="J46" s="211">
        <f>Pricing!G34</f>
        <v>1220</v>
      </c>
      <c r="K46" s="211">
        <f>Pricing!H34</f>
        <v>1350</v>
      </c>
      <c r="L46" s="211">
        <f>Pricing!I34</f>
        <v>1</v>
      </c>
      <c r="M46" s="183">
        <f t="shared" si="2"/>
        <v>1.647</v>
      </c>
      <c r="N46" s="184">
        <f>'Cost Calculation'!AS38</f>
        <v>38857.031862044874</v>
      </c>
      <c r="O46" s="95"/>
    </row>
    <row r="47" spans="2:15" s="94" customFormat="1" ht="49.9" customHeight="1" thickTop="1" thickBot="1">
      <c r="B47" s="416">
        <f>Pricing!A35</f>
        <v>32</v>
      </c>
      <c r="C47" s="417"/>
      <c r="D47" s="182" t="str">
        <f>Pricing!B35</f>
        <v>SW13</v>
      </c>
      <c r="E47" s="182" t="str">
        <f>Pricing!C35</f>
        <v>M900</v>
      </c>
      <c r="F47" s="182" t="str">
        <f>Pricing!D35</f>
        <v>3 TRACK 2 SHUTTER SLIDING WINDOW</v>
      </c>
      <c r="G47" s="182" t="str">
        <f>Pricing!N35</f>
        <v>6MM</v>
      </c>
      <c r="H47" s="182" t="str">
        <f>Pricing!F35</f>
        <v>DRIVER / SERVANT</v>
      </c>
      <c r="I47" s="211" t="str">
        <f>Pricing!E35</f>
        <v>SS</v>
      </c>
      <c r="J47" s="211">
        <f>Pricing!G35</f>
        <v>1220</v>
      </c>
      <c r="K47" s="211">
        <f>Pricing!H35</f>
        <v>1350</v>
      </c>
      <c r="L47" s="211">
        <f>Pricing!I35</f>
        <v>2</v>
      </c>
      <c r="M47" s="183">
        <f t="shared" si="2"/>
        <v>3.294</v>
      </c>
      <c r="N47" s="184">
        <f>'Cost Calculation'!AS39</f>
        <v>77714.063724089749</v>
      </c>
      <c r="O47" s="95"/>
    </row>
    <row r="48" spans="2:15" s="94" customFormat="1" ht="49.9" customHeight="1" thickTop="1" thickBot="1">
      <c r="B48" s="416">
        <f>Pricing!A36</f>
        <v>33</v>
      </c>
      <c r="C48" s="417"/>
      <c r="D48" s="182" t="str">
        <f>Pricing!B36</f>
        <v>CW12</v>
      </c>
      <c r="E48" s="182" t="str">
        <f>Pricing!C36</f>
        <v>M940</v>
      </c>
      <c r="F48" s="182" t="str">
        <f>Pricing!D36</f>
        <v>FRENCH CASEMENT WINDOW</v>
      </c>
      <c r="G48" s="182" t="str">
        <f>Pricing!N36</f>
        <v>6MM</v>
      </c>
      <c r="H48" s="182" t="str">
        <f>Pricing!F36</f>
        <v>SERVANT HALL</v>
      </c>
      <c r="I48" s="211" t="str">
        <f>Pricing!E36</f>
        <v>NO</v>
      </c>
      <c r="J48" s="211">
        <f>Pricing!G36</f>
        <v>915</v>
      </c>
      <c r="K48" s="211">
        <f>Pricing!H36</f>
        <v>1365</v>
      </c>
      <c r="L48" s="211">
        <f>Pricing!I36</f>
        <v>1</v>
      </c>
      <c r="M48" s="183">
        <f t="shared" si="2"/>
        <v>1.2489749999999999</v>
      </c>
      <c r="N48" s="184">
        <f>'Cost Calculation'!AS40</f>
        <v>50094.059394399766</v>
      </c>
      <c r="O48" s="95"/>
    </row>
    <row r="49" spans="2:15" s="94" customFormat="1" ht="49.9" customHeight="1" thickTop="1" thickBot="1">
      <c r="B49" s="416">
        <f>Pricing!A37</f>
        <v>34</v>
      </c>
      <c r="C49" s="417"/>
      <c r="D49" s="182" t="str">
        <f>Pricing!B37</f>
        <v>CW13</v>
      </c>
      <c r="E49" s="182" t="str">
        <f>Pricing!C37</f>
        <v>M940</v>
      </c>
      <c r="F49" s="182" t="str">
        <f>Pricing!D37</f>
        <v>SIDE HUNG WINDOW</v>
      </c>
      <c r="G49" s="182" t="str">
        <f>Pricing!N37</f>
        <v>6MM</v>
      </c>
      <c r="H49" s="182" t="str">
        <f>Pricing!F37</f>
        <v>SERVANT KITCHEN</v>
      </c>
      <c r="I49" s="211" t="str">
        <f>Pricing!E37</f>
        <v>NO</v>
      </c>
      <c r="J49" s="211">
        <f>Pricing!G37</f>
        <v>720</v>
      </c>
      <c r="K49" s="211">
        <f>Pricing!H37</f>
        <v>1365</v>
      </c>
      <c r="L49" s="211">
        <f>Pricing!I37</f>
        <v>2</v>
      </c>
      <c r="M49" s="183">
        <f t="shared" si="2"/>
        <v>1.9656</v>
      </c>
      <c r="N49" s="184">
        <f>'Cost Calculation'!AS41</f>
        <v>64531.621171623592</v>
      </c>
      <c r="O49" s="95"/>
    </row>
    <row r="50" spans="2:15" s="94" customFormat="1" ht="49.9" customHeight="1" thickTop="1" thickBot="1">
      <c r="B50" s="416">
        <f>Pricing!A38</f>
        <v>35</v>
      </c>
      <c r="C50" s="417"/>
      <c r="D50" s="182" t="str">
        <f>Pricing!B38</f>
        <v>CW14</v>
      </c>
      <c r="E50" s="182" t="str">
        <f>Pricing!C38</f>
        <v>M940</v>
      </c>
      <c r="F50" s="182" t="str">
        <f>Pricing!D38</f>
        <v>SIDE HUNG WINDOW</v>
      </c>
      <c r="G50" s="182" t="str">
        <f>Pricing!N38</f>
        <v>6MM</v>
      </c>
      <c r="H50" s="182" t="str">
        <f>Pricing!F38</f>
        <v>SERVANT KITCHEN</v>
      </c>
      <c r="I50" s="211" t="str">
        <f>Pricing!E38</f>
        <v>NO</v>
      </c>
      <c r="J50" s="211">
        <f>Pricing!G38</f>
        <v>720</v>
      </c>
      <c r="K50" s="211">
        <f>Pricing!H38</f>
        <v>1220</v>
      </c>
      <c r="L50" s="211">
        <f>Pricing!I38</f>
        <v>1</v>
      </c>
      <c r="M50" s="183">
        <f t="shared" si="2"/>
        <v>0.87839999999999996</v>
      </c>
      <c r="N50" s="184">
        <f>'Cost Calculation'!AS42</f>
        <v>29770.107626085923</v>
      </c>
      <c r="O50" s="95"/>
    </row>
    <row r="51" spans="2:15" s="94" customFormat="1" ht="49.9" customHeight="1" thickTop="1" thickBot="1">
      <c r="B51" s="416">
        <f>Pricing!A39</f>
        <v>36</v>
      </c>
      <c r="C51" s="417"/>
      <c r="D51" s="182" t="str">
        <f>Pricing!B39</f>
        <v>V4</v>
      </c>
      <c r="E51" s="182" t="str">
        <f>Pricing!C39</f>
        <v>M940</v>
      </c>
      <c r="F51" s="182" t="str">
        <f>Pricing!D39</f>
        <v>TOP HUNG WINDOW</v>
      </c>
      <c r="G51" s="182" t="str">
        <f>Pricing!N39</f>
        <v>6MM (F)</v>
      </c>
      <c r="H51" s="182" t="str">
        <f>Pricing!F39</f>
        <v>TOILET</v>
      </c>
      <c r="I51" s="211" t="str">
        <f>Pricing!E39</f>
        <v>NO</v>
      </c>
      <c r="J51" s="211">
        <f>Pricing!G39</f>
        <v>760</v>
      </c>
      <c r="K51" s="211">
        <f>Pricing!H39</f>
        <v>760</v>
      </c>
      <c r="L51" s="211">
        <f>Pricing!I39</f>
        <v>2</v>
      </c>
      <c r="M51" s="183">
        <f t="shared" si="2"/>
        <v>1.1552</v>
      </c>
      <c r="N51" s="184">
        <f>'Cost Calculation'!AS43</f>
        <v>58439.599378196122</v>
      </c>
      <c r="O51" s="95"/>
    </row>
    <row r="52" spans="2:15" s="94" customFormat="1" ht="49.9" hidden="1" customHeight="1" thickTop="1" thickBot="1">
      <c r="B52" s="416">
        <f>Pricing!A40</f>
        <v>37</v>
      </c>
      <c r="C52" s="417"/>
      <c r="D52" s="182">
        <f>Pricing!B40</f>
        <v>0</v>
      </c>
      <c r="E52" s="182">
        <f>Pricing!C40</f>
        <v>0</v>
      </c>
      <c r="F52" s="182">
        <f>Pricing!D40</f>
        <v>0</v>
      </c>
      <c r="G52" s="182">
        <f>Pricing!N40</f>
        <v>0</v>
      </c>
      <c r="H52" s="182">
        <f>Pricing!F40</f>
        <v>0</v>
      </c>
      <c r="I52" s="211">
        <f>Pricing!E40</f>
        <v>0</v>
      </c>
      <c r="J52" s="211">
        <f>Pricing!G40</f>
        <v>0</v>
      </c>
      <c r="K52" s="211">
        <f>Pricing!H40</f>
        <v>0</v>
      </c>
      <c r="L52" s="211">
        <f>Pricing!I40</f>
        <v>0</v>
      </c>
      <c r="M52" s="183">
        <f t="shared" si="2"/>
        <v>0</v>
      </c>
      <c r="N52" s="184">
        <f>'Cost Calculation'!AS44</f>
        <v>0</v>
      </c>
      <c r="O52" s="95"/>
    </row>
    <row r="53" spans="2:15" s="94" customFormat="1" ht="49.9" hidden="1" customHeight="1" thickTop="1" thickBot="1">
      <c r="B53" s="416">
        <f>Pricing!A41</f>
        <v>38</v>
      </c>
      <c r="C53" s="417"/>
      <c r="D53" s="182">
        <f>Pricing!B41</f>
        <v>0</v>
      </c>
      <c r="E53" s="182">
        <f>Pricing!C41</f>
        <v>0</v>
      </c>
      <c r="F53" s="182">
        <f>Pricing!D41</f>
        <v>0</v>
      </c>
      <c r="G53" s="182">
        <f>Pricing!N41</f>
        <v>0</v>
      </c>
      <c r="H53" s="182">
        <f>Pricing!F41</f>
        <v>0</v>
      </c>
      <c r="I53" s="211">
        <f>Pricing!E41</f>
        <v>0</v>
      </c>
      <c r="J53" s="211">
        <f>Pricing!G41</f>
        <v>0</v>
      </c>
      <c r="K53" s="211">
        <f>Pricing!H41</f>
        <v>0</v>
      </c>
      <c r="L53" s="211">
        <f>Pricing!I41</f>
        <v>0</v>
      </c>
      <c r="M53" s="183">
        <f t="shared" si="2"/>
        <v>0</v>
      </c>
      <c r="N53" s="184">
        <f>'Cost Calculation'!AS45</f>
        <v>0</v>
      </c>
      <c r="O53" s="95"/>
    </row>
    <row r="54" spans="2:15" s="94" customFormat="1" ht="49.9" hidden="1" customHeight="1" thickTop="1" thickBot="1">
      <c r="B54" s="416">
        <f>Pricing!A42</f>
        <v>39</v>
      </c>
      <c r="C54" s="417"/>
      <c r="D54" s="182">
        <f>Pricing!B42</f>
        <v>0</v>
      </c>
      <c r="E54" s="182">
        <f>Pricing!C42</f>
        <v>0</v>
      </c>
      <c r="F54" s="182">
        <f>Pricing!D42</f>
        <v>0</v>
      </c>
      <c r="G54" s="182">
        <f>Pricing!N42</f>
        <v>0</v>
      </c>
      <c r="H54" s="182">
        <f>Pricing!F42</f>
        <v>0</v>
      </c>
      <c r="I54" s="211">
        <f>Pricing!E42</f>
        <v>0</v>
      </c>
      <c r="J54" s="211">
        <f>Pricing!G42</f>
        <v>0</v>
      </c>
      <c r="K54" s="211">
        <f>Pricing!H42</f>
        <v>0</v>
      </c>
      <c r="L54" s="211">
        <f>Pricing!I42</f>
        <v>0</v>
      </c>
      <c r="M54" s="183">
        <f t="shared" si="2"/>
        <v>0</v>
      </c>
      <c r="N54" s="184">
        <f>'Cost Calculation'!AS46</f>
        <v>0</v>
      </c>
      <c r="O54" s="95"/>
    </row>
    <row r="55" spans="2:15" s="94" customFormat="1" ht="49.9" hidden="1" customHeight="1" thickTop="1" thickBot="1">
      <c r="B55" s="416">
        <f>Pricing!A43</f>
        <v>40</v>
      </c>
      <c r="C55" s="417"/>
      <c r="D55" s="182">
        <f>Pricing!B43</f>
        <v>0</v>
      </c>
      <c r="E55" s="182">
        <f>Pricing!C43</f>
        <v>0</v>
      </c>
      <c r="F55" s="182">
        <f>Pricing!D43</f>
        <v>0</v>
      </c>
      <c r="G55" s="182">
        <f>Pricing!N43</f>
        <v>0</v>
      </c>
      <c r="H55" s="182">
        <f>Pricing!F43</f>
        <v>0</v>
      </c>
      <c r="I55" s="211">
        <f>Pricing!E43</f>
        <v>0</v>
      </c>
      <c r="J55" s="211">
        <f>Pricing!G43</f>
        <v>0</v>
      </c>
      <c r="K55" s="211">
        <f>Pricing!H43</f>
        <v>0</v>
      </c>
      <c r="L55" s="211">
        <f>Pricing!I43</f>
        <v>0</v>
      </c>
      <c r="M55" s="183">
        <f t="shared" si="2"/>
        <v>0</v>
      </c>
      <c r="N55" s="184">
        <f>'Cost Calculation'!AS47</f>
        <v>0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2">
        <f>Pricing!B44</f>
        <v>0</v>
      </c>
      <c r="E56" s="182">
        <f>Pricing!C44</f>
        <v>0</v>
      </c>
      <c r="F56" s="182">
        <f>Pricing!D44</f>
        <v>0</v>
      </c>
      <c r="G56" s="182">
        <f>Pricing!N44</f>
        <v>0</v>
      </c>
      <c r="H56" s="182">
        <f>Pricing!F44</f>
        <v>0</v>
      </c>
      <c r="I56" s="211">
        <f>Pricing!E44</f>
        <v>0</v>
      </c>
      <c r="J56" s="211">
        <f>Pricing!G44</f>
        <v>0</v>
      </c>
      <c r="K56" s="211">
        <f>Pricing!H44</f>
        <v>0</v>
      </c>
      <c r="L56" s="211">
        <f>Pricing!I44</f>
        <v>0</v>
      </c>
      <c r="M56" s="183">
        <f t="shared" si="2"/>
        <v>0</v>
      </c>
      <c r="N56" s="184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2">
        <f>Pricing!B45</f>
        <v>0</v>
      </c>
      <c r="E57" s="182">
        <f>Pricing!C45</f>
        <v>0</v>
      </c>
      <c r="F57" s="182">
        <f>Pricing!D45</f>
        <v>0</v>
      </c>
      <c r="G57" s="182">
        <f>Pricing!N45</f>
        <v>0</v>
      </c>
      <c r="H57" s="182">
        <f>Pricing!F45</f>
        <v>0</v>
      </c>
      <c r="I57" s="211">
        <f>Pricing!E45</f>
        <v>0</v>
      </c>
      <c r="J57" s="211">
        <f>Pricing!G45</f>
        <v>0</v>
      </c>
      <c r="K57" s="211">
        <f>Pricing!H45</f>
        <v>0</v>
      </c>
      <c r="L57" s="211">
        <f>Pricing!I45</f>
        <v>0</v>
      </c>
      <c r="M57" s="183">
        <f t="shared" si="2"/>
        <v>0</v>
      </c>
      <c r="N57" s="184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2">
        <f>Pricing!B46</f>
        <v>0</v>
      </c>
      <c r="E58" s="182">
        <f>Pricing!C46</f>
        <v>0</v>
      </c>
      <c r="F58" s="182">
        <f>Pricing!D46</f>
        <v>0</v>
      </c>
      <c r="G58" s="182">
        <f>Pricing!N46</f>
        <v>0</v>
      </c>
      <c r="H58" s="182">
        <f>Pricing!F46</f>
        <v>0</v>
      </c>
      <c r="I58" s="211">
        <f>Pricing!E46</f>
        <v>0</v>
      </c>
      <c r="J58" s="211">
        <f>Pricing!G46</f>
        <v>0</v>
      </c>
      <c r="K58" s="211">
        <f>Pricing!H46</f>
        <v>0</v>
      </c>
      <c r="L58" s="211">
        <f>Pricing!I46</f>
        <v>0</v>
      </c>
      <c r="M58" s="183">
        <f t="shared" si="2"/>
        <v>0</v>
      </c>
      <c r="N58" s="184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2">
        <f>Pricing!B47</f>
        <v>0</v>
      </c>
      <c r="E59" s="182">
        <f>Pricing!C47</f>
        <v>0</v>
      </c>
      <c r="F59" s="182">
        <f>Pricing!D47</f>
        <v>0</v>
      </c>
      <c r="G59" s="182">
        <f>Pricing!N47</f>
        <v>0</v>
      </c>
      <c r="H59" s="182">
        <f>Pricing!F47</f>
        <v>0</v>
      </c>
      <c r="I59" s="211">
        <f>Pricing!E47</f>
        <v>0</v>
      </c>
      <c r="J59" s="211">
        <f>Pricing!G47</f>
        <v>0</v>
      </c>
      <c r="K59" s="211">
        <f>Pricing!H47</f>
        <v>0</v>
      </c>
      <c r="L59" s="211">
        <f>Pricing!I47</f>
        <v>0</v>
      </c>
      <c r="M59" s="183">
        <f t="shared" si="2"/>
        <v>0</v>
      </c>
      <c r="N59" s="184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2">
        <f>Pricing!B48</f>
        <v>0</v>
      </c>
      <c r="E60" s="182">
        <f>Pricing!C48</f>
        <v>0</v>
      </c>
      <c r="F60" s="182">
        <f>Pricing!D48</f>
        <v>0</v>
      </c>
      <c r="G60" s="182">
        <f>Pricing!N48</f>
        <v>0</v>
      </c>
      <c r="H60" s="182">
        <f>Pricing!F48</f>
        <v>0</v>
      </c>
      <c r="I60" s="211">
        <f>Pricing!E48</f>
        <v>0</v>
      </c>
      <c r="J60" s="211">
        <f>Pricing!G48</f>
        <v>0</v>
      </c>
      <c r="K60" s="211">
        <f>Pricing!H48</f>
        <v>0</v>
      </c>
      <c r="L60" s="211">
        <f>Pricing!I48</f>
        <v>0</v>
      </c>
      <c r="M60" s="183">
        <f t="shared" si="2"/>
        <v>0</v>
      </c>
      <c r="N60" s="184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2">
        <f>Pricing!B49</f>
        <v>0</v>
      </c>
      <c r="E61" s="182">
        <f>Pricing!C49</f>
        <v>0</v>
      </c>
      <c r="F61" s="182">
        <f>Pricing!D49</f>
        <v>0</v>
      </c>
      <c r="G61" s="182">
        <f>Pricing!N49</f>
        <v>0</v>
      </c>
      <c r="H61" s="182">
        <f>Pricing!F49</f>
        <v>0</v>
      </c>
      <c r="I61" s="211">
        <f>Pricing!E49</f>
        <v>0</v>
      </c>
      <c r="J61" s="211">
        <f>Pricing!G49</f>
        <v>0</v>
      </c>
      <c r="K61" s="211">
        <f>Pricing!H49</f>
        <v>0</v>
      </c>
      <c r="L61" s="211">
        <f>Pricing!I49</f>
        <v>0</v>
      </c>
      <c r="M61" s="183">
        <f t="shared" si="2"/>
        <v>0</v>
      </c>
      <c r="N61" s="184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2">
        <f>Pricing!B50</f>
        <v>0</v>
      </c>
      <c r="E62" s="182">
        <f>Pricing!C50</f>
        <v>0</v>
      </c>
      <c r="F62" s="182">
        <f>Pricing!D50</f>
        <v>0</v>
      </c>
      <c r="G62" s="182">
        <f>Pricing!N50</f>
        <v>0</v>
      </c>
      <c r="H62" s="182">
        <f>Pricing!F50</f>
        <v>0</v>
      </c>
      <c r="I62" s="211">
        <f>Pricing!E50</f>
        <v>0</v>
      </c>
      <c r="J62" s="211">
        <f>Pricing!G50</f>
        <v>0</v>
      </c>
      <c r="K62" s="211">
        <f>Pricing!H50</f>
        <v>0</v>
      </c>
      <c r="L62" s="211">
        <f>Pricing!I50</f>
        <v>0</v>
      </c>
      <c r="M62" s="183">
        <f t="shared" si="2"/>
        <v>0</v>
      </c>
      <c r="N62" s="184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2">
        <f>Pricing!B51</f>
        <v>0</v>
      </c>
      <c r="E63" s="182">
        <f>Pricing!C51</f>
        <v>0</v>
      </c>
      <c r="F63" s="182">
        <f>Pricing!D51</f>
        <v>0</v>
      </c>
      <c r="G63" s="182">
        <f>Pricing!N51</f>
        <v>0</v>
      </c>
      <c r="H63" s="182">
        <f>Pricing!F51</f>
        <v>0</v>
      </c>
      <c r="I63" s="211">
        <f>Pricing!E51</f>
        <v>0</v>
      </c>
      <c r="J63" s="211">
        <f>Pricing!G51</f>
        <v>0</v>
      </c>
      <c r="K63" s="211">
        <f>Pricing!H51</f>
        <v>0</v>
      </c>
      <c r="L63" s="211">
        <f>Pricing!I51</f>
        <v>0</v>
      </c>
      <c r="M63" s="183">
        <f t="shared" si="2"/>
        <v>0</v>
      </c>
      <c r="N63" s="184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2">
        <f>Pricing!B52</f>
        <v>0</v>
      </c>
      <c r="E64" s="182">
        <f>Pricing!C52</f>
        <v>0</v>
      </c>
      <c r="F64" s="182">
        <f>Pricing!D52</f>
        <v>0</v>
      </c>
      <c r="G64" s="182">
        <f>Pricing!N52</f>
        <v>0</v>
      </c>
      <c r="H64" s="182">
        <f>Pricing!F52</f>
        <v>0</v>
      </c>
      <c r="I64" s="211">
        <f>Pricing!E52</f>
        <v>0</v>
      </c>
      <c r="J64" s="211">
        <f>Pricing!G52</f>
        <v>0</v>
      </c>
      <c r="K64" s="211">
        <f>Pricing!H52</f>
        <v>0</v>
      </c>
      <c r="L64" s="211">
        <f>Pricing!I52</f>
        <v>0</v>
      </c>
      <c r="M64" s="183">
        <f t="shared" si="2"/>
        <v>0</v>
      </c>
      <c r="N64" s="184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2">
        <f>Pricing!B53</f>
        <v>0</v>
      </c>
      <c r="E65" s="182">
        <f>Pricing!C53</f>
        <v>0</v>
      </c>
      <c r="F65" s="182">
        <f>Pricing!D53</f>
        <v>0</v>
      </c>
      <c r="G65" s="182">
        <f>Pricing!N53</f>
        <v>0</v>
      </c>
      <c r="H65" s="182">
        <f>Pricing!F53</f>
        <v>0</v>
      </c>
      <c r="I65" s="211">
        <f>Pricing!E53</f>
        <v>0</v>
      </c>
      <c r="J65" s="211">
        <f>Pricing!G53</f>
        <v>0</v>
      </c>
      <c r="K65" s="211">
        <f>Pricing!H53</f>
        <v>0</v>
      </c>
      <c r="L65" s="211">
        <f>Pricing!I53</f>
        <v>0</v>
      </c>
      <c r="M65" s="183">
        <f t="shared" si="2"/>
        <v>0</v>
      </c>
      <c r="N65" s="184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2">
        <f>Pricing!B54</f>
        <v>0</v>
      </c>
      <c r="E66" s="182">
        <f>Pricing!C54</f>
        <v>0</v>
      </c>
      <c r="F66" s="182">
        <f>Pricing!D54</f>
        <v>0</v>
      </c>
      <c r="G66" s="182">
        <f>Pricing!N54</f>
        <v>0</v>
      </c>
      <c r="H66" s="182">
        <f>Pricing!F54</f>
        <v>0</v>
      </c>
      <c r="I66" s="224">
        <f>Pricing!E54</f>
        <v>0</v>
      </c>
      <c r="J66" s="224">
        <f>Pricing!G54</f>
        <v>0</v>
      </c>
      <c r="K66" s="224">
        <f>Pricing!H54</f>
        <v>0</v>
      </c>
      <c r="L66" s="224">
        <f>Pricing!I54</f>
        <v>0</v>
      </c>
      <c r="M66" s="183">
        <f t="shared" si="2"/>
        <v>0</v>
      </c>
      <c r="N66" s="184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2">
        <f>Pricing!B55</f>
        <v>0</v>
      </c>
      <c r="E67" s="182">
        <f>Pricing!C55</f>
        <v>0</v>
      </c>
      <c r="F67" s="182">
        <f>Pricing!D55</f>
        <v>0</v>
      </c>
      <c r="G67" s="182">
        <f>Pricing!N55</f>
        <v>0</v>
      </c>
      <c r="H67" s="182">
        <f>Pricing!F55</f>
        <v>0</v>
      </c>
      <c r="I67" s="224">
        <f>Pricing!E55</f>
        <v>0</v>
      </c>
      <c r="J67" s="224">
        <f>Pricing!G55</f>
        <v>0</v>
      </c>
      <c r="K67" s="224">
        <f>Pricing!H55</f>
        <v>0</v>
      </c>
      <c r="L67" s="224">
        <f>Pricing!I55</f>
        <v>0</v>
      </c>
      <c r="M67" s="183">
        <f t="shared" si="2"/>
        <v>0</v>
      </c>
      <c r="N67" s="184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2">
        <f>Pricing!B56</f>
        <v>0</v>
      </c>
      <c r="E68" s="182">
        <f>Pricing!C56</f>
        <v>0</v>
      </c>
      <c r="F68" s="182">
        <f>Pricing!D56</f>
        <v>0</v>
      </c>
      <c r="G68" s="182">
        <f>Pricing!N56</f>
        <v>0</v>
      </c>
      <c r="H68" s="182">
        <f>Pricing!F56</f>
        <v>0</v>
      </c>
      <c r="I68" s="224">
        <f>Pricing!E56</f>
        <v>0</v>
      </c>
      <c r="J68" s="224">
        <f>Pricing!G56</f>
        <v>0</v>
      </c>
      <c r="K68" s="224">
        <f>Pricing!H56</f>
        <v>0</v>
      </c>
      <c r="L68" s="224">
        <f>Pricing!I56</f>
        <v>0</v>
      </c>
      <c r="M68" s="183">
        <f t="shared" si="2"/>
        <v>0</v>
      </c>
      <c r="N68" s="184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2">
        <f>Pricing!B57</f>
        <v>0</v>
      </c>
      <c r="E69" s="182">
        <f>Pricing!C57</f>
        <v>0</v>
      </c>
      <c r="F69" s="182">
        <f>Pricing!D57</f>
        <v>0</v>
      </c>
      <c r="G69" s="182">
        <f>Pricing!N57</f>
        <v>0</v>
      </c>
      <c r="H69" s="182">
        <f>Pricing!F57</f>
        <v>0</v>
      </c>
      <c r="I69" s="224">
        <f>Pricing!E57</f>
        <v>0</v>
      </c>
      <c r="J69" s="224">
        <f>Pricing!G57</f>
        <v>0</v>
      </c>
      <c r="K69" s="224">
        <f>Pricing!H57</f>
        <v>0</v>
      </c>
      <c r="L69" s="224">
        <f>Pricing!I57</f>
        <v>0</v>
      </c>
      <c r="M69" s="183">
        <f t="shared" si="2"/>
        <v>0</v>
      </c>
      <c r="N69" s="184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2">
        <f>Pricing!B58</f>
        <v>0</v>
      </c>
      <c r="E70" s="182">
        <f>Pricing!C58</f>
        <v>0</v>
      </c>
      <c r="F70" s="182">
        <f>Pricing!D58</f>
        <v>0</v>
      </c>
      <c r="G70" s="182">
        <f>Pricing!N58</f>
        <v>0</v>
      </c>
      <c r="H70" s="182">
        <f>Pricing!F58</f>
        <v>0</v>
      </c>
      <c r="I70" s="224">
        <f>Pricing!E58</f>
        <v>0</v>
      </c>
      <c r="J70" s="224">
        <f>Pricing!G58</f>
        <v>0</v>
      </c>
      <c r="K70" s="224">
        <f>Pricing!H58</f>
        <v>0</v>
      </c>
      <c r="L70" s="224">
        <f>Pricing!I58</f>
        <v>0</v>
      </c>
      <c r="M70" s="183">
        <f t="shared" si="2"/>
        <v>0</v>
      </c>
      <c r="N70" s="184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2">
        <f>Pricing!B59</f>
        <v>0</v>
      </c>
      <c r="E71" s="182">
        <f>Pricing!C59</f>
        <v>0</v>
      </c>
      <c r="F71" s="182">
        <f>Pricing!D59</f>
        <v>0</v>
      </c>
      <c r="G71" s="182">
        <f>Pricing!N59</f>
        <v>0</v>
      </c>
      <c r="H71" s="182">
        <f>Pricing!F59</f>
        <v>0</v>
      </c>
      <c r="I71" s="224">
        <f>Pricing!E59</f>
        <v>0</v>
      </c>
      <c r="J71" s="224">
        <f>Pricing!G59</f>
        <v>0</v>
      </c>
      <c r="K71" s="224">
        <f>Pricing!H59</f>
        <v>0</v>
      </c>
      <c r="L71" s="224">
        <f>Pricing!I59</f>
        <v>0</v>
      </c>
      <c r="M71" s="183">
        <f t="shared" si="2"/>
        <v>0</v>
      </c>
      <c r="N71" s="184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2">
        <f>Pricing!B60</f>
        <v>0</v>
      </c>
      <c r="E72" s="182">
        <f>Pricing!C60</f>
        <v>0</v>
      </c>
      <c r="F72" s="182">
        <f>Pricing!D60</f>
        <v>0</v>
      </c>
      <c r="G72" s="182">
        <f>Pricing!N60</f>
        <v>0</v>
      </c>
      <c r="H72" s="182">
        <f>Pricing!F60</f>
        <v>0</v>
      </c>
      <c r="I72" s="224">
        <f>Pricing!E60</f>
        <v>0</v>
      </c>
      <c r="J72" s="224">
        <f>Pricing!G60</f>
        <v>0</v>
      </c>
      <c r="K72" s="224">
        <f>Pricing!H60</f>
        <v>0</v>
      </c>
      <c r="L72" s="224">
        <f>Pricing!I60</f>
        <v>0</v>
      </c>
      <c r="M72" s="183">
        <f t="shared" si="2"/>
        <v>0</v>
      </c>
      <c r="N72" s="184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2">
        <f>Pricing!B61</f>
        <v>0</v>
      </c>
      <c r="E73" s="182">
        <f>Pricing!C61</f>
        <v>0</v>
      </c>
      <c r="F73" s="182">
        <f>Pricing!D61</f>
        <v>0</v>
      </c>
      <c r="G73" s="182">
        <f>Pricing!N61</f>
        <v>0</v>
      </c>
      <c r="H73" s="182">
        <f>Pricing!F61</f>
        <v>0</v>
      </c>
      <c r="I73" s="224">
        <f>Pricing!E61</f>
        <v>0</v>
      </c>
      <c r="J73" s="224">
        <f>Pricing!G61</f>
        <v>0</v>
      </c>
      <c r="K73" s="224">
        <f>Pricing!H61</f>
        <v>0</v>
      </c>
      <c r="L73" s="224">
        <f>Pricing!I61</f>
        <v>0</v>
      </c>
      <c r="M73" s="183">
        <f t="shared" si="2"/>
        <v>0</v>
      </c>
      <c r="N73" s="184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2">
        <f>Pricing!B62</f>
        <v>0</v>
      </c>
      <c r="E74" s="182">
        <f>Pricing!C62</f>
        <v>0</v>
      </c>
      <c r="F74" s="182">
        <f>Pricing!D62</f>
        <v>0</v>
      </c>
      <c r="G74" s="182">
        <f>Pricing!N62</f>
        <v>0</v>
      </c>
      <c r="H74" s="182">
        <f>Pricing!F62</f>
        <v>0</v>
      </c>
      <c r="I74" s="224">
        <f>Pricing!E62</f>
        <v>0</v>
      </c>
      <c r="J74" s="224">
        <f>Pricing!G62</f>
        <v>0</v>
      </c>
      <c r="K74" s="224">
        <f>Pricing!H62</f>
        <v>0</v>
      </c>
      <c r="L74" s="224">
        <f>Pricing!I62</f>
        <v>0</v>
      </c>
      <c r="M74" s="183">
        <f t="shared" si="2"/>
        <v>0</v>
      </c>
      <c r="N74" s="184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2">
        <f>Pricing!B63</f>
        <v>0</v>
      </c>
      <c r="E75" s="182">
        <f>Pricing!C63</f>
        <v>0</v>
      </c>
      <c r="F75" s="182">
        <f>Pricing!D63</f>
        <v>0</v>
      </c>
      <c r="G75" s="182">
        <f>Pricing!N63</f>
        <v>0</v>
      </c>
      <c r="H75" s="182">
        <f>Pricing!F63</f>
        <v>0</v>
      </c>
      <c r="I75" s="224">
        <f>Pricing!E63</f>
        <v>0</v>
      </c>
      <c r="J75" s="224">
        <f>Pricing!G63</f>
        <v>0</v>
      </c>
      <c r="K75" s="224">
        <f>Pricing!H63</f>
        <v>0</v>
      </c>
      <c r="L75" s="224">
        <f>Pricing!I63</f>
        <v>0</v>
      </c>
      <c r="M75" s="183">
        <f t="shared" si="2"/>
        <v>0</v>
      </c>
      <c r="N75" s="184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2">
        <f>Pricing!B64</f>
        <v>0</v>
      </c>
      <c r="E76" s="182">
        <f>Pricing!C64</f>
        <v>0</v>
      </c>
      <c r="F76" s="182">
        <f>Pricing!D64</f>
        <v>0</v>
      </c>
      <c r="G76" s="182">
        <f>Pricing!N64</f>
        <v>0</v>
      </c>
      <c r="H76" s="182">
        <f>Pricing!F64</f>
        <v>0</v>
      </c>
      <c r="I76" s="224">
        <f>Pricing!E64</f>
        <v>0</v>
      </c>
      <c r="J76" s="224">
        <f>Pricing!G64</f>
        <v>0</v>
      </c>
      <c r="K76" s="224">
        <f>Pricing!H64</f>
        <v>0</v>
      </c>
      <c r="L76" s="224">
        <f>Pricing!I64</f>
        <v>0</v>
      </c>
      <c r="M76" s="183">
        <f t="shared" si="2"/>
        <v>0</v>
      </c>
      <c r="N76" s="184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2">
        <f>Pricing!B65</f>
        <v>0</v>
      </c>
      <c r="E77" s="182">
        <f>Pricing!C65</f>
        <v>0</v>
      </c>
      <c r="F77" s="182">
        <f>Pricing!D65</f>
        <v>0</v>
      </c>
      <c r="G77" s="182">
        <f>Pricing!N65</f>
        <v>0</v>
      </c>
      <c r="H77" s="182">
        <f>Pricing!F65</f>
        <v>0</v>
      </c>
      <c r="I77" s="224">
        <f>Pricing!E65</f>
        <v>0</v>
      </c>
      <c r="J77" s="224">
        <f>Pricing!G65</f>
        <v>0</v>
      </c>
      <c r="K77" s="224">
        <f>Pricing!H65</f>
        <v>0</v>
      </c>
      <c r="L77" s="224">
        <f>Pricing!I65</f>
        <v>0</v>
      </c>
      <c r="M77" s="183">
        <f t="shared" si="2"/>
        <v>0</v>
      </c>
      <c r="N77" s="184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2">
        <f>Pricing!B66</f>
        <v>0</v>
      </c>
      <c r="E78" s="182">
        <f>Pricing!C66</f>
        <v>0</v>
      </c>
      <c r="F78" s="182">
        <f>Pricing!D66</f>
        <v>0</v>
      </c>
      <c r="G78" s="182">
        <f>Pricing!N66</f>
        <v>0</v>
      </c>
      <c r="H78" s="182">
        <f>Pricing!F66</f>
        <v>0</v>
      </c>
      <c r="I78" s="224">
        <f>Pricing!E66</f>
        <v>0</v>
      </c>
      <c r="J78" s="224">
        <f>Pricing!G66</f>
        <v>0</v>
      </c>
      <c r="K78" s="224">
        <f>Pricing!H66</f>
        <v>0</v>
      </c>
      <c r="L78" s="224">
        <f>Pricing!I66</f>
        <v>0</v>
      </c>
      <c r="M78" s="183">
        <f t="shared" si="2"/>
        <v>0</v>
      </c>
      <c r="N78" s="184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2">
        <f>Pricing!B67</f>
        <v>0</v>
      </c>
      <c r="E79" s="182">
        <f>Pricing!C67</f>
        <v>0</v>
      </c>
      <c r="F79" s="182">
        <f>Pricing!D67</f>
        <v>0</v>
      </c>
      <c r="G79" s="182">
        <f>Pricing!N67</f>
        <v>0</v>
      </c>
      <c r="H79" s="182">
        <f>Pricing!F67</f>
        <v>0</v>
      </c>
      <c r="I79" s="224">
        <f>Pricing!E67</f>
        <v>0</v>
      </c>
      <c r="J79" s="224">
        <f>Pricing!G67</f>
        <v>0</v>
      </c>
      <c r="K79" s="224">
        <f>Pricing!H67</f>
        <v>0</v>
      </c>
      <c r="L79" s="224">
        <f>Pricing!I67</f>
        <v>0</v>
      </c>
      <c r="M79" s="183">
        <f t="shared" si="2"/>
        <v>0</v>
      </c>
      <c r="N79" s="184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2">
        <f>Pricing!B68</f>
        <v>0</v>
      </c>
      <c r="E80" s="182">
        <f>Pricing!C68</f>
        <v>0</v>
      </c>
      <c r="F80" s="182">
        <f>Pricing!D68</f>
        <v>0</v>
      </c>
      <c r="G80" s="182">
        <f>Pricing!N68</f>
        <v>0</v>
      </c>
      <c r="H80" s="182">
        <f>Pricing!F68</f>
        <v>0</v>
      </c>
      <c r="I80" s="224">
        <f>Pricing!E68</f>
        <v>0</v>
      </c>
      <c r="J80" s="224">
        <f>Pricing!G68</f>
        <v>0</v>
      </c>
      <c r="K80" s="224">
        <f>Pricing!H68</f>
        <v>0</v>
      </c>
      <c r="L80" s="224">
        <f>Pricing!I68</f>
        <v>0</v>
      </c>
      <c r="M80" s="183">
        <f t="shared" si="2"/>
        <v>0</v>
      </c>
      <c r="N80" s="184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2">
        <f>Pricing!B69</f>
        <v>0</v>
      </c>
      <c r="E81" s="182">
        <f>Pricing!C69</f>
        <v>0</v>
      </c>
      <c r="F81" s="182">
        <f>Pricing!D69</f>
        <v>0</v>
      </c>
      <c r="G81" s="182">
        <f>Pricing!N69</f>
        <v>0</v>
      </c>
      <c r="H81" s="182">
        <f>Pricing!F69</f>
        <v>0</v>
      </c>
      <c r="I81" s="224">
        <f>Pricing!E69</f>
        <v>0</v>
      </c>
      <c r="J81" s="224">
        <f>Pricing!G69</f>
        <v>0</v>
      </c>
      <c r="K81" s="224">
        <f>Pricing!H69</f>
        <v>0</v>
      </c>
      <c r="L81" s="224">
        <f>Pricing!I69</f>
        <v>0</v>
      </c>
      <c r="M81" s="183">
        <f t="shared" si="2"/>
        <v>0</v>
      </c>
      <c r="N81" s="184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2">
        <f>Pricing!B70</f>
        <v>0</v>
      </c>
      <c r="E82" s="182">
        <f>Pricing!C70</f>
        <v>0</v>
      </c>
      <c r="F82" s="182">
        <f>Pricing!D70</f>
        <v>0</v>
      </c>
      <c r="G82" s="182">
        <f>Pricing!N70</f>
        <v>0</v>
      </c>
      <c r="H82" s="182">
        <f>Pricing!F70</f>
        <v>0</v>
      </c>
      <c r="I82" s="224">
        <f>Pricing!E70</f>
        <v>0</v>
      </c>
      <c r="J82" s="224">
        <f>Pricing!G70</f>
        <v>0</v>
      </c>
      <c r="K82" s="224">
        <f>Pricing!H70</f>
        <v>0</v>
      </c>
      <c r="L82" s="224">
        <f>Pricing!I70</f>
        <v>0</v>
      </c>
      <c r="M82" s="183">
        <f t="shared" si="2"/>
        <v>0</v>
      </c>
      <c r="N82" s="184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2">
        <f>Pricing!B71</f>
        <v>0</v>
      </c>
      <c r="E83" s="182">
        <f>Pricing!C71</f>
        <v>0</v>
      </c>
      <c r="F83" s="182">
        <f>Pricing!D71</f>
        <v>0</v>
      </c>
      <c r="G83" s="182">
        <f>Pricing!N71</f>
        <v>0</v>
      </c>
      <c r="H83" s="182">
        <f>Pricing!F71</f>
        <v>0</v>
      </c>
      <c r="I83" s="224">
        <f>Pricing!E71</f>
        <v>0</v>
      </c>
      <c r="J83" s="224">
        <f>Pricing!G71</f>
        <v>0</v>
      </c>
      <c r="K83" s="224">
        <f>Pricing!H71</f>
        <v>0</v>
      </c>
      <c r="L83" s="224">
        <f>Pricing!I71</f>
        <v>0</v>
      </c>
      <c r="M83" s="183">
        <f t="shared" si="2"/>
        <v>0</v>
      </c>
      <c r="N83" s="184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2">
        <f>Pricing!B72</f>
        <v>0</v>
      </c>
      <c r="E84" s="182">
        <f>Pricing!C72</f>
        <v>0</v>
      </c>
      <c r="F84" s="182">
        <f>Pricing!D72</f>
        <v>0</v>
      </c>
      <c r="G84" s="182">
        <f>Pricing!N72</f>
        <v>0</v>
      </c>
      <c r="H84" s="182">
        <f>Pricing!F72</f>
        <v>0</v>
      </c>
      <c r="I84" s="224">
        <f>Pricing!E72</f>
        <v>0</v>
      </c>
      <c r="J84" s="224">
        <f>Pricing!G72</f>
        <v>0</v>
      </c>
      <c r="K84" s="224">
        <f>Pricing!H72</f>
        <v>0</v>
      </c>
      <c r="L84" s="224">
        <f>Pricing!I72</f>
        <v>0</v>
      </c>
      <c r="M84" s="183">
        <f t="shared" si="2"/>
        <v>0</v>
      </c>
      <c r="N84" s="184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2">
        <f>Pricing!B73</f>
        <v>0</v>
      </c>
      <c r="E85" s="182">
        <f>Pricing!C73</f>
        <v>0</v>
      </c>
      <c r="F85" s="182">
        <f>Pricing!D73</f>
        <v>0</v>
      </c>
      <c r="G85" s="182">
        <f>Pricing!N73</f>
        <v>0</v>
      </c>
      <c r="H85" s="182">
        <f>Pricing!F73</f>
        <v>0</v>
      </c>
      <c r="I85" s="224">
        <f>Pricing!E73</f>
        <v>0</v>
      </c>
      <c r="J85" s="224">
        <f>Pricing!G73</f>
        <v>0</v>
      </c>
      <c r="K85" s="224">
        <f>Pricing!H73</f>
        <v>0</v>
      </c>
      <c r="L85" s="224">
        <f>Pricing!I73</f>
        <v>0</v>
      </c>
      <c r="M85" s="183">
        <f t="shared" si="2"/>
        <v>0</v>
      </c>
      <c r="N85" s="184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2">
        <f>Pricing!B74</f>
        <v>0</v>
      </c>
      <c r="E86" s="182">
        <f>Pricing!C74</f>
        <v>0</v>
      </c>
      <c r="F86" s="182">
        <f>Pricing!D74</f>
        <v>0</v>
      </c>
      <c r="G86" s="182">
        <f>Pricing!N74</f>
        <v>0</v>
      </c>
      <c r="H86" s="182">
        <f>Pricing!F74</f>
        <v>0</v>
      </c>
      <c r="I86" s="224">
        <f>Pricing!E74</f>
        <v>0</v>
      </c>
      <c r="J86" s="224">
        <f>Pricing!G74</f>
        <v>0</v>
      </c>
      <c r="K86" s="224">
        <f>Pricing!H74</f>
        <v>0</v>
      </c>
      <c r="L86" s="224">
        <f>Pricing!I74</f>
        <v>0</v>
      </c>
      <c r="M86" s="183">
        <f t="shared" si="2"/>
        <v>0</v>
      </c>
      <c r="N86" s="184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2">
        <f>Pricing!B75</f>
        <v>0</v>
      </c>
      <c r="E87" s="182">
        <f>Pricing!C75</f>
        <v>0</v>
      </c>
      <c r="F87" s="182">
        <f>Pricing!D75</f>
        <v>0</v>
      </c>
      <c r="G87" s="182">
        <f>Pricing!N75</f>
        <v>0</v>
      </c>
      <c r="H87" s="182">
        <f>Pricing!F75</f>
        <v>0</v>
      </c>
      <c r="I87" s="224">
        <f>Pricing!E75</f>
        <v>0</v>
      </c>
      <c r="J87" s="224">
        <f>Pricing!G75</f>
        <v>0</v>
      </c>
      <c r="K87" s="224">
        <f>Pricing!H75</f>
        <v>0</v>
      </c>
      <c r="L87" s="224">
        <f>Pricing!I75</f>
        <v>0</v>
      </c>
      <c r="M87" s="183">
        <f t="shared" si="2"/>
        <v>0</v>
      </c>
      <c r="N87" s="184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2">
        <f>Pricing!B76</f>
        <v>0</v>
      </c>
      <c r="E88" s="182">
        <f>Pricing!C76</f>
        <v>0</v>
      </c>
      <c r="F88" s="182">
        <f>Pricing!D76</f>
        <v>0</v>
      </c>
      <c r="G88" s="182">
        <f>Pricing!N76</f>
        <v>0</v>
      </c>
      <c r="H88" s="182">
        <f>Pricing!F76</f>
        <v>0</v>
      </c>
      <c r="I88" s="224">
        <f>Pricing!E76</f>
        <v>0</v>
      </c>
      <c r="J88" s="224">
        <f>Pricing!G76</f>
        <v>0</v>
      </c>
      <c r="K88" s="224">
        <f>Pricing!H76</f>
        <v>0</v>
      </c>
      <c r="L88" s="224">
        <f>Pricing!I76</f>
        <v>0</v>
      </c>
      <c r="M88" s="183">
        <f t="shared" si="2"/>
        <v>0</v>
      </c>
      <c r="N88" s="184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2">
        <f>Pricing!B77</f>
        <v>0</v>
      </c>
      <c r="E89" s="182">
        <f>Pricing!C77</f>
        <v>0</v>
      </c>
      <c r="F89" s="182">
        <f>Pricing!D77</f>
        <v>0</v>
      </c>
      <c r="G89" s="182">
        <f>Pricing!N77</f>
        <v>0</v>
      </c>
      <c r="H89" s="182">
        <f>Pricing!F77</f>
        <v>0</v>
      </c>
      <c r="I89" s="224">
        <f>Pricing!E77</f>
        <v>0</v>
      </c>
      <c r="J89" s="224">
        <f>Pricing!G77</f>
        <v>0</v>
      </c>
      <c r="K89" s="224">
        <f>Pricing!H77</f>
        <v>0</v>
      </c>
      <c r="L89" s="224">
        <f>Pricing!I77</f>
        <v>0</v>
      </c>
      <c r="M89" s="183">
        <f t="shared" si="2"/>
        <v>0</v>
      </c>
      <c r="N89" s="184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2">
        <f>Pricing!B78</f>
        <v>0</v>
      </c>
      <c r="E90" s="182">
        <f>Pricing!C78</f>
        <v>0</v>
      </c>
      <c r="F90" s="182">
        <f>Pricing!D78</f>
        <v>0</v>
      </c>
      <c r="G90" s="182">
        <f>Pricing!N78</f>
        <v>0</v>
      </c>
      <c r="H90" s="182">
        <f>Pricing!F78</f>
        <v>0</v>
      </c>
      <c r="I90" s="224">
        <f>Pricing!E78</f>
        <v>0</v>
      </c>
      <c r="J90" s="224">
        <f>Pricing!G78</f>
        <v>0</v>
      </c>
      <c r="K90" s="224">
        <f>Pricing!H78</f>
        <v>0</v>
      </c>
      <c r="L90" s="224">
        <f>Pricing!I78</f>
        <v>0</v>
      </c>
      <c r="M90" s="183">
        <f t="shared" si="2"/>
        <v>0</v>
      </c>
      <c r="N90" s="184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2">
        <f>Pricing!B79</f>
        <v>0</v>
      </c>
      <c r="E91" s="182">
        <f>Pricing!C79</f>
        <v>0</v>
      </c>
      <c r="F91" s="182">
        <f>Pricing!D79</f>
        <v>0</v>
      </c>
      <c r="G91" s="182">
        <f>Pricing!N79</f>
        <v>0</v>
      </c>
      <c r="H91" s="182">
        <f>Pricing!F79</f>
        <v>0</v>
      </c>
      <c r="I91" s="224">
        <f>Pricing!E79</f>
        <v>0</v>
      </c>
      <c r="J91" s="224">
        <f>Pricing!G79</f>
        <v>0</v>
      </c>
      <c r="K91" s="224">
        <f>Pricing!H79</f>
        <v>0</v>
      </c>
      <c r="L91" s="224">
        <f>Pricing!I79</f>
        <v>0</v>
      </c>
      <c r="M91" s="183">
        <f t="shared" si="2"/>
        <v>0</v>
      </c>
      <c r="N91" s="184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2">
        <f>Pricing!B80</f>
        <v>0</v>
      </c>
      <c r="E92" s="182">
        <f>Pricing!C80</f>
        <v>0</v>
      </c>
      <c r="F92" s="182">
        <f>Pricing!D80</f>
        <v>0</v>
      </c>
      <c r="G92" s="182">
        <f>Pricing!N80</f>
        <v>0</v>
      </c>
      <c r="H92" s="182">
        <f>Pricing!F80</f>
        <v>0</v>
      </c>
      <c r="I92" s="224">
        <f>Pricing!E80</f>
        <v>0</v>
      </c>
      <c r="J92" s="224">
        <f>Pricing!G80</f>
        <v>0</v>
      </c>
      <c r="K92" s="224">
        <f>Pricing!H80</f>
        <v>0</v>
      </c>
      <c r="L92" s="224">
        <f>Pricing!I80</f>
        <v>0</v>
      </c>
      <c r="M92" s="183">
        <f t="shared" si="2"/>
        <v>0</v>
      </c>
      <c r="N92" s="184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2">
        <f>Pricing!B81</f>
        <v>0</v>
      </c>
      <c r="E93" s="182">
        <f>Pricing!C81</f>
        <v>0</v>
      </c>
      <c r="F93" s="182">
        <f>Pricing!D81</f>
        <v>0</v>
      </c>
      <c r="G93" s="182">
        <f>Pricing!N81</f>
        <v>0</v>
      </c>
      <c r="H93" s="182">
        <f>Pricing!F81</f>
        <v>0</v>
      </c>
      <c r="I93" s="224">
        <f>Pricing!E81</f>
        <v>0</v>
      </c>
      <c r="J93" s="224">
        <f>Pricing!G81</f>
        <v>0</v>
      </c>
      <c r="K93" s="224">
        <f>Pricing!H81</f>
        <v>0</v>
      </c>
      <c r="L93" s="224">
        <f>Pricing!I81</f>
        <v>0</v>
      </c>
      <c r="M93" s="183">
        <f t="shared" ref="M93:M115" si="3">J93*K93*L93/1000000</f>
        <v>0</v>
      </c>
      <c r="N93" s="184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2">
        <f>Pricing!B82</f>
        <v>0</v>
      </c>
      <c r="E94" s="182">
        <f>Pricing!C82</f>
        <v>0</v>
      </c>
      <c r="F94" s="182">
        <f>Pricing!D82</f>
        <v>0</v>
      </c>
      <c r="G94" s="182">
        <f>Pricing!N82</f>
        <v>0</v>
      </c>
      <c r="H94" s="182">
        <f>Pricing!F82</f>
        <v>0</v>
      </c>
      <c r="I94" s="224">
        <f>Pricing!E82</f>
        <v>0</v>
      </c>
      <c r="J94" s="224">
        <f>Pricing!G82</f>
        <v>0</v>
      </c>
      <c r="K94" s="224">
        <f>Pricing!H82</f>
        <v>0</v>
      </c>
      <c r="L94" s="224">
        <f>Pricing!I82</f>
        <v>0</v>
      </c>
      <c r="M94" s="183">
        <f t="shared" si="3"/>
        <v>0</v>
      </c>
      <c r="N94" s="184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2">
        <f>Pricing!B83</f>
        <v>0</v>
      </c>
      <c r="E95" s="182">
        <f>Pricing!C83</f>
        <v>0</v>
      </c>
      <c r="F95" s="182">
        <f>Pricing!D83</f>
        <v>0</v>
      </c>
      <c r="G95" s="182">
        <f>Pricing!N83</f>
        <v>0</v>
      </c>
      <c r="H95" s="182">
        <f>Pricing!F83</f>
        <v>0</v>
      </c>
      <c r="I95" s="224">
        <f>Pricing!E83</f>
        <v>0</v>
      </c>
      <c r="J95" s="224">
        <f>Pricing!G83</f>
        <v>0</v>
      </c>
      <c r="K95" s="224">
        <f>Pricing!H83</f>
        <v>0</v>
      </c>
      <c r="L95" s="224">
        <f>Pricing!I83</f>
        <v>0</v>
      </c>
      <c r="M95" s="183">
        <f t="shared" si="3"/>
        <v>0</v>
      </c>
      <c r="N95" s="184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2">
        <f>Pricing!B84</f>
        <v>0</v>
      </c>
      <c r="E96" s="182">
        <f>Pricing!C84</f>
        <v>0</v>
      </c>
      <c r="F96" s="182">
        <f>Pricing!D84</f>
        <v>0</v>
      </c>
      <c r="G96" s="182">
        <f>Pricing!N84</f>
        <v>0</v>
      </c>
      <c r="H96" s="182">
        <f>Pricing!F84</f>
        <v>0</v>
      </c>
      <c r="I96" s="224">
        <f>Pricing!E84</f>
        <v>0</v>
      </c>
      <c r="J96" s="224">
        <f>Pricing!G84</f>
        <v>0</v>
      </c>
      <c r="K96" s="224">
        <f>Pricing!H84</f>
        <v>0</v>
      </c>
      <c r="L96" s="224">
        <f>Pricing!I84</f>
        <v>0</v>
      </c>
      <c r="M96" s="183">
        <f t="shared" si="3"/>
        <v>0</v>
      </c>
      <c r="N96" s="184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2">
        <f>Pricing!B85</f>
        <v>0</v>
      </c>
      <c r="E97" s="182">
        <f>Pricing!C85</f>
        <v>0</v>
      </c>
      <c r="F97" s="182">
        <f>Pricing!D85</f>
        <v>0</v>
      </c>
      <c r="G97" s="182">
        <f>Pricing!N85</f>
        <v>0</v>
      </c>
      <c r="H97" s="182">
        <f>Pricing!F85</f>
        <v>0</v>
      </c>
      <c r="I97" s="224">
        <f>Pricing!E85</f>
        <v>0</v>
      </c>
      <c r="J97" s="224">
        <f>Pricing!G85</f>
        <v>0</v>
      </c>
      <c r="K97" s="224">
        <f>Pricing!H85</f>
        <v>0</v>
      </c>
      <c r="L97" s="224">
        <f>Pricing!I85</f>
        <v>0</v>
      </c>
      <c r="M97" s="183">
        <f t="shared" si="3"/>
        <v>0</v>
      </c>
      <c r="N97" s="184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2">
        <f>Pricing!B86</f>
        <v>0</v>
      </c>
      <c r="E98" s="182">
        <f>Pricing!C86</f>
        <v>0</v>
      </c>
      <c r="F98" s="182">
        <f>Pricing!D86</f>
        <v>0</v>
      </c>
      <c r="G98" s="182">
        <f>Pricing!N86</f>
        <v>0</v>
      </c>
      <c r="H98" s="182">
        <f>Pricing!F86</f>
        <v>0</v>
      </c>
      <c r="I98" s="224">
        <f>Pricing!E86</f>
        <v>0</v>
      </c>
      <c r="J98" s="224">
        <f>Pricing!G86</f>
        <v>0</v>
      </c>
      <c r="K98" s="224">
        <f>Pricing!H86</f>
        <v>0</v>
      </c>
      <c r="L98" s="224">
        <f>Pricing!I86</f>
        <v>0</v>
      </c>
      <c r="M98" s="183">
        <f t="shared" si="3"/>
        <v>0</v>
      </c>
      <c r="N98" s="184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2">
        <f>Pricing!B87</f>
        <v>0</v>
      </c>
      <c r="E99" s="182">
        <f>Pricing!C87</f>
        <v>0</v>
      </c>
      <c r="F99" s="182">
        <f>Pricing!D87</f>
        <v>0</v>
      </c>
      <c r="G99" s="182">
        <f>Pricing!N87</f>
        <v>0</v>
      </c>
      <c r="H99" s="182">
        <f>Pricing!F87</f>
        <v>0</v>
      </c>
      <c r="I99" s="224">
        <f>Pricing!E87</f>
        <v>0</v>
      </c>
      <c r="J99" s="224">
        <f>Pricing!G87</f>
        <v>0</v>
      </c>
      <c r="K99" s="224">
        <f>Pricing!H87</f>
        <v>0</v>
      </c>
      <c r="L99" s="224">
        <f>Pricing!I87</f>
        <v>0</v>
      </c>
      <c r="M99" s="183">
        <f t="shared" si="3"/>
        <v>0</v>
      </c>
      <c r="N99" s="184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2">
        <f>Pricing!B88</f>
        <v>0</v>
      </c>
      <c r="E100" s="182">
        <f>Pricing!C88</f>
        <v>0</v>
      </c>
      <c r="F100" s="182">
        <f>Pricing!D88</f>
        <v>0</v>
      </c>
      <c r="G100" s="182">
        <f>Pricing!N88</f>
        <v>0</v>
      </c>
      <c r="H100" s="182">
        <f>Pricing!F88</f>
        <v>0</v>
      </c>
      <c r="I100" s="224">
        <f>Pricing!E88</f>
        <v>0</v>
      </c>
      <c r="J100" s="224">
        <f>Pricing!G88</f>
        <v>0</v>
      </c>
      <c r="K100" s="224">
        <f>Pricing!H88</f>
        <v>0</v>
      </c>
      <c r="L100" s="224">
        <f>Pricing!I88</f>
        <v>0</v>
      </c>
      <c r="M100" s="183">
        <f t="shared" si="3"/>
        <v>0</v>
      </c>
      <c r="N100" s="184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2">
        <f>Pricing!B89</f>
        <v>0</v>
      </c>
      <c r="E101" s="182">
        <f>Pricing!C89</f>
        <v>0</v>
      </c>
      <c r="F101" s="182">
        <f>Pricing!D89</f>
        <v>0</v>
      </c>
      <c r="G101" s="182">
        <f>Pricing!N89</f>
        <v>0</v>
      </c>
      <c r="H101" s="182">
        <f>Pricing!F89</f>
        <v>0</v>
      </c>
      <c r="I101" s="224">
        <f>Pricing!E89</f>
        <v>0</v>
      </c>
      <c r="J101" s="224">
        <f>Pricing!G89</f>
        <v>0</v>
      </c>
      <c r="K101" s="224">
        <f>Pricing!H89</f>
        <v>0</v>
      </c>
      <c r="L101" s="224">
        <f>Pricing!I89</f>
        <v>0</v>
      </c>
      <c r="M101" s="183">
        <f t="shared" si="3"/>
        <v>0</v>
      </c>
      <c r="N101" s="184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2">
        <f>Pricing!B90</f>
        <v>0</v>
      </c>
      <c r="E102" s="182">
        <f>Pricing!C90</f>
        <v>0</v>
      </c>
      <c r="F102" s="182">
        <f>Pricing!D90</f>
        <v>0</v>
      </c>
      <c r="G102" s="182">
        <f>Pricing!N90</f>
        <v>0</v>
      </c>
      <c r="H102" s="182">
        <f>Pricing!F90</f>
        <v>0</v>
      </c>
      <c r="I102" s="224">
        <f>Pricing!E90</f>
        <v>0</v>
      </c>
      <c r="J102" s="224">
        <f>Pricing!G90</f>
        <v>0</v>
      </c>
      <c r="K102" s="224">
        <f>Pricing!H90</f>
        <v>0</v>
      </c>
      <c r="L102" s="224">
        <f>Pricing!I90</f>
        <v>0</v>
      </c>
      <c r="M102" s="183">
        <f t="shared" si="3"/>
        <v>0</v>
      </c>
      <c r="N102" s="184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2">
        <f>Pricing!B91</f>
        <v>0</v>
      </c>
      <c r="E103" s="182">
        <f>Pricing!C91</f>
        <v>0</v>
      </c>
      <c r="F103" s="182">
        <f>Pricing!D91</f>
        <v>0</v>
      </c>
      <c r="G103" s="182">
        <f>Pricing!N91</f>
        <v>0</v>
      </c>
      <c r="H103" s="182">
        <f>Pricing!F91</f>
        <v>0</v>
      </c>
      <c r="I103" s="224">
        <f>Pricing!E91</f>
        <v>0</v>
      </c>
      <c r="J103" s="224">
        <f>Pricing!G91</f>
        <v>0</v>
      </c>
      <c r="K103" s="224">
        <f>Pricing!H91</f>
        <v>0</v>
      </c>
      <c r="L103" s="224">
        <f>Pricing!I91</f>
        <v>0</v>
      </c>
      <c r="M103" s="183">
        <f t="shared" si="3"/>
        <v>0</v>
      </c>
      <c r="N103" s="184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2">
        <f>Pricing!B92</f>
        <v>0</v>
      </c>
      <c r="E104" s="182">
        <f>Pricing!C92</f>
        <v>0</v>
      </c>
      <c r="F104" s="182">
        <f>Pricing!D92</f>
        <v>0</v>
      </c>
      <c r="G104" s="182">
        <f>Pricing!N92</f>
        <v>0</v>
      </c>
      <c r="H104" s="182">
        <f>Pricing!F92</f>
        <v>0</v>
      </c>
      <c r="I104" s="224">
        <f>Pricing!E92</f>
        <v>0</v>
      </c>
      <c r="J104" s="224">
        <f>Pricing!G92</f>
        <v>0</v>
      </c>
      <c r="K104" s="224">
        <f>Pricing!H92</f>
        <v>0</v>
      </c>
      <c r="L104" s="224">
        <f>Pricing!I92</f>
        <v>0</v>
      </c>
      <c r="M104" s="183">
        <f t="shared" si="3"/>
        <v>0</v>
      </c>
      <c r="N104" s="184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2">
        <f>Pricing!B93</f>
        <v>0</v>
      </c>
      <c r="E105" s="182">
        <f>Pricing!C93</f>
        <v>0</v>
      </c>
      <c r="F105" s="182">
        <f>Pricing!D93</f>
        <v>0</v>
      </c>
      <c r="G105" s="182">
        <f>Pricing!N93</f>
        <v>0</v>
      </c>
      <c r="H105" s="182">
        <f>Pricing!F93</f>
        <v>0</v>
      </c>
      <c r="I105" s="224">
        <f>Pricing!E93</f>
        <v>0</v>
      </c>
      <c r="J105" s="224">
        <f>Pricing!G93</f>
        <v>0</v>
      </c>
      <c r="K105" s="224">
        <f>Pricing!H93</f>
        <v>0</v>
      </c>
      <c r="L105" s="224">
        <f>Pricing!I93</f>
        <v>0</v>
      </c>
      <c r="M105" s="183">
        <f t="shared" si="3"/>
        <v>0</v>
      </c>
      <c r="N105" s="184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2">
        <f>Pricing!B94</f>
        <v>0</v>
      </c>
      <c r="E106" s="182">
        <f>Pricing!C94</f>
        <v>0</v>
      </c>
      <c r="F106" s="182">
        <f>Pricing!D94</f>
        <v>0</v>
      </c>
      <c r="G106" s="182">
        <f>Pricing!N94</f>
        <v>0</v>
      </c>
      <c r="H106" s="182">
        <f>Pricing!F94</f>
        <v>0</v>
      </c>
      <c r="I106" s="224">
        <f>Pricing!E94</f>
        <v>0</v>
      </c>
      <c r="J106" s="224">
        <f>Pricing!G94</f>
        <v>0</v>
      </c>
      <c r="K106" s="224">
        <f>Pricing!H94</f>
        <v>0</v>
      </c>
      <c r="L106" s="224">
        <f>Pricing!I94</f>
        <v>0</v>
      </c>
      <c r="M106" s="183">
        <f t="shared" si="3"/>
        <v>0</v>
      </c>
      <c r="N106" s="184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2">
        <f>Pricing!B95</f>
        <v>0</v>
      </c>
      <c r="E107" s="182">
        <f>Pricing!C95</f>
        <v>0</v>
      </c>
      <c r="F107" s="182">
        <f>Pricing!D95</f>
        <v>0</v>
      </c>
      <c r="G107" s="182">
        <f>Pricing!N95</f>
        <v>0</v>
      </c>
      <c r="H107" s="182">
        <f>Pricing!F95</f>
        <v>0</v>
      </c>
      <c r="I107" s="224">
        <f>Pricing!E95</f>
        <v>0</v>
      </c>
      <c r="J107" s="224">
        <f>Pricing!G95</f>
        <v>0</v>
      </c>
      <c r="K107" s="224">
        <f>Pricing!H95</f>
        <v>0</v>
      </c>
      <c r="L107" s="224">
        <f>Pricing!I95</f>
        <v>0</v>
      </c>
      <c r="M107" s="183">
        <f t="shared" si="3"/>
        <v>0</v>
      </c>
      <c r="N107" s="184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2">
        <f>Pricing!B96</f>
        <v>0</v>
      </c>
      <c r="E108" s="182">
        <f>Pricing!C96</f>
        <v>0</v>
      </c>
      <c r="F108" s="182">
        <f>Pricing!D96</f>
        <v>0</v>
      </c>
      <c r="G108" s="182">
        <f>Pricing!N96</f>
        <v>0</v>
      </c>
      <c r="H108" s="182">
        <f>Pricing!F96</f>
        <v>0</v>
      </c>
      <c r="I108" s="224">
        <f>Pricing!E96</f>
        <v>0</v>
      </c>
      <c r="J108" s="224">
        <f>Pricing!G96</f>
        <v>0</v>
      </c>
      <c r="K108" s="224">
        <f>Pricing!H96</f>
        <v>0</v>
      </c>
      <c r="L108" s="224">
        <f>Pricing!I96</f>
        <v>0</v>
      </c>
      <c r="M108" s="183">
        <f t="shared" si="3"/>
        <v>0</v>
      </c>
      <c r="N108" s="184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2">
        <f>Pricing!B97</f>
        <v>0</v>
      </c>
      <c r="E109" s="182">
        <f>Pricing!C97</f>
        <v>0</v>
      </c>
      <c r="F109" s="182">
        <f>Pricing!D97</f>
        <v>0</v>
      </c>
      <c r="G109" s="182">
        <f>Pricing!N97</f>
        <v>0</v>
      </c>
      <c r="H109" s="182">
        <f>Pricing!F97</f>
        <v>0</v>
      </c>
      <c r="I109" s="224">
        <f>Pricing!E97</f>
        <v>0</v>
      </c>
      <c r="J109" s="224">
        <f>Pricing!G97</f>
        <v>0</v>
      </c>
      <c r="K109" s="224">
        <f>Pricing!H97</f>
        <v>0</v>
      </c>
      <c r="L109" s="224">
        <f>Pricing!I97</f>
        <v>0</v>
      </c>
      <c r="M109" s="183">
        <f t="shared" si="3"/>
        <v>0</v>
      </c>
      <c r="N109" s="184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2">
        <f>Pricing!B98</f>
        <v>0</v>
      </c>
      <c r="E110" s="182">
        <f>Pricing!C98</f>
        <v>0</v>
      </c>
      <c r="F110" s="182">
        <f>Pricing!D98</f>
        <v>0</v>
      </c>
      <c r="G110" s="182">
        <f>Pricing!N98</f>
        <v>0</v>
      </c>
      <c r="H110" s="182">
        <f>Pricing!F98</f>
        <v>0</v>
      </c>
      <c r="I110" s="224">
        <f>Pricing!E98</f>
        <v>0</v>
      </c>
      <c r="J110" s="224">
        <f>Pricing!G98</f>
        <v>0</v>
      </c>
      <c r="K110" s="224">
        <f>Pricing!H98</f>
        <v>0</v>
      </c>
      <c r="L110" s="224">
        <f>Pricing!I98</f>
        <v>0</v>
      </c>
      <c r="M110" s="183">
        <f t="shared" si="3"/>
        <v>0</v>
      </c>
      <c r="N110" s="184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2">
        <f>Pricing!B99</f>
        <v>0</v>
      </c>
      <c r="E111" s="182">
        <f>Pricing!C99</f>
        <v>0</v>
      </c>
      <c r="F111" s="182">
        <f>Pricing!D99</f>
        <v>0</v>
      </c>
      <c r="G111" s="182">
        <f>Pricing!N99</f>
        <v>0</v>
      </c>
      <c r="H111" s="182">
        <f>Pricing!F99</f>
        <v>0</v>
      </c>
      <c r="I111" s="224">
        <f>Pricing!E99</f>
        <v>0</v>
      </c>
      <c r="J111" s="224">
        <f>Pricing!G99</f>
        <v>0</v>
      </c>
      <c r="K111" s="224">
        <f>Pricing!H99</f>
        <v>0</v>
      </c>
      <c r="L111" s="224">
        <f>Pricing!I99</f>
        <v>0</v>
      </c>
      <c r="M111" s="183">
        <f t="shared" si="3"/>
        <v>0</v>
      </c>
      <c r="N111" s="184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2">
        <f>Pricing!B100</f>
        <v>0</v>
      </c>
      <c r="E112" s="182">
        <f>Pricing!C100</f>
        <v>0</v>
      </c>
      <c r="F112" s="182">
        <f>Pricing!D100</f>
        <v>0</v>
      </c>
      <c r="G112" s="182">
        <f>Pricing!N100</f>
        <v>0</v>
      </c>
      <c r="H112" s="182">
        <f>Pricing!F100</f>
        <v>0</v>
      </c>
      <c r="I112" s="224">
        <f>Pricing!E100</f>
        <v>0</v>
      </c>
      <c r="J112" s="224">
        <f>Pricing!G100</f>
        <v>0</v>
      </c>
      <c r="K112" s="224">
        <f>Pricing!H100</f>
        <v>0</v>
      </c>
      <c r="L112" s="224">
        <f>Pricing!I100</f>
        <v>0</v>
      </c>
      <c r="M112" s="183">
        <f t="shared" si="3"/>
        <v>0</v>
      </c>
      <c r="N112" s="184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2">
        <f>Pricing!B101</f>
        <v>0</v>
      </c>
      <c r="E113" s="182">
        <f>Pricing!C101</f>
        <v>0</v>
      </c>
      <c r="F113" s="182">
        <f>Pricing!D101</f>
        <v>0</v>
      </c>
      <c r="G113" s="182">
        <f>Pricing!N101</f>
        <v>0</v>
      </c>
      <c r="H113" s="182">
        <f>Pricing!F101</f>
        <v>0</v>
      </c>
      <c r="I113" s="224">
        <f>Pricing!E101</f>
        <v>0</v>
      </c>
      <c r="J113" s="224">
        <f>Pricing!G101</f>
        <v>0</v>
      </c>
      <c r="K113" s="224">
        <f>Pricing!H101</f>
        <v>0</v>
      </c>
      <c r="L113" s="224">
        <f>Pricing!I101</f>
        <v>0</v>
      </c>
      <c r="M113" s="183">
        <f t="shared" si="3"/>
        <v>0</v>
      </c>
      <c r="N113" s="184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4">
        <f>Pricing!B102</f>
        <v>0</v>
      </c>
      <c r="E114" s="182">
        <f>Pricing!C102</f>
        <v>0</v>
      </c>
      <c r="F114" s="182">
        <f>Pricing!D102</f>
        <v>0</v>
      </c>
      <c r="G114" s="182">
        <f>Pricing!N102</f>
        <v>0</v>
      </c>
      <c r="H114" s="182">
        <f>Pricing!F102</f>
        <v>0</v>
      </c>
      <c r="I114" s="224">
        <f>Pricing!E102</f>
        <v>0</v>
      </c>
      <c r="J114" s="224">
        <f>Pricing!G102</f>
        <v>0</v>
      </c>
      <c r="K114" s="224">
        <f>Pricing!H102</f>
        <v>0</v>
      </c>
      <c r="L114" s="224">
        <f>Pricing!I102</f>
        <v>0</v>
      </c>
      <c r="M114" s="183">
        <f t="shared" si="3"/>
        <v>0</v>
      </c>
      <c r="N114" s="184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4">
        <f>Pricing!B103</f>
        <v>0</v>
      </c>
      <c r="E115" s="182">
        <f>Pricing!C103</f>
        <v>0</v>
      </c>
      <c r="F115" s="182">
        <f>Pricing!D103</f>
        <v>0</v>
      </c>
      <c r="G115" s="182">
        <f>Pricing!N103</f>
        <v>0</v>
      </c>
      <c r="H115" s="182">
        <f>Pricing!F103</f>
        <v>0</v>
      </c>
      <c r="I115" s="224">
        <f>Pricing!E103</f>
        <v>0</v>
      </c>
      <c r="J115" s="224">
        <f>Pricing!G103</f>
        <v>0</v>
      </c>
      <c r="K115" s="224">
        <f>Pricing!H103</f>
        <v>0</v>
      </c>
      <c r="L115" s="224">
        <f>Pricing!I103</f>
        <v>0</v>
      </c>
      <c r="M115" s="183">
        <f t="shared" si="3"/>
        <v>0</v>
      </c>
      <c r="N115" s="184">
        <f>'Cost Calculation'!AS107</f>
        <v>0</v>
      </c>
      <c r="O115" s="95"/>
    </row>
    <row r="116" spans="2:15" s="94" customFormat="1" ht="39.75" customHeight="1" thickTop="1" thickBot="1">
      <c r="B116" s="509"/>
      <c r="C116" s="510"/>
      <c r="D116" s="510"/>
      <c r="E116" s="510"/>
      <c r="F116" s="510"/>
      <c r="G116" s="510"/>
      <c r="H116" s="510"/>
      <c r="I116" s="510"/>
      <c r="J116" s="510"/>
      <c r="K116" s="511"/>
      <c r="L116" s="185">
        <f>SUM(L16:L115)</f>
        <v>53</v>
      </c>
      <c r="M116" s="186">
        <f>SUM(M16:M115)</f>
        <v>164.74236499999998</v>
      </c>
      <c r="N116" s="181"/>
      <c r="O116" s="95"/>
    </row>
    <row r="117" spans="2:15" s="94" customFormat="1" ht="30" customHeight="1" thickTop="1" thickBot="1">
      <c r="B117" s="406" t="s">
        <v>178</v>
      </c>
      <c r="C117" s="407"/>
      <c r="D117" s="407"/>
      <c r="E117" s="407"/>
      <c r="F117" s="407"/>
      <c r="G117" s="407"/>
      <c r="H117" s="407"/>
      <c r="I117" s="407"/>
      <c r="J117" s="407"/>
      <c r="K117" s="407"/>
      <c r="L117" s="407"/>
      <c r="M117" s="408"/>
      <c r="N117" s="187">
        <f>ROUND(SUM(N16:N115),0.1)</f>
        <v>3819071</v>
      </c>
      <c r="O117" s="95">
        <f>N117/SUM(M116)</f>
        <v>23182.081913173944</v>
      </c>
    </row>
    <row r="118" spans="2:15" s="94" customFormat="1" ht="30" customHeight="1" thickTop="1" thickBot="1">
      <c r="B118" s="406" t="s">
        <v>515</v>
      </c>
      <c r="C118" s="407"/>
      <c r="D118" s="407"/>
      <c r="E118" s="407"/>
      <c r="F118" s="407"/>
      <c r="G118" s="407"/>
      <c r="H118" s="407"/>
      <c r="I118" s="407"/>
      <c r="J118" s="407"/>
      <c r="K118" s="407"/>
      <c r="L118" s="407"/>
      <c r="M118" s="408"/>
      <c r="N118" s="187">
        <f>N117*10%</f>
        <v>381907.10000000003</v>
      </c>
      <c r="O118" s="95"/>
    </row>
    <row r="119" spans="2:15" s="94" customFormat="1" ht="30" customHeight="1" thickTop="1" thickBot="1">
      <c r="B119" s="406" t="s">
        <v>516</v>
      </c>
      <c r="C119" s="407"/>
      <c r="D119" s="407"/>
      <c r="E119" s="407"/>
      <c r="F119" s="407"/>
      <c r="G119" s="407"/>
      <c r="H119" s="407"/>
      <c r="I119" s="407"/>
      <c r="J119" s="407"/>
      <c r="K119" s="407"/>
      <c r="L119" s="407"/>
      <c r="M119" s="408"/>
      <c r="N119" s="187">
        <f>N117-N118</f>
        <v>3437163.9</v>
      </c>
      <c r="O119" s="95"/>
    </row>
    <row r="120" spans="2:15" s="94" customFormat="1" ht="30" customHeight="1" thickTop="1" thickBot="1">
      <c r="B120" s="406" t="s">
        <v>517</v>
      </c>
      <c r="C120" s="407"/>
      <c r="D120" s="407"/>
      <c r="E120" s="407"/>
      <c r="F120" s="407"/>
      <c r="G120" s="407"/>
      <c r="H120" s="407"/>
      <c r="I120" s="407"/>
      <c r="J120" s="407"/>
      <c r="K120" s="407"/>
      <c r="L120" s="407"/>
      <c r="M120" s="408"/>
      <c r="N120" s="187">
        <f>M116*10.764*80</f>
        <v>141862.94534879996</v>
      </c>
      <c r="O120" s="95">
        <f>N120/SUM(M116)</f>
        <v>861.11999999999989</v>
      </c>
    </row>
    <row r="121" spans="2:15" s="94" customFormat="1" ht="30" customHeight="1" thickTop="1" thickBot="1">
      <c r="B121" s="406" t="s">
        <v>179</v>
      </c>
      <c r="C121" s="407"/>
      <c r="D121" s="407"/>
      <c r="E121" s="407"/>
      <c r="F121" s="407"/>
      <c r="G121" s="407"/>
      <c r="H121" s="407"/>
      <c r="I121" s="407"/>
      <c r="J121" s="407"/>
      <c r="K121" s="407"/>
      <c r="L121" s="407"/>
      <c r="M121" s="408"/>
      <c r="N121" s="187">
        <f>ROUND(SUM(N119:N120),0.1)</f>
        <v>3579027</v>
      </c>
      <c r="O121" s="95">
        <f>N121/SUM(M116)</f>
        <v>21724.994660602333</v>
      </c>
    </row>
    <row r="122" spans="2:15" s="94" customFormat="1" ht="48.75" customHeight="1" thickTop="1" thickBot="1">
      <c r="B122" s="409" t="s">
        <v>518</v>
      </c>
      <c r="C122" s="410"/>
      <c r="D122" s="410"/>
      <c r="E122" s="410"/>
      <c r="F122" s="410"/>
      <c r="G122" s="410"/>
      <c r="H122" s="410"/>
      <c r="I122" s="410"/>
      <c r="J122" s="410"/>
      <c r="K122" s="410"/>
      <c r="L122" s="410"/>
      <c r="M122" s="410"/>
      <c r="N122" s="411"/>
      <c r="O122" s="95">
        <f>O117/10.764</f>
        <v>2153.6679592320647</v>
      </c>
    </row>
    <row r="123" spans="2:15" s="139" customFormat="1" ht="30" customHeight="1" thickTop="1">
      <c r="B123" s="481" t="s">
        <v>234</v>
      </c>
      <c r="C123" s="482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3"/>
      <c r="O123" s="138"/>
    </row>
    <row r="124" spans="2:15" s="93" customFormat="1" ht="24.95" customHeight="1">
      <c r="B124" s="414">
        <v>1</v>
      </c>
      <c r="C124" s="415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3"/>
    </row>
    <row r="125" spans="2:15" s="93" customFormat="1" ht="24.95" customHeight="1">
      <c r="B125" s="442">
        <v>2</v>
      </c>
      <c r="C125" s="484"/>
      <c r="D125" s="485"/>
      <c r="E125" s="485"/>
      <c r="F125" s="485"/>
      <c r="G125" s="485"/>
      <c r="H125" s="485"/>
      <c r="I125" s="485"/>
      <c r="J125" s="485"/>
      <c r="K125" s="485"/>
      <c r="L125" s="485"/>
      <c r="M125" s="485"/>
      <c r="N125" s="486"/>
    </row>
    <row r="126" spans="2:15" s="139" customFormat="1" ht="30" customHeight="1">
      <c r="B126" s="448" t="s">
        <v>204</v>
      </c>
      <c r="C126" s="449"/>
      <c r="D126" s="449"/>
      <c r="E126" s="449"/>
      <c r="F126" s="449"/>
      <c r="G126" s="449"/>
      <c r="H126" s="449"/>
      <c r="I126" s="449"/>
      <c r="J126" s="449"/>
      <c r="K126" s="449"/>
      <c r="L126" s="449"/>
      <c r="M126" s="449"/>
      <c r="N126" s="450"/>
      <c r="O126" s="138"/>
    </row>
    <row r="127" spans="2:15" s="93" customFormat="1" ht="24.95" customHeight="1">
      <c r="B127" s="414">
        <v>1</v>
      </c>
      <c r="C127" s="415"/>
      <c r="D127" s="412" t="s">
        <v>508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4">
        <v>2</v>
      </c>
      <c r="C128" s="415"/>
      <c r="D128" s="412" t="s">
        <v>509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5" s="93" customFormat="1" ht="24.95" customHeight="1">
      <c r="B129" s="414">
        <v>3</v>
      </c>
      <c r="C129" s="415"/>
      <c r="D129" s="412" t="s">
        <v>510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5" s="93" customFormat="1" ht="24.95" customHeight="1">
      <c r="B130" s="414">
        <v>4</v>
      </c>
      <c r="C130" s="415"/>
      <c r="D130" s="412" t="s">
        <v>511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5" s="93" customFormat="1" ht="24.95" customHeight="1">
      <c r="B131" s="414">
        <v>5</v>
      </c>
      <c r="C131" s="415"/>
      <c r="D131" s="412" t="s">
        <v>512</v>
      </c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</row>
    <row r="132" spans="2:15" s="93" customFormat="1" ht="24.95" customHeight="1">
      <c r="B132" s="414">
        <v>6</v>
      </c>
      <c r="C132" s="415"/>
      <c r="D132" s="412" t="s">
        <v>513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5" s="93" customFormat="1" ht="24.95" customHeight="1">
      <c r="B133" s="414">
        <v>7</v>
      </c>
      <c r="C133" s="415"/>
      <c r="D133" s="412" t="s">
        <v>514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5" s="139" customFormat="1" ht="30" customHeight="1">
      <c r="B134" s="448" t="s">
        <v>139</v>
      </c>
      <c r="C134" s="449"/>
      <c r="D134" s="449"/>
      <c r="E134" s="449"/>
      <c r="F134" s="449"/>
      <c r="G134" s="449"/>
      <c r="H134" s="449"/>
      <c r="I134" s="449"/>
      <c r="J134" s="449"/>
      <c r="K134" s="449"/>
      <c r="L134" s="449"/>
      <c r="M134" s="449"/>
      <c r="N134" s="450"/>
      <c r="O134" s="138"/>
    </row>
    <row r="135" spans="2:15" s="93" customFormat="1" ht="24.95" customHeight="1">
      <c r="B135" s="414">
        <v>1</v>
      </c>
      <c r="C135" s="415"/>
      <c r="D135" s="412" t="s">
        <v>361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5" s="93" customFormat="1" ht="24.95" customHeight="1">
      <c r="B136" s="414">
        <v>2</v>
      </c>
      <c r="C136" s="415"/>
      <c r="D136" s="412" t="s">
        <v>385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5" s="93" customFormat="1" ht="24.95" customHeight="1">
      <c r="B137" s="414">
        <v>3</v>
      </c>
      <c r="C137" s="415"/>
      <c r="D137" s="438" t="s">
        <v>400</v>
      </c>
      <c r="E137" s="438"/>
      <c r="F137" s="438"/>
      <c r="G137" s="438"/>
      <c r="H137" s="438"/>
      <c r="I137" s="438"/>
      <c r="J137" s="438"/>
      <c r="K137" s="438"/>
      <c r="L137" s="438"/>
      <c r="M137" s="438"/>
      <c r="N137" s="439"/>
    </row>
    <row r="138" spans="2:15" s="139" customFormat="1" ht="30" customHeight="1">
      <c r="B138" s="432" t="s">
        <v>140</v>
      </c>
      <c r="C138" s="433"/>
      <c r="D138" s="433"/>
      <c r="E138" s="433"/>
      <c r="F138" s="433"/>
      <c r="G138" s="433"/>
      <c r="H138" s="433"/>
      <c r="I138" s="433"/>
      <c r="J138" s="433"/>
      <c r="K138" s="433"/>
      <c r="L138" s="433"/>
      <c r="M138" s="433"/>
      <c r="N138" s="434"/>
    </row>
    <row r="139" spans="2:15" s="93" customFormat="1" ht="24.95" customHeight="1">
      <c r="B139" s="414">
        <v>1</v>
      </c>
      <c r="C139" s="415"/>
      <c r="D139" s="412" t="s">
        <v>141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5" s="93" customFormat="1" ht="24.95" customHeight="1">
      <c r="B140" s="414">
        <v>2</v>
      </c>
      <c r="C140" s="415"/>
      <c r="D140" s="412" t="s">
        <v>142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5" s="139" customFormat="1" ht="30" customHeight="1">
      <c r="B141" s="432" t="s">
        <v>143</v>
      </c>
      <c r="C141" s="433"/>
      <c r="D141" s="433"/>
      <c r="E141" s="433"/>
      <c r="F141" s="433"/>
      <c r="G141" s="433"/>
      <c r="H141" s="433"/>
      <c r="I141" s="433"/>
      <c r="J141" s="433"/>
      <c r="K141" s="433"/>
      <c r="L141" s="433"/>
      <c r="M141" s="433"/>
      <c r="N141" s="434"/>
    </row>
    <row r="142" spans="2:15" s="139" customFormat="1" ht="30" customHeight="1">
      <c r="B142" s="435" t="s">
        <v>144</v>
      </c>
      <c r="C142" s="436"/>
      <c r="D142" s="436"/>
      <c r="E142" s="436"/>
      <c r="F142" s="436"/>
      <c r="G142" s="436"/>
      <c r="H142" s="436"/>
      <c r="I142" s="436"/>
      <c r="J142" s="436"/>
      <c r="K142" s="436"/>
      <c r="L142" s="436"/>
      <c r="M142" s="436"/>
      <c r="N142" s="437"/>
    </row>
    <row r="143" spans="2:15" s="93" customFormat="1" ht="24.95" customHeight="1">
      <c r="B143" s="414">
        <v>1</v>
      </c>
      <c r="C143" s="415"/>
      <c r="D143" s="412" t="s">
        <v>145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5" s="93" customFormat="1" ht="24.95" customHeight="1">
      <c r="B144" s="414">
        <v>2</v>
      </c>
      <c r="C144" s="415"/>
      <c r="D144" s="412" t="s">
        <v>397</v>
      </c>
      <c r="E144" s="412"/>
      <c r="F144" s="412"/>
      <c r="G144" s="412"/>
      <c r="H144" s="412"/>
      <c r="I144" s="412"/>
      <c r="J144" s="412"/>
      <c r="K144" s="412"/>
      <c r="L144" s="412"/>
      <c r="M144" s="412"/>
      <c r="N144" s="413"/>
    </row>
    <row r="145" spans="2:14" s="93" customFormat="1" ht="24.95" customHeight="1">
      <c r="B145" s="414">
        <v>3</v>
      </c>
      <c r="C145" s="415"/>
      <c r="D145" s="412" t="s">
        <v>146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24.95" customHeight="1">
      <c r="B146" s="414">
        <v>4</v>
      </c>
      <c r="C146" s="415"/>
      <c r="D146" s="412" t="s">
        <v>147</v>
      </c>
      <c r="E146" s="412"/>
      <c r="F146" s="412"/>
      <c r="G146" s="412"/>
      <c r="H146" s="412"/>
      <c r="I146" s="412"/>
      <c r="J146" s="412"/>
      <c r="K146" s="412"/>
      <c r="L146" s="412"/>
      <c r="M146" s="412"/>
      <c r="N146" s="413"/>
    </row>
    <row r="147" spans="2:14" s="93" customFormat="1" ht="24.95" customHeight="1">
      <c r="B147" s="414">
        <v>5</v>
      </c>
      <c r="C147" s="415"/>
      <c r="D147" s="412" t="s">
        <v>148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93" customFormat="1" ht="24.95" customHeight="1">
      <c r="B148" s="414">
        <v>6</v>
      </c>
      <c r="C148" s="415"/>
      <c r="D148" s="412" t="s">
        <v>149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140" customFormat="1" ht="30" customHeight="1">
      <c r="B149" s="432" t="s">
        <v>150</v>
      </c>
      <c r="C149" s="433"/>
      <c r="D149" s="433"/>
      <c r="E149" s="433"/>
      <c r="F149" s="433"/>
      <c r="G149" s="433"/>
      <c r="H149" s="433"/>
      <c r="I149" s="433"/>
      <c r="J149" s="433"/>
      <c r="K149" s="433"/>
      <c r="L149" s="433"/>
      <c r="M149" s="433"/>
      <c r="N149" s="434"/>
    </row>
    <row r="150" spans="2:14" s="93" customFormat="1" ht="24.95" customHeight="1">
      <c r="B150" s="414">
        <v>1</v>
      </c>
      <c r="C150" s="415"/>
      <c r="D150" s="412" t="s">
        <v>151</v>
      </c>
      <c r="E150" s="412"/>
      <c r="F150" s="412"/>
      <c r="G150" s="412"/>
      <c r="H150" s="412"/>
      <c r="I150" s="412"/>
      <c r="J150" s="412"/>
      <c r="K150" s="412"/>
      <c r="L150" s="412"/>
      <c r="M150" s="412"/>
      <c r="N150" s="413"/>
    </row>
    <row r="151" spans="2:14" s="93" customFormat="1" ht="135" customHeight="1">
      <c r="B151" s="414">
        <v>2</v>
      </c>
      <c r="C151" s="415"/>
      <c r="D151" s="418" t="s">
        <v>416</v>
      </c>
      <c r="E151" s="419"/>
      <c r="F151" s="419"/>
      <c r="G151" s="419"/>
      <c r="H151" s="419"/>
      <c r="I151" s="419"/>
      <c r="J151" s="419"/>
      <c r="K151" s="419"/>
      <c r="L151" s="419"/>
      <c r="M151" s="419"/>
      <c r="N151" s="420"/>
    </row>
    <row r="152" spans="2:14" s="93" customFormat="1" ht="24.95" customHeight="1">
      <c r="B152" s="414">
        <v>3</v>
      </c>
      <c r="C152" s="415"/>
      <c r="D152" s="412" t="s">
        <v>152</v>
      </c>
      <c r="E152" s="412"/>
      <c r="F152" s="412"/>
      <c r="G152" s="412"/>
      <c r="H152" s="412"/>
      <c r="I152" s="412"/>
      <c r="J152" s="412"/>
      <c r="K152" s="412"/>
      <c r="L152" s="412"/>
      <c r="M152" s="412"/>
      <c r="N152" s="413"/>
    </row>
    <row r="153" spans="2:14" s="93" customFormat="1" ht="24.95" customHeight="1">
      <c r="B153" s="414">
        <v>4</v>
      </c>
      <c r="C153" s="415"/>
      <c r="D153" s="412" t="s">
        <v>153</v>
      </c>
      <c r="E153" s="412"/>
      <c r="F153" s="412"/>
      <c r="G153" s="412"/>
      <c r="H153" s="412"/>
      <c r="I153" s="412"/>
      <c r="J153" s="412"/>
      <c r="K153" s="412"/>
      <c r="L153" s="412"/>
      <c r="M153" s="412"/>
      <c r="N153" s="413"/>
    </row>
    <row r="154" spans="2:14" s="140" customFormat="1" ht="30" customHeight="1">
      <c r="B154" s="432" t="s">
        <v>154</v>
      </c>
      <c r="C154" s="433"/>
      <c r="D154" s="433"/>
      <c r="E154" s="433"/>
      <c r="F154" s="433"/>
      <c r="G154" s="433"/>
      <c r="H154" s="433"/>
      <c r="I154" s="433"/>
      <c r="J154" s="433"/>
      <c r="K154" s="433"/>
      <c r="L154" s="433"/>
      <c r="M154" s="433"/>
      <c r="N154" s="434"/>
    </row>
    <row r="155" spans="2:14" s="93" customFormat="1" ht="24.95" customHeight="1">
      <c r="B155" s="414">
        <v>1</v>
      </c>
      <c r="C155" s="415"/>
      <c r="D155" s="412" t="s">
        <v>155</v>
      </c>
      <c r="E155" s="412"/>
      <c r="F155" s="412"/>
      <c r="G155" s="412"/>
      <c r="H155" s="412"/>
      <c r="I155" s="412"/>
      <c r="J155" s="412"/>
      <c r="K155" s="412"/>
      <c r="L155" s="412"/>
      <c r="M155" s="412"/>
      <c r="N155" s="413"/>
    </row>
    <row r="156" spans="2:14" s="93" customFormat="1" ht="55.9" customHeight="1">
      <c r="B156" s="414">
        <v>2</v>
      </c>
      <c r="C156" s="415"/>
      <c r="D156" s="418" t="s">
        <v>156</v>
      </c>
      <c r="E156" s="419"/>
      <c r="F156" s="419"/>
      <c r="G156" s="419"/>
      <c r="H156" s="419"/>
      <c r="I156" s="419"/>
      <c r="J156" s="419"/>
      <c r="K156" s="419"/>
      <c r="L156" s="419"/>
      <c r="M156" s="419"/>
      <c r="N156" s="420"/>
    </row>
    <row r="157" spans="2:14" s="140" customFormat="1" ht="30" customHeight="1">
      <c r="B157" s="432" t="s">
        <v>157</v>
      </c>
      <c r="C157" s="433"/>
      <c r="D157" s="433"/>
      <c r="E157" s="433"/>
      <c r="F157" s="433"/>
      <c r="G157" s="433"/>
      <c r="H157" s="433"/>
      <c r="I157" s="433"/>
      <c r="J157" s="433"/>
      <c r="K157" s="433"/>
      <c r="L157" s="433"/>
      <c r="M157" s="433"/>
      <c r="N157" s="434"/>
    </row>
    <row r="158" spans="2:14" s="93" customFormat="1" ht="24.95" customHeight="1">
      <c r="B158" s="414">
        <v>1</v>
      </c>
      <c r="C158" s="415"/>
      <c r="D158" s="440" t="s">
        <v>158</v>
      </c>
      <c r="E158" s="440"/>
      <c r="F158" s="440"/>
      <c r="G158" s="440"/>
      <c r="H158" s="440"/>
      <c r="I158" s="440"/>
      <c r="J158" s="440"/>
      <c r="K158" s="440"/>
      <c r="L158" s="440"/>
      <c r="M158" s="440"/>
      <c r="N158" s="441"/>
    </row>
    <row r="159" spans="2:14" s="93" customFormat="1" ht="24.95" customHeight="1">
      <c r="B159" s="414">
        <v>2</v>
      </c>
      <c r="C159" s="415"/>
      <c r="D159" s="440" t="s">
        <v>159</v>
      </c>
      <c r="E159" s="440"/>
      <c r="F159" s="440"/>
      <c r="G159" s="440"/>
      <c r="H159" s="440"/>
      <c r="I159" s="440"/>
      <c r="J159" s="440"/>
      <c r="K159" s="440"/>
      <c r="L159" s="440"/>
      <c r="M159" s="440"/>
      <c r="N159" s="441"/>
    </row>
    <row r="160" spans="2:14" s="93" customFormat="1" ht="49.9" customHeight="1">
      <c r="B160" s="414">
        <v>3</v>
      </c>
      <c r="C160" s="415"/>
      <c r="D160" s="445" t="s">
        <v>160</v>
      </c>
      <c r="E160" s="446"/>
      <c r="F160" s="446"/>
      <c r="G160" s="446"/>
      <c r="H160" s="446"/>
      <c r="I160" s="446"/>
      <c r="J160" s="446"/>
      <c r="K160" s="446"/>
      <c r="L160" s="446"/>
      <c r="M160" s="446"/>
      <c r="N160" s="447"/>
    </row>
    <row r="161" spans="2:14" s="93" customFormat="1" ht="24.95" customHeight="1">
      <c r="B161" s="414">
        <v>4</v>
      </c>
      <c r="C161" s="415"/>
      <c r="D161" s="440" t="s">
        <v>161</v>
      </c>
      <c r="E161" s="440"/>
      <c r="F161" s="440"/>
      <c r="G161" s="440"/>
      <c r="H161" s="440"/>
      <c r="I161" s="440"/>
      <c r="J161" s="440"/>
      <c r="K161" s="440"/>
      <c r="L161" s="440"/>
      <c r="M161" s="440"/>
      <c r="N161" s="441"/>
    </row>
    <row r="162" spans="2:14" s="140" customFormat="1" ht="30" customHeight="1">
      <c r="B162" s="432" t="s">
        <v>162</v>
      </c>
      <c r="C162" s="433"/>
      <c r="D162" s="433"/>
      <c r="E162" s="433"/>
      <c r="F162" s="433"/>
      <c r="G162" s="433"/>
      <c r="H162" s="433"/>
      <c r="I162" s="433"/>
      <c r="J162" s="433"/>
      <c r="K162" s="433"/>
      <c r="L162" s="433"/>
      <c r="M162" s="433"/>
      <c r="N162" s="434"/>
    </row>
    <row r="163" spans="2:14" s="93" customFormat="1" ht="24.95" customHeight="1">
      <c r="B163" s="414">
        <v>1</v>
      </c>
      <c r="C163" s="415"/>
      <c r="D163" s="440" t="s">
        <v>163</v>
      </c>
      <c r="E163" s="440"/>
      <c r="F163" s="440"/>
      <c r="G163" s="440"/>
      <c r="H163" s="440"/>
      <c r="I163" s="440"/>
      <c r="J163" s="440"/>
      <c r="K163" s="440"/>
      <c r="L163" s="440"/>
      <c r="M163" s="440"/>
      <c r="N163" s="441"/>
    </row>
    <row r="164" spans="2:14" s="93" customFormat="1" ht="24.95" customHeight="1">
      <c r="B164" s="414">
        <v>2</v>
      </c>
      <c r="C164" s="415"/>
      <c r="D164" s="440" t="s">
        <v>164</v>
      </c>
      <c r="E164" s="440"/>
      <c r="F164" s="440"/>
      <c r="G164" s="440"/>
      <c r="H164" s="440"/>
      <c r="I164" s="440"/>
      <c r="J164" s="440"/>
      <c r="K164" s="440"/>
      <c r="L164" s="440"/>
      <c r="M164" s="440"/>
      <c r="N164" s="441"/>
    </row>
    <row r="165" spans="2:14" s="93" customFormat="1" ht="24.95" customHeight="1">
      <c r="B165" s="414">
        <v>3</v>
      </c>
      <c r="C165" s="415"/>
      <c r="D165" s="440" t="s">
        <v>165</v>
      </c>
      <c r="E165" s="440"/>
      <c r="F165" s="440"/>
      <c r="G165" s="440"/>
      <c r="H165" s="440"/>
      <c r="I165" s="440"/>
      <c r="J165" s="440"/>
      <c r="K165" s="440"/>
      <c r="L165" s="440"/>
      <c r="M165" s="440"/>
      <c r="N165" s="441"/>
    </row>
    <row r="166" spans="2:14" s="93" customFormat="1" ht="24.95" customHeight="1">
      <c r="B166" s="442" t="s">
        <v>237</v>
      </c>
      <c r="C166" s="443"/>
      <c r="D166" s="443"/>
      <c r="E166" s="443"/>
      <c r="F166" s="443"/>
      <c r="G166" s="443"/>
      <c r="H166" s="443"/>
      <c r="I166" s="443"/>
      <c r="J166" s="443"/>
      <c r="K166" s="443"/>
      <c r="L166" s="443"/>
      <c r="M166" s="443"/>
      <c r="N166" s="444"/>
    </row>
    <row r="167" spans="2:14" s="93" customFormat="1" ht="24.95" customHeight="1">
      <c r="B167" s="442" t="s">
        <v>238</v>
      </c>
      <c r="C167" s="443"/>
      <c r="D167" s="443"/>
      <c r="E167" s="443"/>
      <c r="F167" s="443"/>
      <c r="G167" s="443"/>
      <c r="H167" s="443"/>
      <c r="I167" s="443"/>
      <c r="J167" s="443"/>
      <c r="K167" s="443"/>
      <c r="L167" s="443"/>
      <c r="M167" s="443"/>
      <c r="N167" s="444"/>
    </row>
    <row r="168" spans="2:14" s="93" customFormat="1" ht="41.25" customHeight="1">
      <c r="B168" s="463"/>
      <c r="C168" s="464"/>
      <c r="D168" s="464"/>
      <c r="E168" s="464"/>
      <c r="F168" s="464"/>
      <c r="G168" s="464"/>
      <c r="H168" s="464"/>
      <c r="I168" s="464"/>
      <c r="J168" s="464"/>
      <c r="K168" s="464"/>
      <c r="L168" s="464"/>
      <c r="M168" s="464"/>
      <c r="N168" s="465"/>
    </row>
    <row r="169" spans="2:14" s="93" customFormat="1" ht="39.950000000000003" customHeight="1">
      <c r="B169" s="466"/>
      <c r="C169" s="467"/>
      <c r="D169" s="467"/>
      <c r="E169" s="467"/>
      <c r="F169" s="467"/>
      <c r="G169" s="467"/>
      <c r="H169" s="467"/>
      <c r="I169" s="467"/>
      <c r="J169" s="467"/>
      <c r="K169" s="467"/>
      <c r="L169" s="467"/>
      <c r="M169" s="467"/>
      <c r="N169" s="468"/>
    </row>
    <row r="170" spans="2:14" s="93" customFormat="1" ht="41.25" customHeight="1">
      <c r="B170" s="466"/>
      <c r="C170" s="467"/>
      <c r="D170" s="467"/>
      <c r="E170" s="467"/>
      <c r="F170" s="467"/>
      <c r="G170" s="467"/>
      <c r="H170" s="467"/>
      <c r="I170" s="467"/>
      <c r="J170" s="467"/>
      <c r="K170" s="467"/>
      <c r="L170" s="467"/>
      <c r="M170" s="467"/>
      <c r="N170" s="468"/>
    </row>
    <row r="171" spans="2:14" s="93" customFormat="1" ht="39.950000000000003" customHeight="1" thickBot="1">
      <c r="B171" s="469"/>
      <c r="C171" s="470"/>
      <c r="D171" s="470"/>
      <c r="E171" s="470"/>
      <c r="F171" s="470"/>
      <c r="G171" s="470"/>
      <c r="H171" s="470"/>
      <c r="I171" s="470"/>
      <c r="J171" s="470"/>
      <c r="K171" s="470"/>
      <c r="L171" s="470"/>
      <c r="M171" s="470"/>
      <c r="N171" s="471"/>
    </row>
    <row r="172" spans="2:14" s="93" customFormat="1" ht="30" customHeight="1" thickTop="1">
      <c r="B172" s="453" t="s">
        <v>110</v>
      </c>
      <c r="C172" s="454"/>
      <c r="D172" s="454"/>
      <c r="E172" s="457"/>
      <c r="F172" s="458"/>
      <c r="G172" s="458"/>
      <c r="H172" s="458"/>
      <c r="I172" s="458"/>
      <c r="J172" s="458"/>
      <c r="K172" s="458"/>
      <c r="L172" s="459"/>
      <c r="M172" s="454" t="s">
        <v>202</v>
      </c>
      <c r="N172" s="455"/>
    </row>
    <row r="173" spans="2:14" s="93" customFormat="1" ht="33" customHeight="1" thickBot="1">
      <c r="B173" s="456" t="s">
        <v>107</v>
      </c>
      <c r="C173" s="451"/>
      <c r="D173" s="451"/>
      <c r="E173" s="460"/>
      <c r="F173" s="461"/>
      <c r="G173" s="461"/>
      <c r="H173" s="461"/>
      <c r="I173" s="461"/>
      <c r="J173" s="461"/>
      <c r="K173" s="461"/>
      <c r="L173" s="462"/>
      <c r="M173" s="451" t="s">
        <v>108</v>
      </c>
      <c r="N173" s="452"/>
    </row>
    <row r="174" spans="2:14" s="93" customFormat="1" ht="19.5" thickTop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  <row r="637" spans="3:9" s="93" customFormat="1">
      <c r="C637" s="97"/>
      <c r="D637" s="96"/>
      <c r="E637" s="96"/>
      <c r="F637" s="96"/>
      <c r="G637" s="96"/>
      <c r="H637" s="96"/>
      <c r="I637" s="96"/>
    </row>
    <row r="638" spans="3:9" s="93" customFormat="1">
      <c r="C638" s="97"/>
      <c r="D638" s="96"/>
      <c r="E638" s="96"/>
      <c r="F638" s="96"/>
      <c r="G638" s="96"/>
      <c r="H638" s="96"/>
      <c r="I638" s="96"/>
    </row>
  </sheetData>
  <mergeCells count="226">
    <mergeCell ref="D136:N136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20:M120"/>
    <mergeCell ref="B121:M121"/>
    <mergeCell ref="B126:N12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3:N123"/>
    <mergeCell ref="B124:C124"/>
    <mergeCell ref="D124:N124"/>
    <mergeCell ref="B125:C125"/>
    <mergeCell ref="D125:N125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55:C55"/>
    <mergeCell ref="M173:N173"/>
    <mergeCell ref="B172:D172"/>
    <mergeCell ref="M172:N172"/>
    <mergeCell ref="B173:D173"/>
    <mergeCell ref="B145:C145"/>
    <mergeCell ref="D145:N145"/>
    <mergeCell ref="B152:C152"/>
    <mergeCell ref="D152:N152"/>
    <mergeCell ref="B164:C164"/>
    <mergeCell ref="D164:N164"/>
    <mergeCell ref="B165:C165"/>
    <mergeCell ref="D165:N165"/>
    <mergeCell ref="B153:C153"/>
    <mergeCell ref="D153:N153"/>
    <mergeCell ref="E172:L172"/>
    <mergeCell ref="E173:L173"/>
    <mergeCell ref="B168:N171"/>
    <mergeCell ref="D158:N158"/>
    <mergeCell ref="B159:C159"/>
    <mergeCell ref="D159:N159"/>
    <mergeCell ref="B160:C160"/>
    <mergeCell ref="B158:C158"/>
    <mergeCell ref="B136:C136"/>
    <mergeCell ref="D143:N143"/>
    <mergeCell ref="B35:C35"/>
    <mergeCell ref="B36:C36"/>
    <mergeCell ref="B37:C37"/>
    <mergeCell ref="B38:C38"/>
    <mergeCell ref="B39:C39"/>
    <mergeCell ref="B40:C40"/>
    <mergeCell ref="B41:C41"/>
    <mergeCell ref="B42:C42"/>
    <mergeCell ref="B140:C140"/>
    <mergeCell ref="B138:N138"/>
    <mergeCell ref="B134:N134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D163:N163"/>
    <mergeCell ref="B163:C163"/>
    <mergeCell ref="B166:N166"/>
    <mergeCell ref="B167:N167"/>
    <mergeCell ref="B151:C151"/>
    <mergeCell ref="B146:C146"/>
    <mergeCell ref="D146:N146"/>
    <mergeCell ref="B147:C147"/>
    <mergeCell ref="D147:N147"/>
    <mergeCell ref="B148:C148"/>
    <mergeCell ref="D148:N148"/>
    <mergeCell ref="D160:N160"/>
    <mergeCell ref="B154:N154"/>
    <mergeCell ref="B157:N157"/>
    <mergeCell ref="B162:N162"/>
    <mergeCell ref="B161:C161"/>
    <mergeCell ref="D161:N161"/>
    <mergeCell ref="B155:C155"/>
    <mergeCell ref="D155:N155"/>
    <mergeCell ref="B156:C156"/>
    <mergeCell ref="D156:N156"/>
    <mergeCell ref="D151:N151"/>
    <mergeCell ref="B144:C144"/>
    <mergeCell ref="D144:N144"/>
    <mergeCell ref="B1:N5"/>
    <mergeCell ref="B11:N12"/>
    <mergeCell ref="F7:J7"/>
    <mergeCell ref="F9:J9"/>
    <mergeCell ref="B149:N149"/>
    <mergeCell ref="B150:C150"/>
    <mergeCell ref="D150:N150"/>
    <mergeCell ref="B141:N141"/>
    <mergeCell ref="B142:N142"/>
    <mergeCell ref="B135:C135"/>
    <mergeCell ref="D135:N135"/>
    <mergeCell ref="B137:C137"/>
    <mergeCell ref="D137:N137"/>
    <mergeCell ref="B139:C139"/>
    <mergeCell ref="D139:N139"/>
    <mergeCell ref="B43:C43"/>
    <mergeCell ref="B44:C44"/>
    <mergeCell ref="B45:C45"/>
    <mergeCell ref="B46:C46"/>
    <mergeCell ref="D140:N140"/>
    <mergeCell ref="B143:C143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33:C133"/>
    <mergeCell ref="D133:N133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32:C132"/>
    <mergeCell ref="D132:N132"/>
    <mergeCell ref="B131:C131"/>
    <mergeCell ref="B118:M118"/>
    <mergeCell ref="B119:M119"/>
    <mergeCell ref="B122:N122"/>
    <mergeCell ref="D131:N131"/>
    <mergeCell ref="B130:C130"/>
    <mergeCell ref="D130:N130"/>
    <mergeCell ref="B129:C129"/>
    <mergeCell ref="D129:N129"/>
    <mergeCell ref="B128:C128"/>
    <mergeCell ref="D128:N128"/>
    <mergeCell ref="B127:C127"/>
    <mergeCell ref="D127:N127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2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8"/>
  <sheetViews>
    <sheetView topLeftCell="A2" workbookViewId="0">
      <selection activeCell="I30" sqref="I30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0" t="s">
        <v>373</v>
      </c>
      <c r="D2" s="301" t="str">
        <f>QUOTATION!M8</f>
        <v>R2</v>
      </c>
      <c r="E2" s="302">
        <f>QUOTATION!N8</f>
        <v>43712</v>
      </c>
      <c r="F2" s="516" t="s">
        <v>242</v>
      </c>
      <c r="G2" s="516"/>
    </row>
    <row r="3" spans="3:13">
      <c r="C3" s="292" t="s">
        <v>125</v>
      </c>
      <c r="D3" s="517" t="str">
        <f>QUOTATION!F7</f>
        <v>Mr. Kishore</v>
      </c>
      <c r="E3" s="517"/>
      <c r="F3" s="520" t="s">
        <v>243</v>
      </c>
      <c r="G3" s="521">
        <f>QUOTATION!N8</f>
        <v>43712</v>
      </c>
    </row>
    <row r="4" spans="3:13">
      <c r="C4" s="292" t="s">
        <v>240</v>
      </c>
      <c r="D4" s="518" t="str">
        <f>QUOTATION!M6</f>
        <v>ABPL-DE-19.20-2174</v>
      </c>
      <c r="E4" s="518"/>
      <c r="F4" s="520"/>
      <c r="G4" s="522"/>
    </row>
    <row r="5" spans="3:13">
      <c r="C5" s="292" t="s">
        <v>126</v>
      </c>
      <c r="D5" s="517" t="str">
        <f>QUOTATION!F8</f>
        <v>Orissa</v>
      </c>
      <c r="E5" s="517"/>
      <c r="F5" s="520"/>
      <c r="G5" s="522"/>
    </row>
    <row r="6" spans="3:13">
      <c r="C6" s="292" t="s">
        <v>166</v>
      </c>
      <c r="D6" s="517" t="str">
        <f>QUOTATION!F9</f>
        <v>Mr. Srinivas : 9949077279</v>
      </c>
      <c r="E6" s="517"/>
      <c r="F6" s="520"/>
      <c r="G6" s="522"/>
    </row>
    <row r="7" spans="3:13">
      <c r="C7" s="292" t="s">
        <v>372</v>
      </c>
      <c r="D7" s="517" t="str">
        <f>QUOTATION!M10</f>
        <v>Design Concepts</v>
      </c>
      <c r="E7" s="517"/>
      <c r="F7" s="520"/>
      <c r="G7" s="522"/>
    </row>
    <row r="8" spans="3:13">
      <c r="C8" s="292" t="s">
        <v>174</v>
      </c>
      <c r="D8" s="517" t="str">
        <f>QUOTATION!F10</f>
        <v>Anodized</v>
      </c>
      <c r="E8" s="517"/>
      <c r="F8" s="520"/>
      <c r="G8" s="522"/>
    </row>
    <row r="9" spans="3:13">
      <c r="C9" s="292" t="s">
        <v>175</v>
      </c>
      <c r="D9" s="517" t="str">
        <f>QUOTATION!I10</f>
        <v>Silver</v>
      </c>
      <c r="E9" s="517"/>
      <c r="F9" s="520"/>
      <c r="G9" s="522"/>
    </row>
    <row r="10" spans="3:13">
      <c r="C10" s="292" t="s">
        <v>177</v>
      </c>
      <c r="D10" s="517" t="str">
        <f>QUOTATION!I8</f>
        <v>2Kpa</v>
      </c>
      <c r="E10" s="517"/>
      <c r="F10" s="520"/>
      <c r="G10" s="522"/>
    </row>
    <row r="11" spans="3:13">
      <c r="C11" s="292" t="s">
        <v>239</v>
      </c>
      <c r="D11" s="517" t="str">
        <f>QUOTATION!M9</f>
        <v>Mahesh</v>
      </c>
      <c r="E11" s="517"/>
      <c r="F11" s="520"/>
      <c r="G11" s="522"/>
    </row>
    <row r="12" spans="3:13">
      <c r="C12" s="292" t="s">
        <v>241</v>
      </c>
      <c r="D12" s="519">
        <f>QUOTATION!M7</f>
        <v>43704</v>
      </c>
      <c r="E12" s="519"/>
      <c r="F12" s="520"/>
      <c r="G12" s="523"/>
    </row>
    <row r="13" spans="3:13">
      <c r="C13" s="188" t="s">
        <v>233</v>
      </c>
      <c r="D13" s="512" t="s">
        <v>229</v>
      </c>
      <c r="E13" s="513"/>
      <c r="F13" s="514" t="s">
        <v>230</v>
      </c>
      <c r="G13" s="515"/>
    </row>
    <row r="14" spans="3:13">
      <c r="C14" s="189" t="s">
        <v>231</v>
      </c>
      <c r="D14" s="291"/>
      <c r="E14" s="239">
        <f>Pricing!L104</f>
        <v>11503.849999999999</v>
      </c>
      <c r="F14" s="200"/>
      <c r="G14" s="201">
        <f>E14</f>
        <v>11503.849999999999</v>
      </c>
    </row>
    <row r="15" spans="3:13">
      <c r="C15" s="189" t="s">
        <v>232</v>
      </c>
      <c r="D15" s="291">
        <f>'Changable Values'!D4</f>
        <v>83</v>
      </c>
      <c r="E15" s="194">
        <f>E14*D15</f>
        <v>954819.54999999993</v>
      </c>
      <c r="F15" s="200"/>
      <c r="G15" s="202">
        <f>E15</f>
        <v>954819.54999999993</v>
      </c>
    </row>
    <row r="16" spans="3:13">
      <c r="C16" s="190" t="s">
        <v>97</v>
      </c>
      <c r="D16" s="195">
        <f>'Changable Values'!D5</f>
        <v>0.1</v>
      </c>
      <c r="E16" s="194">
        <f>E15*D16</f>
        <v>95481.955000000002</v>
      </c>
      <c r="F16" s="203">
        <f>'Changable Values'!D5</f>
        <v>0.1</v>
      </c>
      <c r="G16" s="202">
        <f>G15*F16</f>
        <v>95481.955000000002</v>
      </c>
      <c r="I16" s="316"/>
      <c r="J16" s="160"/>
      <c r="K16" s="160"/>
      <c r="L16" s="160"/>
      <c r="M16" s="160"/>
    </row>
    <row r="17" spans="3:7">
      <c r="C17" s="190" t="s">
        <v>134</v>
      </c>
      <c r="D17" s="195">
        <f>'Changable Values'!D6</f>
        <v>0.11</v>
      </c>
      <c r="E17" s="194">
        <f>SUM(E15:E16)*D17</f>
        <v>115533.16554999999</v>
      </c>
      <c r="F17" s="203">
        <f>'Changable Values'!D6</f>
        <v>0.11</v>
      </c>
      <c r="G17" s="202">
        <f>SUM(G15:G16)*F17</f>
        <v>115533.16554999999</v>
      </c>
    </row>
    <row r="18" spans="3:7">
      <c r="C18" s="190" t="s">
        <v>136</v>
      </c>
      <c r="D18" s="195">
        <f>'Changable Values'!D7</f>
        <v>5.0000000000000001E-3</v>
      </c>
      <c r="E18" s="194">
        <f>SUM(E15:E17)*D18</f>
        <v>5829.17335275</v>
      </c>
      <c r="F18" s="203">
        <f>'Changable Values'!D7</f>
        <v>5.0000000000000001E-3</v>
      </c>
      <c r="G18" s="202">
        <f>SUM(G15:G17)*F18</f>
        <v>5829.17335275</v>
      </c>
    </row>
    <row r="19" spans="3:7">
      <c r="C19" s="190" t="s">
        <v>135</v>
      </c>
      <c r="D19" s="195">
        <f>'Changable Values'!D8</f>
        <v>0.01</v>
      </c>
      <c r="E19" s="194">
        <f>SUM(E15:E18)*D19</f>
        <v>11716.6384390275</v>
      </c>
      <c r="F19" s="203">
        <f>'Changable Values'!D8</f>
        <v>0.01</v>
      </c>
      <c r="G19" s="202">
        <f>SUM(G15:G18)*F19</f>
        <v>11716.6384390275</v>
      </c>
    </row>
    <row r="20" spans="3:7">
      <c r="C20" s="190" t="s">
        <v>99</v>
      </c>
      <c r="D20" s="196"/>
      <c r="E20" s="194">
        <f>SUM(E15:E19)</f>
        <v>1183380.4823417775</v>
      </c>
      <c r="F20" s="203"/>
      <c r="G20" s="202">
        <f>SUM(G15:G19)</f>
        <v>1183380.4823417775</v>
      </c>
    </row>
    <row r="21" spans="3:7">
      <c r="C21" s="190" t="s">
        <v>133</v>
      </c>
      <c r="D21" s="195">
        <f>'Changable Values'!D9</f>
        <v>1.4999999999999999E-2</v>
      </c>
      <c r="E21" s="194">
        <f>E20*D21</f>
        <v>17750.707235126662</v>
      </c>
      <c r="F21" s="203">
        <f>'Changable Values'!D9</f>
        <v>1.4999999999999999E-2</v>
      </c>
      <c r="G21" s="202">
        <f>G20*F21</f>
        <v>17750.707235126662</v>
      </c>
    </row>
    <row r="22" spans="3:7">
      <c r="C22" s="190" t="s">
        <v>187</v>
      </c>
      <c r="D22" s="193"/>
      <c r="E22" s="194">
        <f>'Cost Calculation'!AB109</f>
        <v>0</v>
      </c>
      <c r="F22" s="204"/>
      <c r="G22" s="202">
        <f t="shared" ref="G22:G28" si="0">E22</f>
        <v>0</v>
      </c>
    </row>
    <row r="23" spans="3:7">
      <c r="C23" s="190" t="s">
        <v>226</v>
      </c>
      <c r="D23" s="193"/>
      <c r="E23" s="194">
        <f>'Cost Calculation'!AD109</f>
        <v>611824.93585000013</v>
      </c>
      <c r="F23" s="204"/>
      <c r="G23" s="202">
        <f t="shared" si="0"/>
        <v>611824.93585000013</v>
      </c>
    </row>
    <row r="24" spans="3:7">
      <c r="C24" s="190" t="s">
        <v>227</v>
      </c>
      <c r="D24" s="193"/>
      <c r="E24" s="194">
        <f>'Cost Calculation'!AH111</f>
        <v>63273.500262295092</v>
      </c>
      <c r="F24" s="204"/>
      <c r="G24" s="202">
        <f t="shared" si="0"/>
        <v>63273.500262295092</v>
      </c>
    </row>
    <row r="25" spans="3:7">
      <c r="C25" s="191" t="s">
        <v>235</v>
      </c>
      <c r="D25" s="193"/>
      <c r="E25" s="194">
        <f>'Cost Calculation'!AJ109</f>
        <v>43143.532847999988</v>
      </c>
      <c r="F25" s="204"/>
      <c r="G25" s="202">
        <f t="shared" si="0"/>
        <v>43143.532847999988</v>
      </c>
    </row>
    <row r="26" spans="3:7">
      <c r="C26" s="191" t="s">
        <v>236</v>
      </c>
      <c r="D26" s="193"/>
      <c r="E26" s="194">
        <f>'Cost Calculation'!AK109</f>
        <v>0</v>
      </c>
      <c r="F26" s="204"/>
      <c r="G26" s="202">
        <f t="shared" si="0"/>
        <v>0</v>
      </c>
    </row>
    <row r="27" spans="3:7">
      <c r="C27" s="190" t="s">
        <v>86</v>
      </c>
      <c r="D27" s="193"/>
      <c r="E27" s="194">
        <f>'Cost Calculation'!AL109</f>
        <v>177328.68168599997</v>
      </c>
      <c r="F27" s="204"/>
      <c r="G27" s="202">
        <f t="shared" si="0"/>
        <v>177328.68168599997</v>
      </c>
    </row>
    <row r="28" spans="3:7">
      <c r="C28" s="190" t="s">
        <v>88</v>
      </c>
      <c r="D28" s="193"/>
      <c r="E28" s="194">
        <f>'Cost Calculation'!AN109</f>
        <v>141862.94534879993</v>
      </c>
      <c r="F28" s="204"/>
      <c r="G28" s="202">
        <f t="shared" si="0"/>
        <v>141862.94534879993</v>
      </c>
    </row>
    <row r="29" spans="3:7">
      <c r="C29" s="288" t="s">
        <v>375</v>
      </c>
      <c r="D29" s="289"/>
      <c r="E29" s="290">
        <f>SUM(E20:E28)</f>
        <v>2238564.7855719994</v>
      </c>
      <c r="F29" s="204"/>
      <c r="G29" s="202">
        <f>SUM(G20:G21,G24)</f>
        <v>1264404.6898391994</v>
      </c>
    </row>
    <row r="30" spans="3:7">
      <c r="C30" s="288" t="s">
        <v>376</v>
      </c>
      <c r="D30" s="289"/>
      <c r="E30" s="290">
        <f>E29/E35</f>
        <v>1262.3816769448943</v>
      </c>
      <c r="F30" s="204"/>
      <c r="G30" s="202"/>
    </row>
    <row r="31" spans="3:7">
      <c r="C31" s="190" t="s">
        <v>4</v>
      </c>
      <c r="D31" s="197">
        <f>'Changable Values'!D23</f>
        <v>1.25</v>
      </c>
      <c r="E31" s="194">
        <f>(E29-SUM(E22:E23,E25:E28))*D31</f>
        <v>1580505.8622989992</v>
      </c>
      <c r="F31" s="209">
        <f>'Changable Values'!D23</f>
        <v>1.25</v>
      </c>
      <c r="G31" s="202">
        <f>G29*F31</f>
        <v>1580505.8622989992</v>
      </c>
    </row>
    <row r="32" spans="3:7">
      <c r="C32" s="285" t="s">
        <v>5</v>
      </c>
      <c r="D32" s="286"/>
      <c r="E32" s="287">
        <f>E31+E29</f>
        <v>3819070.6478709988</v>
      </c>
      <c r="F32" s="200"/>
      <c r="G32" s="202">
        <f>SUM(G25:G31,G22:G23)</f>
        <v>3819070.6478709988</v>
      </c>
    </row>
    <row r="33" spans="3:7">
      <c r="C33" s="556" t="s">
        <v>520</v>
      </c>
      <c r="D33" s="557"/>
      <c r="E33" s="558">
        <f>QUOTATION!N118</f>
        <v>381907.10000000003</v>
      </c>
      <c r="F33" s="200"/>
      <c r="G33" s="202"/>
    </row>
    <row r="34" spans="3:7">
      <c r="C34" s="285" t="s">
        <v>230</v>
      </c>
      <c r="D34" s="286"/>
      <c r="E34" s="287">
        <f>E32-E33</f>
        <v>3437163.5478709987</v>
      </c>
      <c r="F34" s="200"/>
      <c r="G34" s="202"/>
    </row>
    <row r="35" spans="3:7">
      <c r="C35" s="295" t="s">
        <v>228</v>
      </c>
      <c r="D35" s="296"/>
      <c r="E35" s="303">
        <f>'Cost Calculation'!K109</f>
        <v>1773.2868168599994</v>
      </c>
      <c r="F35" s="205"/>
      <c r="G35" s="206">
        <f>E35</f>
        <v>1773.2868168599994</v>
      </c>
    </row>
    <row r="36" spans="3:7">
      <c r="C36" s="297" t="s">
        <v>9</v>
      </c>
      <c r="D36" s="298"/>
      <c r="E36" s="299">
        <f>QUOTATION!L116</f>
        <v>53</v>
      </c>
      <c r="F36" s="293"/>
      <c r="G36" s="294"/>
    </row>
    <row r="37" spans="3:7" ht="13.5" thickBot="1">
      <c r="C37" s="192" t="s">
        <v>374</v>
      </c>
      <c r="D37" s="198"/>
      <c r="E37" s="199">
        <f>E34/(E35)</f>
        <v>1938.3009647346644</v>
      </c>
      <c r="F37" s="207"/>
      <c r="G37" s="208">
        <f>G32/(G35)</f>
        <v>2153.667760657871</v>
      </c>
    </row>
    <row r="38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8"/>
      <c r="C4" s="529"/>
      <c r="D4" s="530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2" t="s">
        <v>39</v>
      </c>
      <c r="C5" s="533"/>
      <c r="D5" s="531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4"/>
      <c r="C6" s="535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4" t="s">
        <v>11</v>
      </c>
      <c r="C35" s="525"/>
      <c r="D35" s="525"/>
      <c r="E35" s="525"/>
      <c r="F35" s="525"/>
      <c r="G35" s="525"/>
      <c r="H35" s="525"/>
      <c r="I35" s="525"/>
      <c r="J35" s="526"/>
      <c r="K35" s="28">
        <f>SUM(K8:K34)</f>
        <v>0</v>
      </c>
    </row>
    <row r="36" spans="2:11" ht="15.75">
      <c r="B36" s="524" t="s">
        <v>4</v>
      </c>
      <c r="C36" s="525"/>
      <c r="D36" s="525"/>
      <c r="E36" s="525"/>
      <c r="F36" s="525"/>
      <c r="G36" s="525"/>
      <c r="H36" s="525"/>
      <c r="I36" s="526"/>
      <c r="J36" s="29">
        <v>0.1</v>
      </c>
      <c r="K36" s="28">
        <f>J36*K35</f>
        <v>0</v>
      </c>
    </row>
    <row r="37" spans="2:11" ht="15.75">
      <c r="B37" s="524" t="s">
        <v>5</v>
      </c>
      <c r="C37" s="525"/>
      <c r="D37" s="525"/>
      <c r="E37" s="525"/>
      <c r="F37" s="525"/>
      <c r="G37" s="525"/>
      <c r="H37" s="525"/>
      <c r="I37" s="525"/>
      <c r="J37" s="526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7" t="s">
        <v>21</v>
      </c>
      <c r="J38" s="527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2019-09-04T09:20:56Z</cp:lastPrinted>
  <dcterms:created xsi:type="dcterms:W3CDTF">2010-12-18T06:34:46Z</dcterms:created>
  <dcterms:modified xsi:type="dcterms:W3CDTF">2019-09-04T09:24:22Z</dcterms:modified>
</cp:coreProperties>
</file>