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Calculation'!$A$7:$WXA$107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Drawings!$C$2:$O$150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6" i="158"/>
  <c r="Q7" i="158"/>
  <c r="Q8" i="158"/>
  <c r="Q9" i="158"/>
  <c r="Q10" i="158"/>
  <c r="Q11" i="158"/>
  <c r="Q12" i="158"/>
  <c r="Q13" i="158"/>
  <c r="Q4" i="158"/>
  <c r="C8" i="167" l="1"/>
  <c r="N19" i="159" l="1"/>
  <c r="N18" i="159"/>
  <c r="N16" i="159"/>
  <c r="N14" i="159"/>
  <c r="N13" i="159"/>
  <c r="L19" i="159"/>
  <c r="L18" i="159"/>
  <c r="L16" i="159"/>
  <c r="L14" i="159"/>
  <c r="L13" i="159"/>
  <c r="N12" i="159"/>
  <c r="L12" i="159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A3" i="169"/>
  <c r="A4" i="169"/>
  <c r="A5" i="169"/>
  <c r="A6" i="169"/>
  <c r="A7" i="169"/>
  <c r="A9" i="169"/>
  <c r="A10" i="169"/>
  <c r="A11" i="169"/>
  <c r="A12" i="169"/>
  <c r="A13" i="169"/>
  <c r="A1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AH55" i="159" s="1"/>
  <c r="I54" i="159"/>
  <c r="J50" i="158"/>
  <c r="F54" i="159"/>
  <c r="I53" i="159"/>
  <c r="F53" i="159"/>
  <c r="I52" i="159"/>
  <c r="J48" i="158"/>
  <c r="F52" i="159"/>
  <c r="AH52" i="159" s="1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AH31" i="159" s="1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8" i="160" l="1"/>
  <c r="M36" i="160"/>
  <c r="M50" i="160"/>
  <c r="M41" i="160"/>
  <c r="M35" i="160"/>
  <c r="M37" i="160"/>
  <c r="M25" i="160"/>
  <c r="M49" i="160"/>
  <c r="M43" i="160"/>
  <c r="AH48" i="159"/>
  <c r="AH49" i="159"/>
  <c r="AH18" i="159"/>
  <c r="AH23" i="159"/>
  <c r="AH26" i="159"/>
  <c r="AH34" i="159"/>
  <c r="AH39" i="159"/>
  <c r="AH42" i="159"/>
  <c r="AH37" i="159"/>
  <c r="AH56" i="159"/>
  <c r="AH21" i="159"/>
  <c r="AH24" i="159"/>
  <c r="AH29" i="159"/>
  <c r="AH32" i="159"/>
  <c r="AH40" i="159"/>
  <c r="AH45" i="159"/>
  <c r="AH50" i="159"/>
  <c r="AH53" i="159"/>
  <c r="M45" i="160"/>
  <c r="AH47" i="159"/>
  <c r="AH22" i="159"/>
  <c r="AH27" i="159"/>
  <c r="AH30" i="159"/>
  <c r="AH35" i="159"/>
  <c r="AH38" i="159"/>
  <c r="AH43" i="159"/>
  <c r="AH46" i="159"/>
  <c r="AH54" i="159"/>
  <c r="AH57" i="159"/>
  <c r="M40" i="160"/>
  <c r="AH51" i="159"/>
  <c r="AH25" i="159"/>
  <c r="AH28" i="159"/>
  <c r="AH33" i="159"/>
  <c r="AH36" i="159"/>
  <c r="AH41" i="159"/>
  <c r="AH44" i="159"/>
  <c r="M34" i="160"/>
  <c r="AH20" i="159"/>
  <c r="AH19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<sst xmlns="http://schemas.openxmlformats.org/spreadsheetml/2006/main" count="1998" uniqueCount="457">
  <si>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</si>
  <si>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</si>
  <si>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</si>
  <si>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</si>
  <si>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</si>
  <si>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</si>
  <si>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</si>
  <si>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</si>
  <si>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</si>
  <si>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</si>
  <si>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</si>
  <si>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</si>
  <si>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</si>
  <si>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</si>
  <si>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</si>
  <si>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</si>
  <si>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</si>
  <si>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</si>
  <si>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</si>
  <si>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</si>
  <si>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</si>
  <si>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</si>
  <si>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</si>
  <si>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</si>
  <si>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</si>
  <si>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</si>
  <si>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</si>
  <si>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</si>
  <si>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</si>
  <si>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</si>
  <si>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</si>
  <si>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</si>
  <si>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</si>
  <si>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</si>
  <si>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</si>
  <si>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</si>
  <si>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</si>
  <si>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</si>
  <si>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</si>
  <si>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</si>
  <si>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</si>
  <si>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</si>
  <si>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</si>
  <si>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</si>
  <si>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</si>
  <si>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</si>
  <si>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</si>
  <si>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</si>
  <si>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</si>
  <si>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</si>
  <si>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</si>
  <si>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</si>
  <si>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</si>
  <si>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</si>
  <si>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</si>
  <si>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</si>
  <si>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</si>
  <si>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</si>
  <si>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</si>
  <si>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</si>
  <si>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</si>
  <si>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</si>
  <si>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</si>
  <si>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</si>
  <si>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</si>
  <si>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</si>
  <si>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</si>
  <si>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</si>
  <si>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</si>
  <si>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</si>
  <si>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</si>
  <si>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</si>
  <si>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</si>
  <si>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</si>
  <si>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</si>
  <si>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</si>
  <si>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</si>
  <si>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</si>
  <si>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</si>
  <si>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</si>
  <si>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</si>
  <si>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</si>
  <si>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</si>
  <si>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</si>
  <si>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</si>
  <si>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</si>
  <si>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</si>
  <si>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</si>
  <si>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</si>
  <si>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</si>
  <si>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</si>
  <si>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</si>
  <si>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</si>
  <si>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</si>
  <si>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</si>
  <si>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</si>
  <si>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</si>
  <si>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</si>
  <si>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</si>
  <si>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</si>
  <si>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</si>
  <si>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</si>
  <si>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</si>
  <si>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</si>
  <si>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</si>
  <si>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</si>
  <si>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</si>
  <si>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</si>
  <si>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</si>
  <si>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</si>
  <si>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</si>
  <si>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</si>
  <si>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</si>
  <si>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</si>
  <si>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</si>
  <si>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</si>
  <si>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</si>
  <si>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</si>
  <si>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</si>
  <si>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</si>
  <si>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</si>
  <si>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</si>
  <si>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</si>
  <si>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</si>
  <si>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</si>
  <si>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</si>
  <si>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</si>
  <si>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</si>
  <si>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</si>
  <si>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</si>
  <si>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</si>
  <si>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</si>
  <si>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</si>
  <si>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</si>
  <si>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</si>
  <si>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</si>
  <si>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</si>
  <si>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</si>
  <si>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</si>
  <si>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</si>
  <si>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</si>
  <si>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</si>
  <si>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</si>
  <si>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</si>
  <si>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</si>
  <si>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</si>
  <si>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</si>
  <si>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</si>
  <si>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</si>
  <si>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</si>
  <si>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</si>
  <si>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</si>
  <si>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</si>
  <si>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</si>
  <si>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</si>
  <si>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</si>
  <si>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</si>
  <si>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</si>
  <si>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</si>
  <si>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</si>
  <si>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</si>
  <si>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</si>
  <si>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</si>
  <si>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</si>
  <si>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</si>
  <si>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</si>
  <si>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</si>
  <si>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</si>
  <si>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</si>
  <si>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</si>
  <si>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</si>
  <si>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</si>
  <si>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</si>
  <si>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</si>
  <si>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</si>
  <si>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</si>
  <si>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</si>
  <si>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</si>
  <si>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</si>
  <si>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</si>
  <si>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</si>
  <si>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</si>
  <si>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</si>
  <si>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</si>
  <si>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</si>
  <si>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</si>
  <si>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</si>
  <si>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</si>
  <si>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</si>
  <si>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</si>
  <si>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</si>
  <si>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</si>
  <si>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</si>
  <si>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</si>
  <si>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</si>
  <si>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</si>
  <si>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</si>
  <si>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</si>
  <si>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</si>
  <si>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</si>
  <si>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</si>
  <si>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</si>
  <si>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</si>
  <si>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</si>
  <si>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</si>
  <si>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</si>
  <si>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</si>
  <si>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</si>
  <si>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</si>
  <si>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</si>
  <si>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</si>
  <si>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</si>
  <si>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</si>
  <si>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</si>
  <si>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</si>
  <si>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</si>
  <si>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</si>
  <si>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</si>
  <si>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</si>
  <si>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</si>
  <si>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</si>
  <si>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</si>
  <si>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</si>
  <si>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</si>
  <si>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</si>
  <si>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</si>
  <si>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</si>
  <si>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</si>
  <si>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</si>
  <si>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</si>
  <si>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</si>
  <si>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</si>
  <si>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</si>
  <si>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</si>
  <si>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</si>
  <si>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</si>
  <si>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</si>
  <si>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</si>
  <si>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</si>
  <si>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</si>
  <si>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</si>
  <si>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</si>
  <si>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</si>
  <si>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</si>
  <si>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</si>
  <si>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</si>
  <si>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</si>
  <si>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</si>
  <si>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</si>
  <si>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</si>
  <si>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</si>
  <si>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</si>
  <si>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</si>
  <si>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</si>
  <si>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</si>
  <si>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</si>
  <si>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</si>
  <si>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</si>
  <si>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</si>
  <si>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</si>
  <si>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</si>
  <si>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</si>
  <si>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</si>
  <si>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</si>
  <si>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</si>
  <si>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</si>
  <si>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</si>
  <si>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</si>
  <si>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</si>
  <si>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</si>
  <si>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</si>
  <si>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</si>
  <si>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</si>
  <si>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</si>
  <si>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</si>
  <si>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</si>
  <si>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</si>
  <si>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</si>
  <si>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</si>
  <si>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</si>
  <si>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</si>
  <si>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</si>
  <si>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</si>
  <si>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</si>
  <si>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</si>
  <si>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</si>
  <si>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</si>
  <si>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</si>
  <si>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</si>
  <si>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</si>
  <si>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</si>
  <si>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</si>
  <si>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</si>
  <si>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</si>
  <si>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</si>
  <si>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</si>
  <si>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</si>
  <si>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</si>
  <si>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</si>
  <si>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</si>
  <si>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</si>
  <si>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</si>
  <si>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</si>
  <si>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</si>
  <si>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</si>
  <si>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</si>
  <si>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</si>
  <si>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</si>
  <si>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</si>
  <si>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</si>
  <si>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</si>
  <si>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</si>
  <si>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</si>
  <si>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</si>
  <si>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</si>
  <si>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</si>
  <si>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</si>
  <si>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</si>
  <si>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</si>
  <si>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</si>
  <si>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</si>
  <si>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</si>
  <si>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</si>
  <si>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</si>
  <si>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</si>
  <si>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</si>
  <si>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</si>
  <si>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</si>
  <si>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</si>
  <si>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</si>
  <si>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</si>
  <si>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</si>
  <si>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</si>
  <si>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</si>
  <si>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</si>
  <si>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</si>
  <si>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</si>
  <si>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</si>
  <si>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</si>
  <si>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</si>
  <si>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</si>
  <si>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</si>
  <si>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</si>
  <si>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</si>
  <si>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</si>
  <si>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</si>
  <si>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</si>
  <si>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</si>
  <si>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</si>
  <si>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</si>
  <si>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</si>
  <si>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</si>
  <si>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</si>
  <si>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</si>
  <si>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</si>
  <si>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</si>
  <si>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</si>
  <si>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</si>
  <si>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</si>
  <si>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</si>
  <si>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</si>
  <si>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</si>
  <si>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</si>
  <si>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</si>
  <si>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</si>
  <si>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</si>
  <si>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</si>
  <si>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</si>
  <si>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</si>
  <si>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</si>
  <si>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</si>
  <si>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</si>
  <si>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</si>
  <si>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</si>
  <si>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</si>
  <si>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</si>
  <si>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</si>
  <si>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</si>
  <si>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</si>
  <si>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</si>
  <si>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</si>
  <si>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</si>
  <si>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</si>
  <si>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</si>
  <si>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</si>
  <si>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</si>
  <si>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</si>
  <si>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</si>
  <si>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</si>
  <si>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</si>
  <si>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</si>
  <si>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</si>
  <si>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</si>
  <si>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</si>
  <si>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</si>
  <si>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</si>
  <si>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</si>
  <si>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</si>
  <si>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</si>
  <si>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</si>
  <si>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</si>
  <si>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</si>
  <si>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</si>
  <si>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</si>
  <si>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</si>
  <si>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</si>
  <si>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</si>
  <si>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</si>
  <si>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</si>
  <si>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</si>
  <si>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</si>
  <si>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</si>
  <si>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</si>
  <si>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</si>
  <si>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</si>
  <si>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</si>
  <si>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</si>
  <si>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</si>
  <si>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</si>
  <si>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</si>
  <si>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Veeraprakash Residence</t>
  </si>
  <si>
    <t>Hyderabad</t>
  </si>
  <si>
    <t>Anodized</t>
  </si>
  <si>
    <t>Vinod Bachala</t>
  </si>
  <si>
    <t>SD</t>
  </si>
  <si>
    <t>NO</t>
  </si>
  <si>
    <t>NA</t>
  </si>
  <si>
    <t>SD1</t>
  </si>
  <si>
    <t>SD2</t>
  </si>
  <si>
    <t>SD3</t>
  </si>
  <si>
    <t>W1</t>
  </si>
  <si>
    <t>W2</t>
  </si>
  <si>
    <t>W3</t>
  </si>
  <si>
    <t>W4</t>
  </si>
  <si>
    <t>KW</t>
  </si>
  <si>
    <t>W5</t>
  </si>
  <si>
    <t>M15000</t>
  </si>
  <si>
    <t>SINGLE DOOR WITH INTERNAL RAILING</t>
  </si>
  <si>
    <t>W6</t>
  </si>
  <si>
    <t>V</t>
  </si>
  <si>
    <t>TOP HUNG WINDOW WITH BOTTOM FIXED</t>
  </si>
  <si>
    <t>6MM (F)</t>
  </si>
  <si>
    <t>10mm :- 10mm Clear Toughened Glass</t>
  </si>
  <si>
    <t>12mm :- 12mm Clear Toughened Glass</t>
  </si>
  <si>
    <t>6mm (F) :- 6mm Frosted Toughened Glass</t>
  </si>
  <si>
    <t>ABPL-DE-19.20-2179-OP-1</t>
  </si>
  <si>
    <t>R1</t>
  </si>
  <si>
    <t>M14600</t>
  </si>
  <si>
    <t>3 TRACK 4 SHUTTER SLIDING DOOR</t>
  </si>
  <si>
    <t>SS</t>
  </si>
  <si>
    <t>3 TRACK 2 SHUTTER SLIDING DOOR</t>
  </si>
  <si>
    <t>3 TRACK 4 SHUTTER SLIDING DOOR WITH INTERNAL RAILING</t>
  </si>
  <si>
    <t>24MM &amp; 12MM</t>
  </si>
  <si>
    <t>3 TRACK 2 SHUTTER SLIDING WINDOW</t>
  </si>
  <si>
    <t>3 TRACK 2 SHUTTER SLIDING DOOR WITH INTERNAL RAILING</t>
  </si>
  <si>
    <t>10MM &amp; 12MM</t>
  </si>
  <si>
    <t>24mm :- 6mm Clear Toughened Glass + 12mm Spacer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</si>
</sst>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662609</xdr:colOff>
      <xdr:row>118</xdr:row>
      <xdr:rowOff>115957</xdr:rowOff>
    </xdr:from>
    <xdr:to>
      <xdr:col>5</xdr:col>
      <xdr:colOff>1863588</xdr:colOff>
      <xdr:row>126</xdr:row>
      <xdr:rowOff>253798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4720696"/>
          <a:ext cx="1200979" cy="265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803413</xdr:colOff>
      <xdr:row>123</xdr:row>
      <xdr:rowOff>198782</xdr:rowOff>
    </xdr:from>
    <xdr:to>
      <xdr:col>5</xdr:col>
      <xdr:colOff>1573696</xdr:colOff>
      <xdr:row>123</xdr:row>
      <xdr:rowOff>198782</xdr:rowOff>
    </xdr:to>
    <xdr:cxnSp macro="">
      <xdr:nvCxnSpPr>
        <xdr:cNvPr id="28" name="Straight Connector 27"/>
        <xdr:cNvCxnSpPr/>
      </xdr:nvCxnSpPr>
      <xdr:spPr>
        <a:xfrm>
          <a:off x="3851413" y="36377217"/>
          <a:ext cx="7702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828260</xdr:colOff>
      <xdr:row>129</xdr:row>
      <xdr:rowOff>49696</xdr:rowOff>
    </xdr:from>
    <xdr:to>
      <xdr:col>5</xdr:col>
      <xdr:colOff>1664804</xdr:colOff>
      <xdr:row>137</xdr:row>
      <xdr:rowOff>274693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37967479"/>
          <a:ext cx="836544" cy="2742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977348</xdr:colOff>
      <xdr:row>134</xdr:row>
      <xdr:rowOff>265044</xdr:rowOff>
    </xdr:from>
    <xdr:to>
      <xdr:col>5</xdr:col>
      <xdr:colOff>1350065</xdr:colOff>
      <xdr:row>134</xdr:row>
      <xdr:rowOff>265044</xdr:rowOff>
    </xdr:to>
    <xdr:cxnSp macro="">
      <xdr:nvCxnSpPr>
        <xdr:cNvPr id="30" name="Straight Connector 29"/>
        <xdr:cNvCxnSpPr/>
      </xdr:nvCxnSpPr>
      <xdr:spPr>
        <a:xfrm>
          <a:off x="4025348" y="39756522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472108</xdr:colOff>
      <xdr:row>141</xdr:row>
      <xdr:rowOff>16564</xdr:rowOff>
    </xdr:from>
    <xdr:to>
      <xdr:col>5</xdr:col>
      <xdr:colOff>1722782</xdr:colOff>
      <xdr:row>147</xdr:row>
      <xdr:rowOff>247442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41562129"/>
          <a:ext cx="1250674" cy="211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91107</xdr:colOff>
      <xdr:row>8</xdr:row>
      <xdr:rowOff>41414</xdr:rowOff>
    </xdr:from>
    <xdr:to>
      <xdr:col>8</xdr:col>
      <xdr:colOff>422411</xdr:colOff>
      <xdr:row>16</xdr:row>
      <xdr:rowOff>284691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8" y="1515718"/>
          <a:ext cx="3660913" cy="2761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8279</xdr:colOff>
      <xdr:row>19</xdr:row>
      <xdr:rowOff>57980</xdr:rowOff>
    </xdr:from>
    <xdr:to>
      <xdr:col>9</xdr:col>
      <xdr:colOff>33127</xdr:colOff>
      <xdr:row>27</xdr:row>
      <xdr:rowOff>267859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0" y="4845328"/>
          <a:ext cx="3942522" cy="2727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256761</xdr:colOff>
      <xdr:row>30</xdr:row>
      <xdr:rowOff>82821</xdr:rowOff>
    </xdr:from>
    <xdr:to>
      <xdr:col>8</xdr:col>
      <xdr:colOff>331305</xdr:colOff>
      <xdr:row>38</xdr:row>
      <xdr:rowOff>239849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2" y="8183212"/>
          <a:ext cx="3404153" cy="2674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41</xdr:row>
      <xdr:rowOff>57977</xdr:rowOff>
    </xdr:from>
    <xdr:to>
      <xdr:col>7</xdr:col>
      <xdr:colOff>140804</xdr:colOff>
      <xdr:row>49</xdr:row>
      <xdr:rowOff>266147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11471412"/>
          <a:ext cx="2650435" cy="2726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</xdr:colOff>
      <xdr:row>52</xdr:row>
      <xdr:rowOff>115956</xdr:rowOff>
    </xdr:from>
    <xdr:to>
      <xdr:col>10</xdr:col>
      <xdr:colOff>49696</xdr:colOff>
      <xdr:row>60</xdr:row>
      <xdr:rowOff>219135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478" y="14842434"/>
          <a:ext cx="5135218" cy="2621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289891</xdr:colOff>
      <xdr:row>63</xdr:row>
      <xdr:rowOff>107673</xdr:rowOff>
    </xdr:from>
    <xdr:to>
      <xdr:col>9</xdr:col>
      <xdr:colOff>182218</xdr:colOff>
      <xdr:row>71</xdr:row>
      <xdr:rowOff>243301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87" y="18147195"/>
          <a:ext cx="4398066" cy="2653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190498</xdr:colOff>
      <xdr:row>74</xdr:row>
      <xdr:rowOff>66261</xdr:rowOff>
    </xdr:from>
    <xdr:to>
      <xdr:col>8</xdr:col>
      <xdr:colOff>248476</xdr:colOff>
      <xdr:row>82</xdr:row>
      <xdr:rowOff>234084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759" y="21418826"/>
          <a:ext cx="3387587" cy="26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91108</xdr:colOff>
      <xdr:row>85</xdr:row>
      <xdr:rowOff>132522</xdr:rowOff>
    </xdr:from>
    <xdr:to>
      <xdr:col>5</xdr:col>
      <xdr:colOff>1822174</xdr:colOff>
      <xdr:row>93</xdr:row>
      <xdr:rowOff>224942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8" y="24798131"/>
          <a:ext cx="1731066" cy="261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124238</xdr:colOff>
      <xdr:row>96</xdr:row>
      <xdr:rowOff>57978</xdr:rowOff>
    </xdr:from>
    <xdr:to>
      <xdr:col>5</xdr:col>
      <xdr:colOff>1673086</xdr:colOff>
      <xdr:row>104</xdr:row>
      <xdr:rowOff>276156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8" y="28036630"/>
          <a:ext cx="1548848" cy="2736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107</xdr:row>
      <xdr:rowOff>49695</xdr:rowOff>
    </xdr:from>
    <xdr:to>
      <xdr:col>6</xdr:col>
      <xdr:colOff>74544</xdr:colOff>
      <xdr:row>115</xdr:row>
      <xdr:rowOff>241928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31341391"/>
          <a:ext cx="2045805" cy="271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124239</xdr:colOff>
      <xdr:row>56</xdr:row>
      <xdr:rowOff>173935</xdr:rowOff>
    </xdr:from>
    <xdr:to>
      <xdr:col>9</xdr:col>
      <xdr:colOff>389282</xdr:colOff>
      <xdr:row>56</xdr:row>
      <xdr:rowOff>173935</xdr:rowOff>
    </xdr:to>
    <xdr:cxnSp macro="">
      <xdr:nvCxnSpPr>
        <xdr:cNvPr id="9" name="Straight Connector 8"/>
        <xdr:cNvCxnSpPr/>
      </xdr:nvCxnSpPr>
      <xdr:spPr>
        <a:xfrm>
          <a:off x="1888435" y="16159370"/>
          <a:ext cx="47707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389282</xdr:colOff>
      <xdr:row>67</xdr:row>
      <xdr:rowOff>157369</xdr:rowOff>
    </xdr:from>
    <xdr:to>
      <xdr:col>8</xdr:col>
      <xdr:colOff>513521</xdr:colOff>
      <xdr:row>67</xdr:row>
      <xdr:rowOff>157369</xdr:rowOff>
    </xdr:to>
    <xdr:cxnSp macro="">
      <xdr:nvCxnSpPr>
        <xdr:cNvPr id="41" name="Straight Connector 40"/>
        <xdr:cNvCxnSpPr/>
      </xdr:nvCxnSpPr>
      <xdr:spPr>
        <a:xfrm>
          <a:off x="2153478" y="19455847"/>
          <a:ext cx="4041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298172</xdr:colOff>
      <xdr:row>78</xdr:row>
      <xdr:rowOff>190500</xdr:rowOff>
    </xdr:from>
    <xdr:to>
      <xdr:col>8</xdr:col>
      <xdr:colOff>0</xdr:colOff>
      <xdr:row>78</xdr:row>
      <xdr:rowOff>190500</xdr:rowOff>
    </xdr:to>
    <xdr:cxnSp macro="">
      <xdr:nvCxnSpPr>
        <xdr:cNvPr id="42" name="Straight Connector 41"/>
        <xdr:cNvCxnSpPr/>
      </xdr:nvCxnSpPr>
      <xdr:spPr>
        <a:xfrm>
          <a:off x="2650433" y="22802022"/>
          <a:ext cx="30314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231912</xdr:colOff>
      <xdr:row>100</xdr:row>
      <xdr:rowOff>198782</xdr:rowOff>
    </xdr:from>
    <xdr:to>
      <xdr:col>5</xdr:col>
      <xdr:colOff>1408043</xdr:colOff>
      <xdr:row>100</xdr:row>
      <xdr:rowOff>198782</xdr:rowOff>
    </xdr:to>
    <xdr:cxnSp macro="">
      <xdr:nvCxnSpPr>
        <xdr:cNvPr id="43" name="Straight Connector 42"/>
        <xdr:cNvCxnSpPr/>
      </xdr:nvCxnSpPr>
      <xdr:spPr>
        <a:xfrm>
          <a:off x="3279912" y="29436391"/>
          <a:ext cx="1176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9" sqref="C9:K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ABPL-DE-19.20-2179-OP-1</v>
      </c>
      <c r="O2" s="535"/>
      <c r="P2" s="219" t="s">
        <v>256</v>
      </c>
    </row>
    <row r="3" spans="2:16">
      <c r="B3" s="218"/>
      <c r="C3" s="534" t="s">
        <v>126</v>
      </c>
      <c r="D3" s="534"/>
      <c r="E3" s="534"/>
      <c r="F3" s="535" t="str">
        <f>QUOTATION!F7</f>
        <v>Mr. Veeraprakash Residence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43712</v>
      </c>
      <c r="O3" s="542"/>
      <c r="P3" s="219" t="s">
        <v>255</v>
      </c>
    </row>
    <row r="4" spans="2:16">
      <c r="B4" s="218"/>
      <c r="C4" s="534" t="s">
        <v>127</v>
      </c>
      <c r="D4" s="534"/>
      <c r="E4" s="534"/>
      <c r="F4" s="285" t="str">
        <f>QUOTATION!F8</f>
        <v>Hyderabad</v>
      </c>
      <c r="G4" s="534"/>
      <c r="H4" s="534"/>
      <c r="I4" s="536" t="s">
        <v>179</v>
      </c>
      <c r="J4" s="536"/>
      <c r="K4" s="535" t="str">
        <f>QUOTATION!I8</f>
        <v>1.5Kpa</v>
      </c>
      <c r="L4" s="535"/>
      <c r="M4" s="284" t="s">
        <v>105</v>
      </c>
      <c r="N4" s="286" t="str">
        <f>QUOTATION!M8</f>
        <v>R1</v>
      </c>
      <c r="O4" s="287">
        <f>QUOTATION!N8</f>
        <v>43732</v>
      </c>
    </row>
    <row r="5" spans="2:16">
      <c r="B5" s="218"/>
      <c r="C5" s="534" t="s">
        <v>168</v>
      </c>
      <c r="D5" s="534"/>
      <c r="E5" s="534"/>
      <c r="F5" s="535" t="str">
        <f>QUOTATION!F9</f>
        <v>Ms. Prathyusha : 8008103067</v>
      </c>
      <c r="G5" s="535"/>
      <c r="H5" s="535"/>
      <c r="I5" s="535"/>
      <c r="J5" s="535"/>
      <c r="K5" s="535"/>
      <c r="L5" s="535"/>
      <c r="M5" s="284" t="s">
        <v>178</v>
      </c>
      <c r="N5" s="535" t="str">
        <f>QUOTATION!M9</f>
        <v>Nikhil</v>
      </c>
      <c r="O5" s="535"/>
    </row>
    <row r="6" spans="2:16">
      <c r="B6" s="218"/>
      <c r="C6" s="534" t="s">
        <v>176</v>
      </c>
      <c r="D6" s="534"/>
      <c r="E6" s="534"/>
      <c r="F6" s="285" t="str">
        <f>QUOTATION!F10</f>
        <v>Anodized</v>
      </c>
      <c r="G6" s="534"/>
      <c r="H6" s="534"/>
      <c r="I6" s="536" t="s">
        <v>177</v>
      </c>
      <c r="J6" s="536"/>
      <c r="K6" s="535" t="str">
        <f>QUOTATION!I10</f>
        <v>Silver</v>
      </c>
      <c r="L6" s="535"/>
      <c r="M6" s="320" t="s">
        <v>372</v>
      </c>
      <c r="N6" s="543" t="str">
        <f>'BD Team'!J5</f>
        <v>Vinod Bachala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253</v>
      </c>
      <c r="D8" s="534"/>
      <c r="E8" s="286" t="str">
        <f>'BD Team'!B9</f>
        <v>SD</v>
      </c>
      <c r="F8" s="288" t="s">
        <v>254</v>
      </c>
      <c r="G8" s="535" t="str">
        <f>'BD Team'!D9</f>
        <v>3 TRACK 4 SHUTTER SLIDING DOOR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NA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246</v>
      </c>
      <c r="M10" s="534"/>
      <c r="N10" s="535" t="str">
        <f>$F$6</f>
        <v>Anodized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177</v>
      </c>
      <c r="M11" s="534"/>
      <c r="N11" s="535" t="str">
        <f>$K$6</f>
        <v>Silver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247</v>
      </c>
      <c r="M12" s="534"/>
      <c r="N12" s="540" t="s">
        <v>255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248</v>
      </c>
      <c r="M13" s="534"/>
      <c r="N13" s="535" t="str">
        <f>CONCATENATE('BD Team'!H9," X ",'BD Team'!I9)</f>
        <v>4880 X 3050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249</v>
      </c>
      <c r="M14" s="534"/>
      <c r="N14" s="538">
        <f>'BD Team'!J9</f>
        <v>2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250</v>
      </c>
      <c r="M15" s="534"/>
      <c r="N15" s="535" t="str">
        <f>'BD Team'!C9</f>
        <v>M14600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251</v>
      </c>
      <c r="M16" s="534"/>
      <c r="N16" s="535" t="str">
        <f>'BD Team'!E9</f>
        <v>24MM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252</v>
      </c>
      <c r="M17" s="534"/>
      <c r="N17" s="535" t="str">
        <f>'BD Team'!F9</f>
        <v>SS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253</v>
      </c>
      <c r="D19" s="534"/>
      <c r="E19" s="286" t="str">
        <f>'BD Team'!B10</f>
        <v>SD1</v>
      </c>
      <c r="F19" s="288" t="s">
        <v>254</v>
      </c>
      <c r="G19" s="535" t="str">
        <f>'BD Team'!D10</f>
        <v>3 TRACK 4 SHUTTER SLIDING DOOR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NA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246</v>
      </c>
      <c r="M21" s="534"/>
      <c r="N21" s="535" t="str">
        <f>$F$6</f>
        <v>Anodized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177</v>
      </c>
      <c r="M22" s="534"/>
      <c r="N22" s="535" t="str">
        <f>$K$6</f>
        <v>Silver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247</v>
      </c>
      <c r="M23" s="534"/>
      <c r="N23" s="537" t="s">
        <v>255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248</v>
      </c>
      <c r="M24" s="534"/>
      <c r="N24" s="535" t="str">
        <f>CONCATENATE('BD Team'!H10," X ",'BD Team'!I10)</f>
        <v>4880 X 2745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249</v>
      </c>
      <c r="M25" s="534"/>
      <c r="N25" s="538">
        <f>'BD Team'!J10</f>
        <v>1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250</v>
      </c>
      <c r="M26" s="534"/>
      <c r="N26" s="535" t="str">
        <f>'BD Team'!C10</f>
        <v>M14600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251</v>
      </c>
      <c r="M27" s="534"/>
      <c r="N27" s="535" t="str">
        <f>'BD Team'!E10</f>
        <v>24MM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252</v>
      </c>
      <c r="M28" s="534"/>
      <c r="N28" s="535" t="str">
        <f>'BD Team'!F10</f>
        <v>SS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253</v>
      </c>
      <c r="D30" s="534"/>
      <c r="E30" s="286" t="str">
        <f>'BD Team'!B11</f>
        <v>SD2</v>
      </c>
      <c r="F30" s="288" t="s">
        <v>254</v>
      </c>
      <c r="G30" s="535" t="str">
        <f>'BD Team'!D11</f>
        <v>3 TRACK 4 SHUTTER SLIDING DOOR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NA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246</v>
      </c>
      <c r="M32" s="534"/>
      <c r="N32" s="535" t="str">
        <f>$F$6</f>
        <v>Anodized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177</v>
      </c>
      <c r="M33" s="534"/>
      <c r="N33" s="535" t="str">
        <f>$K$6</f>
        <v>Silver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247</v>
      </c>
      <c r="M34" s="534"/>
      <c r="N34" s="537" t="s">
        <v>255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248</v>
      </c>
      <c r="M35" s="534"/>
      <c r="N35" s="535" t="str">
        <f>CONCATENATE('BD Team'!H11," X ",'BD Team'!I11)</f>
        <v>4270 X 2745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249</v>
      </c>
      <c r="M36" s="534"/>
      <c r="N36" s="538">
        <f>'BD Team'!J11</f>
        <v>1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250</v>
      </c>
      <c r="M37" s="534"/>
      <c r="N37" s="535" t="str">
        <f>'BD Team'!C11</f>
        <v>M14600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251</v>
      </c>
      <c r="M38" s="534"/>
      <c r="N38" s="535" t="str">
        <f>'BD Team'!E11</f>
        <v>24MM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252</v>
      </c>
      <c r="M39" s="534"/>
      <c r="N39" s="535" t="str">
        <f>'BD Team'!F11</f>
        <v>SS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253</v>
      </c>
      <c r="D41" s="534"/>
      <c r="E41" s="286" t="str">
        <f>'BD Team'!B12</f>
        <v>SD3</v>
      </c>
      <c r="F41" s="288" t="s">
        <v>254</v>
      </c>
      <c r="G41" s="535" t="str">
        <f>'BD Team'!D12</f>
        <v>3 TRACK 2 SHUTTER SLIDING DOOR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NA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246</v>
      </c>
      <c r="M43" s="534"/>
      <c r="N43" s="535" t="str">
        <f>$F$6</f>
        <v>Anodized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177</v>
      </c>
      <c r="M44" s="534"/>
      <c r="N44" s="535" t="str">
        <f>$K$6</f>
        <v>Silver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247</v>
      </c>
      <c r="M45" s="534"/>
      <c r="N45" s="537" t="s">
        <v>255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248</v>
      </c>
      <c r="M46" s="534"/>
      <c r="N46" s="535" t="str">
        <f>CONCATENATE('BD Team'!H12," X ",'BD Team'!I12)</f>
        <v>3202 X 2745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249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250</v>
      </c>
      <c r="M48" s="534"/>
      <c r="N48" s="535" t="str">
        <f>'BD Team'!C12</f>
        <v>M14600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251</v>
      </c>
      <c r="M49" s="534"/>
      <c r="N49" s="535" t="str">
        <f>'BD Team'!E12</f>
        <v>24MM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252</v>
      </c>
      <c r="M50" s="534"/>
      <c r="N50" s="535" t="str">
        <f>'BD Team'!F12</f>
        <v>SS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253</v>
      </c>
      <c r="D52" s="534"/>
      <c r="E52" s="286" t="str">
        <f>'BD Team'!B13</f>
        <v>W</v>
      </c>
      <c r="F52" s="288" t="s">
        <v>254</v>
      </c>
      <c r="G52" s="535" t="str">
        <f>'BD Team'!D13</f>
        <v>3 TRACK 4 SHUTTER SLIDING DOOR WITH INTERNAL RAILING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NA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246</v>
      </c>
      <c r="M54" s="534"/>
      <c r="N54" s="535" t="str">
        <f>$F$6</f>
        <v>Anodized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177</v>
      </c>
      <c r="M55" s="534"/>
      <c r="N55" s="535" t="str">
        <f>$K$6</f>
        <v>Silver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247</v>
      </c>
      <c r="M56" s="534"/>
      <c r="N56" s="537" t="s">
        <v>255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248</v>
      </c>
      <c r="M57" s="534"/>
      <c r="N57" s="535" t="str">
        <f>CONCATENATE('BD Team'!H13," X ",'BD Team'!I13)</f>
        <v>5795 X 2286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249</v>
      </c>
      <c r="M58" s="534"/>
      <c r="N58" s="538">
        <f>'BD Team'!J13</f>
        <v>1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250</v>
      </c>
      <c r="M59" s="534"/>
      <c r="N59" s="535" t="str">
        <f>'BD Team'!C13</f>
        <v>M14600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251</v>
      </c>
      <c r="M60" s="534"/>
      <c r="N60" s="535" t="str">
        <f>'BD Team'!E13</f>
        <v>24MM &amp; 12MM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252</v>
      </c>
      <c r="M61" s="534"/>
      <c r="N61" s="535" t="str">
        <f>'BD Team'!F13</f>
        <v>SS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253</v>
      </c>
      <c r="D63" s="534"/>
      <c r="E63" s="286" t="str">
        <f>'BD Team'!B14</f>
        <v>W1</v>
      </c>
      <c r="F63" s="288" t="s">
        <v>254</v>
      </c>
      <c r="G63" s="535" t="str">
        <f>'BD Team'!D14</f>
        <v>3 TRACK 4 SHUTTER SLIDING DOOR WITH INTERNAL RAILING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NA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246</v>
      </c>
      <c r="M65" s="534"/>
      <c r="N65" s="535" t="str">
        <f>$F$6</f>
        <v>Anodized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177</v>
      </c>
      <c r="M66" s="534"/>
      <c r="N66" s="535" t="str">
        <f>$K$6</f>
        <v>Silver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247</v>
      </c>
      <c r="M67" s="534"/>
      <c r="N67" s="537" t="s">
        <v>255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248</v>
      </c>
      <c r="M68" s="534"/>
      <c r="N68" s="535" t="str">
        <f>CONCATENATE('BD Team'!H14," X ",'BD Team'!I14)</f>
        <v>4880 X 2286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249</v>
      </c>
      <c r="M69" s="534"/>
      <c r="N69" s="538">
        <f>'BD Team'!J14</f>
        <v>3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250</v>
      </c>
      <c r="M70" s="534"/>
      <c r="N70" s="535" t="str">
        <f>'BD Team'!C14</f>
        <v>M14600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251</v>
      </c>
      <c r="M71" s="534"/>
      <c r="N71" s="535" t="str">
        <f>'BD Team'!E14</f>
        <v>24MM &amp; 12MM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252</v>
      </c>
      <c r="M72" s="534"/>
      <c r="N72" s="535" t="str">
        <f>'BD Team'!F14</f>
        <v>SS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253</v>
      </c>
      <c r="D74" s="534"/>
      <c r="E74" s="286" t="str">
        <f>'BD Team'!B15</f>
        <v>W2</v>
      </c>
      <c r="F74" s="288" t="s">
        <v>254</v>
      </c>
      <c r="G74" s="535" t="str">
        <f>'BD Team'!D15</f>
        <v>3 TRACK 4 SHUTTER SLIDING DOOR WITH INTERNAL RAILING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NA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246</v>
      </c>
      <c r="M76" s="534"/>
      <c r="N76" s="535" t="str">
        <f>$F$6</f>
        <v>Anodized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177</v>
      </c>
      <c r="M77" s="534"/>
      <c r="N77" s="535" t="str">
        <f>$K$6</f>
        <v>Silver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247</v>
      </c>
      <c r="M78" s="534"/>
      <c r="N78" s="537" t="s">
        <v>255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248</v>
      </c>
      <c r="M79" s="534"/>
      <c r="N79" s="535" t="str">
        <f>CONCATENATE('BD Team'!H15," X ",'BD Team'!I15)</f>
        <v>3660 X 2286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249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250</v>
      </c>
      <c r="M81" s="534"/>
      <c r="N81" s="535" t="str">
        <f>'BD Team'!C15</f>
        <v>M14600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251</v>
      </c>
      <c r="M82" s="534"/>
      <c r="N82" s="535" t="str">
        <f>'BD Team'!E15</f>
        <v>24MM &amp; 12MM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252</v>
      </c>
      <c r="M83" s="534"/>
      <c r="N83" s="535" t="str">
        <f>'BD Team'!F15</f>
        <v>SS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253</v>
      </c>
      <c r="D85" s="534"/>
      <c r="E85" s="286" t="str">
        <f>'BD Team'!B16</f>
        <v>W3</v>
      </c>
      <c r="F85" s="288" t="s">
        <v>254</v>
      </c>
      <c r="G85" s="535" t="str">
        <f>'BD Team'!D16</f>
        <v>3 TRACK 2 SHUTTER SLIDING WINDOW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NA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246</v>
      </c>
      <c r="M87" s="534"/>
      <c r="N87" s="535" t="str">
        <f>$F$6</f>
        <v>Anodized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177</v>
      </c>
      <c r="M88" s="534"/>
      <c r="N88" s="535" t="str">
        <f>$K$6</f>
        <v>Silver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247</v>
      </c>
      <c r="M89" s="534"/>
      <c r="N89" s="537" t="s">
        <v>255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248</v>
      </c>
      <c r="M90" s="534"/>
      <c r="N90" s="535" t="str">
        <f>CONCATENATE('BD Team'!H16," X ",'BD Team'!I16)</f>
        <v>1525 X 1830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249</v>
      </c>
      <c r="M91" s="534"/>
      <c r="N91" s="538">
        <f>'BD Team'!J16</f>
        <v>2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250</v>
      </c>
      <c r="M92" s="534"/>
      <c r="N92" s="535" t="str">
        <f>'BD Team'!C16</f>
        <v>M14600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251</v>
      </c>
      <c r="M93" s="534"/>
      <c r="N93" s="535" t="str">
        <f>'BD Team'!E16</f>
        <v>24MM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252</v>
      </c>
      <c r="M94" s="534"/>
      <c r="N94" s="535" t="str">
        <f>'BD Team'!F16</f>
        <v>SS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253</v>
      </c>
      <c r="D96" s="534"/>
      <c r="E96" s="286" t="str">
        <f>'BD Team'!B17</f>
        <v>W4</v>
      </c>
      <c r="F96" s="288" t="s">
        <v>254</v>
      </c>
      <c r="G96" s="535" t="str">
        <f>'BD Team'!D17</f>
        <v>3 TRACK 2 SHUTTER SLIDING DOOR WITH INTERNAL RAILING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NA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246</v>
      </c>
      <c r="M98" s="534"/>
      <c r="N98" s="535" t="str">
        <f>$F$6</f>
        <v>Anodized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177</v>
      </c>
      <c r="M99" s="534"/>
      <c r="N99" s="535" t="str">
        <f>$K$6</f>
        <v>Silver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247</v>
      </c>
      <c r="M100" s="534"/>
      <c r="N100" s="537" t="s">
        <v>255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248</v>
      </c>
      <c r="M101" s="534"/>
      <c r="N101" s="535" t="str">
        <f>CONCATENATE('BD Team'!H17," X ",'BD Team'!I17)</f>
        <v>1525 X 2286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249</v>
      </c>
      <c r="M102" s="534"/>
      <c r="N102" s="538">
        <f>'BD Team'!J17</f>
        <v>4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250</v>
      </c>
      <c r="M103" s="534"/>
      <c r="N103" s="535" t="str">
        <f>'BD Team'!C17</f>
        <v>M14600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251</v>
      </c>
      <c r="M104" s="534"/>
      <c r="N104" s="535" t="str">
        <f>'BD Team'!E17</f>
        <v>24MM &amp; 12MM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252</v>
      </c>
      <c r="M105" s="534"/>
      <c r="N105" s="535" t="str">
        <f>'BD Team'!F17</f>
        <v>SS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253</v>
      </c>
      <c r="D107" s="534"/>
      <c r="E107" s="286" t="str">
        <f>'BD Team'!B18</f>
        <v>KW</v>
      </c>
      <c r="F107" s="288" t="s">
        <v>254</v>
      </c>
      <c r="G107" s="535" t="str">
        <f>'BD Team'!D18</f>
        <v>3 TRACK 2 SHUTTER SLIDING WINDOW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NA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246</v>
      </c>
      <c r="M109" s="534"/>
      <c r="N109" s="535" t="str">
        <f>$F$6</f>
        <v>Anodized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177</v>
      </c>
      <c r="M110" s="534"/>
      <c r="N110" s="535" t="str">
        <f>$K$6</f>
        <v>Silver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247</v>
      </c>
      <c r="M111" s="534"/>
      <c r="N111" s="537" t="s">
        <v>255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248</v>
      </c>
      <c r="M112" s="534"/>
      <c r="N112" s="535" t="str">
        <f>CONCATENATE('BD Team'!H18," X ",'BD Team'!I18)</f>
        <v>1525 X 1525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249</v>
      </c>
      <c r="M113" s="534"/>
      <c r="N113" s="538">
        <f>'BD Team'!J18</f>
        <v>2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250</v>
      </c>
      <c r="M114" s="534"/>
      <c r="N114" s="535" t="str">
        <f>'BD Team'!C18</f>
        <v>M14600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251</v>
      </c>
      <c r="M115" s="534"/>
      <c r="N115" s="535" t="str">
        <f>'BD Team'!E18</f>
        <v>24MM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252</v>
      </c>
      <c r="M116" s="534"/>
      <c r="N116" s="535" t="str">
        <f>'BD Team'!F18</f>
        <v>SS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253</v>
      </c>
      <c r="D118" s="534"/>
      <c r="E118" s="286" t="str">
        <f>'BD Team'!B19</f>
        <v>W5</v>
      </c>
      <c r="F118" s="288" t="s">
        <v>254</v>
      </c>
      <c r="G118" s="535" t="str">
        <f>'BD Team'!D19</f>
        <v>SINGLE DOOR WITH INTERNAL RAILING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 t="str">
        <f>'BD Team'!G19</f>
        <v>NA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246</v>
      </c>
      <c r="M120" s="534"/>
      <c r="N120" s="535" t="str">
        <f>$F$6</f>
        <v>Anodized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177</v>
      </c>
      <c r="M121" s="534"/>
      <c r="N121" s="535" t="str">
        <f>$K$6</f>
        <v>Silver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247</v>
      </c>
      <c r="M122" s="534"/>
      <c r="N122" s="537" t="s">
        <v>255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248</v>
      </c>
      <c r="M123" s="534"/>
      <c r="N123" s="535" t="str">
        <f>CONCATENATE('BD Team'!H19," X ",'BD Team'!I19)</f>
        <v>915 X 2286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249</v>
      </c>
      <c r="M124" s="534"/>
      <c r="N124" s="538">
        <f>'BD Team'!J19</f>
        <v>3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250</v>
      </c>
      <c r="M125" s="534"/>
      <c r="N125" s="535" t="str">
        <f>'BD Team'!C19</f>
        <v>M15000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251</v>
      </c>
      <c r="M126" s="534"/>
      <c r="N126" s="535" t="str">
        <f>'BD Team'!E19</f>
        <v>10MM &amp; 12MM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252</v>
      </c>
      <c r="M127" s="534"/>
      <c r="N127" s="535" t="str">
        <f>'BD Team'!F19</f>
        <v>NO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253</v>
      </c>
      <c r="D129" s="534"/>
      <c r="E129" s="286" t="str">
        <f>'BD Team'!B20</f>
        <v>W6</v>
      </c>
      <c r="F129" s="288" t="s">
        <v>254</v>
      </c>
      <c r="G129" s="535" t="str">
        <f>'BD Team'!D20</f>
        <v>SINGLE DOOR WITH INTERNAL RAILING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 t="str">
        <f>'BD Team'!G20</f>
        <v>NA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246</v>
      </c>
      <c r="M131" s="534"/>
      <c r="N131" s="535" t="str">
        <f>$F$6</f>
        <v>Anodized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177</v>
      </c>
      <c r="M132" s="534"/>
      <c r="N132" s="535" t="str">
        <f>$K$6</f>
        <v>Silver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247</v>
      </c>
      <c r="M133" s="534"/>
      <c r="N133" s="537" t="s">
        <v>255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248</v>
      </c>
      <c r="M134" s="534"/>
      <c r="N134" s="535" t="str">
        <f>CONCATENATE('BD Team'!H20," X ",'BD Team'!I20)</f>
        <v>534 X 2286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249</v>
      </c>
      <c r="M135" s="534"/>
      <c r="N135" s="538">
        <f>'BD Team'!J20</f>
        <v>2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250</v>
      </c>
      <c r="M136" s="534"/>
      <c r="N136" s="535" t="str">
        <f>'BD Team'!C20</f>
        <v>M15000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251</v>
      </c>
      <c r="M137" s="534"/>
      <c r="N137" s="535" t="str">
        <f>'BD Team'!E20</f>
        <v>10MM &amp; 12MM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252</v>
      </c>
      <c r="M138" s="534"/>
      <c r="N138" s="535" t="str">
        <f>'BD Team'!F20</f>
        <v>NO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253</v>
      </c>
      <c r="D140" s="534"/>
      <c r="E140" s="286" t="str">
        <f>'BD Team'!B21</f>
        <v>V</v>
      </c>
      <c r="F140" s="288" t="s">
        <v>254</v>
      </c>
      <c r="G140" s="535" t="str">
        <f>'BD Team'!D21</f>
        <v>TOP HUNG WINDOW WITH BOTTOM FIXED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 t="str">
        <f>'BD Team'!G21</f>
        <v>NA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246</v>
      </c>
      <c r="M142" s="534"/>
      <c r="N142" s="535" t="str">
        <f>$F$6</f>
        <v>Anodized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177</v>
      </c>
      <c r="M143" s="534"/>
      <c r="N143" s="535" t="str">
        <f>$K$6</f>
        <v>Silver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247</v>
      </c>
      <c r="M144" s="534"/>
      <c r="N144" s="537" t="s">
        <v>255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248</v>
      </c>
      <c r="M145" s="534"/>
      <c r="N145" s="535" t="str">
        <f>CONCATENATE('BD Team'!H21," X ",'BD Team'!I21)</f>
        <v>610 X 1525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249</v>
      </c>
      <c r="M146" s="534"/>
      <c r="N146" s="538">
        <f>'BD Team'!J21</f>
        <v>1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250</v>
      </c>
      <c r="M147" s="534"/>
      <c r="N147" s="535" t="str">
        <f>'BD Team'!C21</f>
        <v>M15000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251</v>
      </c>
      <c r="M148" s="534"/>
      <c r="N148" s="535" t="str">
        <f>'BD Team'!E21</f>
        <v>6MM (F)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252</v>
      </c>
      <c r="M149" s="534"/>
      <c r="N149" s="535" t="str">
        <f>'BD Team'!F21</f>
        <v>NO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253</v>
      </c>
      <c r="D151" s="534"/>
      <c r="E151" s="286">
        <f>'BD Team'!B22</f>
        <v>0</v>
      </c>
      <c r="F151" s="288" t="s">
        <v>254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246</v>
      </c>
      <c r="M153" s="534"/>
      <c r="N153" s="535" t="str">
        <f>$F$6</f>
        <v>Anodized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177</v>
      </c>
      <c r="M154" s="534"/>
      <c r="N154" s="535" t="str">
        <f>$K$6</f>
        <v>Silver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247</v>
      </c>
      <c r="M155" s="534"/>
      <c r="N155" s="537" t="s">
        <v>255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248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249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250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251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252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253</v>
      </c>
      <c r="D162" s="534"/>
      <c r="E162" s="286">
        <f>'BD Team'!B23</f>
        <v>0</v>
      </c>
      <c r="F162" s="288" t="s">
        <v>254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246</v>
      </c>
      <c r="M164" s="534"/>
      <c r="N164" s="535" t="str">
        <f>$F$6</f>
        <v>Anodized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177</v>
      </c>
      <c r="M165" s="534"/>
      <c r="N165" s="535" t="str">
        <f>$K$6</f>
        <v>Silver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247</v>
      </c>
      <c r="M166" s="534"/>
      <c r="N166" s="537" t="s">
        <v>255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248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249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250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251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252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253</v>
      </c>
      <c r="D173" s="534"/>
      <c r="E173" s="286">
        <f>'BD Team'!B24</f>
        <v>0</v>
      </c>
      <c r="F173" s="288" t="s">
        <v>254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246</v>
      </c>
      <c r="M175" s="534"/>
      <c r="N175" s="535" t="str">
        <f>$F$6</f>
        <v>Anodized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177</v>
      </c>
      <c r="M176" s="534"/>
      <c r="N176" s="535" t="str">
        <f>$K$6</f>
        <v>Silver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247</v>
      </c>
      <c r="M177" s="534"/>
      <c r="N177" s="537" t="s">
        <v>255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248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249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250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251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252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253</v>
      </c>
      <c r="D184" s="534"/>
      <c r="E184" s="286">
        <f>'BD Team'!B25</f>
        <v>0</v>
      </c>
      <c r="F184" s="288" t="s">
        <v>254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246</v>
      </c>
      <c r="M186" s="534"/>
      <c r="N186" s="535" t="str">
        <f>$F$6</f>
        <v>Anodized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177</v>
      </c>
      <c r="M187" s="534"/>
      <c r="N187" s="535" t="str">
        <f>$K$6</f>
        <v>Silver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247</v>
      </c>
      <c r="M188" s="534"/>
      <c r="N188" s="537" t="s">
        <v>255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248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249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250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251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252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253</v>
      </c>
      <c r="D195" s="534"/>
      <c r="E195" s="286">
        <f>'BD Team'!B26</f>
        <v>0</v>
      </c>
      <c r="F195" s="288" t="s">
        <v>254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246</v>
      </c>
      <c r="M197" s="534"/>
      <c r="N197" s="535" t="str">
        <f>$F$6</f>
        <v>Anodized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177</v>
      </c>
      <c r="M198" s="534"/>
      <c r="N198" s="535" t="str">
        <f>$K$6</f>
        <v>Silver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247</v>
      </c>
      <c r="M199" s="534"/>
      <c r="N199" s="537" t="s">
        <v>255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248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249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250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251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252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253</v>
      </c>
      <c r="D206" s="534"/>
      <c r="E206" s="286">
        <f>'BD Team'!B27</f>
        <v>0</v>
      </c>
      <c r="F206" s="288" t="s">
        <v>254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246</v>
      </c>
      <c r="M208" s="534"/>
      <c r="N208" s="535" t="str">
        <f>$F$6</f>
        <v>Anodized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177</v>
      </c>
      <c r="M209" s="534"/>
      <c r="N209" s="535" t="str">
        <f>$K$6</f>
        <v>Silver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247</v>
      </c>
      <c r="M210" s="534"/>
      <c r="N210" s="537" t="s">
        <v>255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248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249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250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251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252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253</v>
      </c>
      <c r="D217" s="534"/>
      <c r="E217" s="286">
        <f>'BD Team'!B28</f>
        <v>0</v>
      </c>
      <c r="F217" s="288" t="s">
        <v>254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246</v>
      </c>
      <c r="M219" s="534"/>
      <c r="N219" s="535" t="str">
        <f>$F$6</f>
        <v>Anodized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177</v>
      </c>
      <c r="M220" s="534"/>
      <c r="N220" s="535" t="str">
        <f>$K$6</f>
        <v>Silver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247</v>
      </c>
      <c r="M221" s="534"/>
      <c r="N221" s="537" t="s">
        <v>255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248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249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250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251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252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253</v>
      </c>
      <c r="D228" s="534"/>
      <c r="E228" s="286">
        <f>'BD Team'!B29</f>
        <v>0</v>
      </c>
      <c r="F228" s="288" t="s">
        <v>254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246</v>
      </c>
      <c r="M230" s="534"/>
      <c r="N230" s="535" t="str">
        <f>$F$6</f>
        <v>Anodized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177</v>
      </c>
      <c r="M231" s="534"/>
      <c r="N231" s="535" t="str">
        <f>$K$6</f>
        <v>Silver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247</v>
      </c>
      <c r="M232" s="534"/>
      <c r="N232" s="537" t="s">
        <v>255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248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249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250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251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252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253</v>
      </c>
      <c r="D239" s="534"/>
      <c r="E239" s="286">
        <f>'BD Team'!B30</f>
        <v>0</v>
      </c>
      <c r="F239" s="288" t="s">
        <v>254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246</v>
      </c>
      <c r="M241" s="534"/>
      <c r="N241" s="535" t="str">
        <f>$F$6</f>
        <v>Anodized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177</v>
      </c>
      <c r="M242" s="534"/>
      <c r="N242" s="535" t="str">
        <f>$K$6</f>
        <v>Silver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247</v>
      </c>
      <c r="M243" s="534"/>
      <c r="N243" s="537" t="s">
        <v>255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248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249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250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251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252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253</v>
      </c>
      <c r="D250" s="534"/>
      <c r="E250" s="286">
        <f>'BD Team'!B31</f>
        <v>0</v>
      </c>
      <c r="F250" s="288" t="s">
        <v>254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246</v>
      </c>
      <c r="M252" s="534"/>
      <c r="N252" s="535" t="str">
        <f>$F$6</f>
        <v>Anodized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177</v>
      </c>
      <c r="M253" s="534"/>
      <c r="N253" s="535" t="str">
        <f>$K$6</f>
        <v>Silver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247</v>
      </c>
      <c r="M254" s="534"/>
      <c r="N254" s="537" t="s">
        <v>255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248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249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250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251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252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253</v>
      </c>
      <c r="D261" s="534"/>
      <c r="E261" s="286">
        <f>'BD Team'!B32</f>
        <v>0</v>
      </c>
      <c r="F261" s="288" t="s">
        <v>254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246</v>
      </c>
      <c r="M263" s="534"/>
      <c r="N263" s="535" t="str">
        <f>$F$6</f>
        <v>Anodized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177</v>
      </c>
      <c r="M264" s="534"/>
      <c r="N264" s="535" t="str">
        <f>$K$6</f>
        <v>Silver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247</v>
      </c>
      <c r="M265" s="534"/>
      <c r="N265" s="537" t="s">
        <v>255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248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249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250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251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252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253</v>
      </c>
      <c r="D272" s="534"/>
      <c r="E272" s="286">
        <f>'BD Team'!B33</f>
        <v>0</v>
      </c>
      <c r="F272" s="288" t="s">
        <v>254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246</v>
      </c>
      <c r="M274" s="534"/>
      <c r="N274" s="535" t="str">
        <f>$F$6</f>
        <v>Anodized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177</v>
      </c>
      <c r="M275" s="534"/>
      <c r="N275" s="535" t="str">
        <f>$K$6</f>
        <v>Silver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247</v>
      </c>
      <c r="M276" s="534"/>
      <c r="N276" s="537" t="s">
        <v>255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248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249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250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251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252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253</v>
      </c>
      <c r="D283" s="534"/>
      <c r="E283" s="286">
        <f>'BD Team'!B34</f>
        <v>0</v>
      </c>
      <c r="F283" s="288" t="s">
        <v>254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246</v>
      </c>
      <c r="M285" s="534"/>
      <c r="N285" s="535" t="str">
        <f>$F$6</f>
        <v>Anodized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177</v>
      </c>
      <c r="M286" s="534"/>
      <c r="N286" s="535" t="str">
        <f>$K$6</f>
        <v>Silver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247</v>
      </c>
      <c r="M287" s="534"/>
      <c r="N287" s="537" t="s">
        <v>255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248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249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250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251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252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253</v>
      </c>
      <c r="D294" s="534"/>
      <c r="E294" s="286">
        <f>'BD Team'!B35</f>
        <v>0</v>
      </c>
      <c r="F294" s="288" t="s">
        <v>254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246</v>
      </c>
      <c r="M296" s="534"/>
      <c r="N296" s="535" t="str">
        <f>$F$6</f>
        <v>Anodized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177</v>
      </c>
      <c r="M297" s="534"/>
      <c r="N297" s="535" t="str">
        <f>$K$6</f>
        <v>Silver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247</v>
      </c>
      <c r="M298" s="534"/>
      <c r="N298" s="537" t="s">
        <v>255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248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249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250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251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252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253</v>
      </c>
      <c r="D305" s="534"/>
      <c r="E305" s="286">
        <f>'BD Team'!B36</f>
        <v>0</v>
      </c>
      <c r="F305" s="288" t="s">
        <v>254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246</v>
      </c>
      <c r="M307" s="534"/>
      <c r="N307" s="535" t="str">
        <f>$F$6</f>
        <v>Anodized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177</v>
      </c>
      <c r="M308" s="534"/>
      <c r="N308" s="535" t="str">
        <f>$K$6</f>
        <v>Silver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247</v>
      </c>
      <c r="M309" s="534"/>
      <c r="N309" s="537" t="s">
        <v>255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248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249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250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251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252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253</v>
      </c>
      <c r="D316" s="534"/>
      <c r="E316" s="286">
        <f>'BD Team'!B37</f>
        <v>0</v>
      </c>
      <c r="F316" s="288" t="s">
        <v>254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246</v>
      </c>
      <c r="M318" s="534"/>
      <c r="N318" s="535" t="str">
        <f>$F$6</f>
        <v>Anodized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177</v>
      </c>
      <c r="M319" s="534"/>
      <c r="N319" s="535" t="str">
        <f>$K$6</f>
        <v>Silver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247</v>
      </c>
      <c r="M320" s="534"/>
      <c r="N320" s="537" t="s">
        <v>255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248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249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250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251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252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253</v>
      </c>
      <c r="D327" s="534"/>
      <c r="E327" s="286">
        <f>'BD Team'!B38</f>
        <v>0</v>
      </c>
      <c r="F327" s="288" t="s">
        <v>254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246</v>
      </c>
      <c r="M329" s="534"/>
      <c r="N329" s="535" t="str">
        <f>$F$6</f>
        <v>Anodized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177</v>
      </c>
      <c r="M330" s="534"/>
      <c r="N330" s="535" t="str">
        <f>$K$6</f>
        <v>Silver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247</v>
      </c>
      <c r="M331" s="534"/>
      <c r="N331" s="537" t="s">
        <v>255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248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249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250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251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252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253</v>
      </c>
      <c r="D338" s="534"/>
      <c r="E338" s="286">
        <f>'BD Team'!B39</f>
        <v>0</v>
      </c>
      <c r="F338" s="288" t="s">
        <v>254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246</v>
      </c>
      <c r="M340" s="534"/>
      <c r="N340" s="535" t="str">
        <f>$F$6</f>
        <v>Anodized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177</v>
      </c>
      <c r="M341" s="534"/>
      <c r="N341" s="535" t="str">
        <f>$K$6</f>
        <v>Silver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247</v>
      </c>
      <c r="M342" s="534"/>
      <c r="N342" s="537" t="s">
        <v>255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248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249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250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251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252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253</v>
      </c>
      <c r="D349" s="534"/>
      <c r="E349" s="286">
        <f>'BD Team'!B40</f>
        <v>0</v>
      </c>
      <c r="F349" s="288" t="s">
        <v>254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246</v>
      </c>
      <c r="M351" s="534"/>
      <c r="N351" s="535" t="str">
        <f>$F$6</f>
        <v>Anodized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177</v>
      </c>
      <c r="M352" s="534"/>
      <c r="N352" s="535" t="str">
        <f>$K$6</f>
        <v>Silver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247</v>
      </c>
      <c r="M353" s="534"/>
      <c r="N353" s="537" t="s">
        <v>255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248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249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250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251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252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253</v>
      </c>
      <c r="D360" s="534"/>
      <c r="E360" s="286">
        <f>'BD Team'!B41</f>
        <v>0</v>
      </c>
      <c r="F360" s="288" t="s">
        <v>254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246</v>
      </c>
      <c r="M362" s="534"/>
      <c r="N362" s="535" t="str">
        <f>$F$6</f>
        <v>Anodized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177</v>
      </c>
      <c r="M363" s="534"/>
      <c r="N363" s="535" t="str">
        <f>$K$6</f>
        <v>Silver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247</v>
      </c>
      <c r="M364" s="534"/>
      <c r="N364" s="537" t="s">
        <v>255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248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249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250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251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252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253</v>
      </c>
      <c r="D371" s="534"/>
      <c r="E371" s="286">
        <f>'BD Team'!B42</f>
        <v>0</v>
      </c>
      <c r="F371" s="288" t="s">
        <v>254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246</v>
      </c>
      <c r="M373" s="534"/>
      <c r="N373" s="535" t="str">
        <f>$F$6</f>
        <v>Anodized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177</v>
      </c>
      <c r="M374" s="534"/>
      <c r="N374" s="535" t="str">
        <f>$K$6</f>
        <v>Silver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247</v>
      </c>
      <c r="M375" s="534"/>
      <c r="N375" s="537" t="s">
        <v>255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248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249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250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251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252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253</v>
      </c>
      <c r="D382" s="534"/>
      <c r="E382" s="286">
        <f>'BD Team'!B43</f>
        <v>0</v>
      </c>
      <c r="F382" s="288" t="s">
        <v>254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246</v>
      </c>
      <c r="M384" s="534"/>
      <c r="N384" s="535" t="str">
        <f>$F$6</f>
        <v>Anodized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177</v>
      </c>
      <c r="M385" s="534"/>
      <c r="N385" s="535" t="str">
        <f>$K$6</f>
        <v>Silver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247</v>
      </c>
      <c r="M386" s="534"/>
      <c r="N386" s="537" t="s">
        <v>255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248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249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250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251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252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253</v>
      </c>
      <c r="D393" s="534"/>
      <c r="E393" s="286">
        <f>'BD Team'!B44</f>
        <v>0</v>
      </c>
      <c r="F393" s="288" t="s">
        <v>254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246</v>
      </c>
      <c r="M395" s="534"/>
      <c r="N395" s="535" t="str">
        <f>$F$6</f>
        <v>Anodized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177</v>
      </c>
      <c r="M396" s="534"/>
      <c r="N396" s="535" t="str">
        <f>$K$6</f>
        <v>Silver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247</v>
      </c>
      <c r="M397" s="534"/>
      <c r="N397" s="537" t="s">
        <v>255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248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249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250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251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252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253</v>
      </c>
      <c r="D404" s="534"/>
      <c r="E404" s="286">
        <f>'BD Team'!B45</f>
        <v>0</v>
      </c>
      <c r="F404" s="288" t="s">
        <v>254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246</v>
      </c>
      <c r="M406" s="534"/>
      <c r="N406" s="535" t="str">
        <f>$F$6</f>
        <v>Anodized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177</v>
      </c>
      <c r="M407" s="534"/>
      <c r="N407" s="535" t="str">
        <f>$K$6</f>
        <v>Silver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247</v>
      </c>
      <c r="M408" s="534"/>
      <c r="N408" s="537" t="s">
        <v>255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248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249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250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251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252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253</v>
      </c>
      <c r="D415" s="534"/>
      <c r="E415" s="286">
        <f>'BD Team'!B46</f>
        <v>0</v>
      </c>
      <c r="F415" s="288" t="s">
        <v>254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246</v>
      </c>
      <c r="M417" s="534"/>
      <c r="N417" s="535" t="str">
        <f>$F$6</f>
        <v>Anodized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177</v>
      </c>
      <c r="M418" s="534"/>
      <c r="N418" s="535" t="str">
        <f>$K$6</f>
        <v>Silver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247</v>
      </c>
      <c r="M419" s="534"/>
      <c r="N419" s="537" t="s">
        <v>255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248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249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250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251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252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253</v>
      </c>
      <c r="D426" s="534"/>
      <c r="E426" s="286">
        <f>'BD Team'!B47</f>
        <v>0</v>
      </c>
      <c r="F426" s="288" t="s">
        <v>254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246</v>
      </c>
      <c r="M428" s="534"/>
      <c r="N428" s="535" t="str">
        <f>$F$6</f>
        <v>Anodized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177</v>
      </c>
      <c r="M429" s="534"/>
      <c r="N429" s="535" t="str">
        <f>$K$6</f>
        <v>Silver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247</v>
      </c>
      <c r="M430" s="534"/>
      <c r="N430" s="537" t="s">
        <v>255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248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249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250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251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252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253</v>
      </c>
      <c r="D437" s="534"/>
      <c r="E437" s="286">
        <f>'BD Team'!B48</f>
        <v>0</v>
      </c>
      <c r="F437" s="288" t="s">
        <v>254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246</v>
      </c>
      <c r="M439" s="534"/>
      <c r="N439" s="535" t="str">
        <f>$F$6</f>
        <v>Anodized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177</v>
      </c>
      <c r="M440" s="534"/>
      <c r="N440" s="535" t="str">
        <f>$K$6</f>
        <v>Silver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247</v>
      </c>
      <c r="M441" s="534"/>
      <c r="N441" s="537" t="s">
        <v>255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248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249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250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251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252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253</v>
      </c>
      <c r="D448" s="534"/>
      <c r="E448" s="286">
        <f>'BD Team'!B49</f>
        <v>0</v>
      </c>
      <c r="F448" s="288" t="s">
        <v>254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246</v>
      </c>
      <c r="M450" s="534"/>
      <c r="N450" s="535" t="str">
        <f>$F$6</f>
        <v>Anodized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177</v>
      </c>
      <c r="M451" s="534"/>
      <c r="N451" s="535" t="str">
        <f>$K$6</f>
        <v>Silver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247</v>
      </c>
      <c r="M452" s="534"/>
      <c r="N452" s="537" t="s">
        <v>255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248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249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250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251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252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253</v>
      </c>
      <c r="D459" s="534"/>
      <c r="E459" s="286">
        <f>'BD Team'!B50</f>
        <v>0</v>
      </c>
      <c r="F459" s="288" t="s">
        <v>254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246</v>
      </c>
      <c r="M461" s="534"/>
      <c r="N461" s="535" t="str">
        <f>$F$6</f>
        <v>Anodized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177</v>
      </c>
      <c r="M462" s="534"/>
      <c r="N462" s="535" t="str">
        <f>$K$6</f>
        <v>Silver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247</v>
      </c>
      <c r="M463" s="534"/>
      <c r="N463" s="537" t="s">
        <v>255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248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249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250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251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252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253</v>
      </c>
      <c r="D470" s="534"/>
      <c r="E470" s="286">
        <f>'BD Team'!B51</f>
        <v>0</v>
      </c>
      <c r="F470" s="288" t="s">
        <v>254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246</v>
      </c>
      <c r="M472" s="534"/>
      <c r="N472" s="535" t="str">
        <f>$F$6</f>
        <v>Anodized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177</v>
      </c>
      <c r="M473" s="534"/>
      <c r="N473" s="535" t="str">
        <f>$K$6</f>
        <v>Silver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247</v>
      </c>
      <c r="M474" s="534"/>
      <c r="N474" s="537" t="s">
        <v>255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248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249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250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251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252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253</v>
      </c>
      <c r="D481" s="534"/>
      <c r="E481" s="286">
        <f>'BD Team'!B52</f>
        <v>0</v>
      </c>
      <c r="F481" s="288" t="s">
        <v>254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246</v>
      </c>
      <c r="M483" s="534"/>
      <c r="N483" s="535" t="str">
        <f>$F$6</f>
        <v>Anodized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177</v>
      </c>
      <c r="M484" s="534"/>
      <c r="N484" s="535" t="str">
        <f>$K$6</f>
        <v>Silver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247</v>
      </c>
      <c r="M485" s="534"/>
      <c r="N485" s="537" t="s">
        <v>255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248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249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250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251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252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253</v>
      </c>
      <c r="D492" s="534"/>
      <c r="E492" s="286">
        <f>'BD Team'!B53</f>
        <v>0</v>
      </c>
      <c r="F492" s="288" t="s">
        <v>254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246</v>
      </c>
      <c r="M494" s="534"/>
      <c r="N494" s="535" t="str">
        <f>$F$6</f>
        <v>Anodized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177</v>
      </c>
      <c r="M495" s="534"/>
      <c r="N495" s="535" t="str">
        <f>$K$6</f>
        <v>Silver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247</v>
      </c>
      <c r="M496" s="534"/>
      <c r="N496" s="537" t="s">
        <v>255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248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249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250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251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252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253</v>
      </c>
      <c r="D503" s="534"/>
      <c r="E503" s="286">
        <f>'BD Team'!B54</f>
        <v>0</v>
      </c>
      <c r="F503" s="288" t="s">
        <v>254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246</v>
      </c>
      <c r="M505" s="534"/>
      <c r="N505" s="535" t="str">
        <f>$F$6</f>
        <v>Anodized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177</v>
      </c>
      <c r="M506" s="534"/>
      <c r="N506" s="535" t="str">
        <f>$K$6</f>
        <v>Silver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247</v>
      </c>
      <c r="M507" s="534"/>
      <c r="N507" s="537" t="s">
        <v>255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248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249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250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251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252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253</v>
      </c>
      <c r="D514" s="534"/>
      <c r="E514" s="286">
        <f>'BD Team'!B55</f>
        <v>0</v>
      </c>
      <c r="F514" s="288" t="s">
        <v>254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246</v>
      </c>
      <c r="M516" s="534"/>
      <c r="N516" s="535" t="str">
        <f>$F$6</f>
        <v>Anodized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177</v>
      </c>
      <c r="M517" s="534"/>
      <c r="N517" s="535" t="str">
        <f>$K$6</f>
        <v>Silver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247</v>
      </c>
      <c r="M518" s="534"/>
      <c r="N518" s="537" t="s">
        <v>255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248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249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250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251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252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253</v>
      </c>
      <c r="D525" s="534"/>
      <c r="E525" s="286">
        <f>'BD Team'!B56</f>
        <v>0</v>
      </c>
      <c r="F525" s="288" t="s">
        <v>254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246</v>
      </c>
      <c r="M527" s="534"/>
      <c r="N527" s="535" t="str">
        <f>$F$6</f>
        <v>Anodized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177</v>
      </c>
      <c r="M528" s="534"/>
      <c r="N528" s="535" t="str">
        <f>$K$6</f>
        <v>Silver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247</v>
      </c>
      <c r="M529" s="534"/>
      <c r="N529" s="537" t="s">
        <v>255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248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249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250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251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252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253</v>
      </c>
      <c r="D536" s="534"/>
      <c r="E536" s="286">
        <f>'BD Team'!B57</f>
        <v>0</v>
      </c>
      <c r="F536" s="288" t="s">
        <v>254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246</v>
      </c>
      <c r="M538" s="534"/>
      <c r="N538" s="535" t="str">
        <f>$F$6</f>
        <v>Anodized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177</v>
      </c>
      <c r="M539" s="534"/>
      <c r="N539" s="535" t="str">
        <f>$K$6</f>
        <v>Silver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247</v>
      </c>
      <c r="M540" s="534"/>
      <c r="N540" s="537" t="s">
        <v>255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248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249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250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251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252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253</v>
      </c>
      <c r="D547" s="534"/>
      <c r="E547" s="286">
        <f>'BD Team'!B58</f>
        <v>0</v>
      </c>
      <c r="F547" s="288" t="s">
        <v>254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246</v>
      </c>
      <c r="M549" s="534"/>
      <c r="N549" s="535" t="str">
        <f>$F$6</f>
        <v>Anodized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177</v>
      </c>
      <c r="M550" s="534"/>
      <c r="N550" s="535" t="str">
        <f>$K$6</f>
        <v>Silver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247</v>
      </c>
      <c r="M551" s="534"/>
      <c r="N551" s="537" t="s">
        <v>255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248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249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250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251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252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253</v>
      </c>
      <c r="D558" s="534"/>
      <c r="E558" s="289">
        <f>'BD Team'!B59</f>
        <v>0</v>
      </c>
      <c r="F558" s="288" t="s">
        <v>254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246</v>
      </c>
      <c r="M560" s="534"/>
      <c r="N560" s="535" t="str">
        <f>$F$6</f>
        <v>Anodized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177</v>
      </c>
      <c r="M561" s="534"/>
      <c r="N561" s="535" t="str">
        <f>$K$6</f>
        <v>Silver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247</v>
      </c>
      <c r="M562" s="534"/>
      <c r="N562" s="537" t="s">
        <v>255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248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249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250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251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252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253</v>
      </c>
      <c r="D569" s="534"/>
      <c r="E569" s="289">
        <f>'BD Team'!B60</f>
        <v>0</v>
      </c>
      <c r="F569" s="288" t="s">
        <v>254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246</v>
      </c>
      <c r="M571" s="534"/>
      <c r="N571" s="535" t="str">
        <f>$F$6</f>
        <v>Anodized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177</v>
      </c>
      <c r="M572" s="534"/>
      <c r="N572" s="535" t="str">
        <f>$K$6</f>
        <v>Silver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247</v>
      </c>
      <c r="M573" s="534"/>
      <c r="N573" s="537" t="s">
        <v>255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248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249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250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251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252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253</v>
      </c>
      <c r="D580" s="534"/>
      <c r="E580" s="289">
        <f>'BD Team'!B61</f>
        <v>0</v>
      </c>
      <c r="F580" s="288" t="s">
        <v>254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246</v>
      </c>
      <c r="M582" s="534"/>
      <c r="N582" s="535" t="str">
        <f>$F$6</f>
        <v>Anodized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177</v>
      </c>
      <c r="M583" s="534"/>
      <c r="N583" s="535" t="str">
        <f>$K$6</f>
        <v>Silver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247</v>
      </c>
      <c r="M584" s="534"/>
      <c r="N584" s="537" t="s">
        <v>255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248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249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250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251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252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253</v>
      </c>
      <c r="D591" s="534"/>
      <c r="E591" s="289">
        <f>'BD Team'!B62</f>
        <v>0</v>
      </c>
      <c r="F591" s="288" t="s">
        <v>254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246</v>
      </c>
      <c r="M593" s="534"/>
      <c r="N593" s="535" t="str">
        <f>$F$6</f>
        <v>Anodized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177</v>
      </c>
      <c r="M594" s="534"/>
      <c r="N594" s="535" t="str">
        <f>$K$6</f>
        <v>Silver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247</v>
      </c>
      <c r="M595" s="534"/>
      <c r="N595" s="537" t="s">
        <v>255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248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249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250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251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252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253</v>
      </c>
      <c r="D602" s="534"/>
      <c r="E602" s="289">
        <f>'BD Team'!B63</f>
        <v>0</v>
      </c>
      <c r="F602" s="288" t="s">
        <v>254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246</v>
      </c>
      <c r="M604" s="534"/>
      <c r="N604" s="535" t="str">
        <f>$F$6</f>
        <v>Anodized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177</v>
      </c>
      <c r="M605" s="534"/>
      <c r="N605" s="535" t="str">
        <f>$K$6</f>
        <v>Silver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247</v>
      </c>
      <c r="M606" s="534"/>
      <c r="N606" s="537" t="s">
        <v>255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248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249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250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251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252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253</v>
      </c>
      <c r="D613" s="534"/>
      <c r="E613" s="289">
        <f>'BD Team'!B64</f>
        <v>0</v>
      </c>
      <c r="F613" s="288" t="s">
        <v>254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246</v>
      </c>
      <c r="M615" s="534"/>
      <c r="N615" s="535" t="str">
        <f>$F$6</f>
        <v>Anodized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177</v>
      </c>
      <c r="M616" s="534"/>
      <c r="N616" s="535" t="str">
        <f>$K$6</f>
        <v>Silver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247</v>
      </c>
      <c r="M617" s="534"/>
      <c r="N617" s="537" t="s">
        <v>255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248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249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250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251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252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253</v>
      </c>
      <c r="D624" s="534"/>
      <c r="E624" s="289">
        <f>'BD Team'!B65</f>
        <v>0</v>
      </c>
      <c r="F624" s="288" t="s">
        <v>254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246</v>
      </c>
      <c r="M626" s="534"/>
      <c r="N626" s="535" t="str">
        <f>$F$6</f>
        <v>Anodized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177</v>
      </c>
      <c r="M627" s="534"/>
      <c r="N627" s="535" t="str">
        <f>$K$6</f>
        <v>Silver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247</v>
      </c>
      <c r="M628" s="534"/>
      <c r="N628" s="537" t="s">
        <v>255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248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249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250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251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252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253</v>
      </c>
      <c r="D635" s="534"/>
      <c r="E635" s="289">
        <f>'BD Team'!B66</f>
        <v>0</v>
      </c>
      <c r="F635" s="288" t="s">
        <v>254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246</v>
      </c>
      <c r="M637" s="534"/>
      <c r="N637" s="535" t="str">
        <f>$F$6</f>
        <v>Anodized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177</v>
      </c>
      <c r="M638" s="534"/>
      <c r="N638" s="535" t="str">
        <f>$K$6</f>
        <v>Silver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247</v>
      </c>
      <c r="M639" s="534"/>
      <c r="N639" s="537" t="s">
        <v>255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248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249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250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251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252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253</v>
      </c>
      <c r="D646" s="534"/>
      <c r="E646" s="289">
        <f>'BD Team'!B67</f>
        <v>0</v>
      </c>
      <c r="F646" s="288" t="s">
        <v>254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246</v>
      </c>
      <c r="M648" s="534"/>
      <c r="N648" s="535" t="str">
        <f>$F$6</f>
        <v>Anodized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177</v>
      </c>
      <c r="M649" s="534"/>
      <c r="N649" s="535" t="str">
        <f>$K$6</f>
        <v>Silver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247</v>
      </c>
      <c r="M650" s="534"/>
      <c r="N650" s="537" t="s">
        <v>255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248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249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250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251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252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253</v>
      </c>
      <c r="D657" s="534"/>
      <c r="E657" s="289">
        <f>'BD Team'!B68</f>
        <v>0</v>
      </c>
      <c r="F657" s="288" t="s">
        <v>254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246</v>
      </c>
      <c r="M659" s="534"/>
      <c r="N659" s="535" t="str">
        <f>$F$6</f>
        <v>Anodized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177</v>
      </c>
      <c r="M660" s="534"/>
      <c r="N660" s="535" t="str">
        <f>$K$6</f>
        <v>Silver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247</v>
      </c>
      <c r="M661" s="534"/>
      <c r="N661" s="537" t="s">
        <v>255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248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249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250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251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252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253</v>
      </c>
      <c r="D668" s="534"/>
      <c r="E668" s="289">
        <f>'BD Team'!B69</f>
        <v>0</v>
      </c>
      <c r="F668" s="288" t="s">
        <v>254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246</v>
      </c>
      <c r="M670" s="534"/>
      <c r="N670" s="535" t="str">
        <f>$F$6</f>
        <v>Anodized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177</v>
      </c>
      <c r="M671" s="534"/>
      <c r="N671" s="535" t="str">
        <f>$K$6</f>
        <v>Silver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247</v>
      </c>
      <c r="M672" s="534"/>
      <c r="N672" s="537" t="s">
        <v>255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248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249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250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251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252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253</v>
      </c>
      <c r="D679" s="534"/>
      <c r="E679" s="289">
        <f>'BD Team'!B70</f>
        <v>0</v>
      </c>
      <c r="F679" s="288" t="s">
        <v>254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246</v>
      </c>
      <c r="M681" s="534"/>
      <c r="N681" s="535" t="str">
        <f>$F$6</f>
        <v>Anodized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177</v>
      </c>
      <c r="M682" s="534"/>
      <c r="N682" s="535" t="str">
        <f>$K$6</f>
        <v>Silver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247</v>
      </c>
      <c r="M683" s="534"/>
      <c r="N683" s="537" t="s">
        <v>255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248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249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250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251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252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253</v>
      </c>
      <c r="D690" s="534"/>
      <c r="E690" s="289">
        <f>'BD Team'!B71</f>
        <v>0</v>
      </c>
      <c r="F690" s="288" t="s">
        <v>254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246</v>
      </c>
      <c r="M692" s="534"/>
      <c r="N692" s="535" t="str">
        <f>$F$6</f>
        <v>Anodized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177</v>
      </c>
      <c r="M693" s="534"/>
      <c r="N693" s="535" t="str">
        <f>$K$6</f>
        <v>Silver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247</v>
      </c>
      <c r="M694" s="534"/>
      <c r="N694" s="537" t="s">
        <v>255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248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249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250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251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252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253</v>
      </c>
      <c r="D701" s="534"/>
      <c r="E701" s="289">
        <f>'BD Team'!B72</f>
        <v>0</v>
      </c>
      <c r="F701" s="288" t="s">
        <v>254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246</v>
      </c>
      <c r="M703" s="534"/>
      <c r="N703" s="535" t="str">
        <f>$F$6</f>
        <v>Anodized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177</v>
      </c>
      <c r="M704" s="534"/>
      <c r="N704" s="535" t="str">
        <f>$K$6</f>
        <v>Silver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247</v>
      </c>
      <c r="M705" s="534"/>
      <c r="N705" s="537" t="s">
        <v>255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248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249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250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251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252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253</v>
      </c>
      <c r="D712" s="534"/>
      <c r="E712" s="289">
        <f>'BD Team'!B73</f>
        <v>0</v>
      </c>
      <c r="F712" s="288" t="s">
        <v>254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246</v>
      </c>
      <c r="M714" s="534"/>
      <c r="N714" s="535" t="str">
        <f>$F$6</f>
        <v>Anodized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177</v>
      </c>
      <c r="M715" s="534"/>
      <c r="N715" s="535" t="str">
        <f>$K$6</f>
        <v>Silver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247</v>
      </c>
      <c r="M716" s="534"/>
      <c r="N716" s="537" t="s">
        <v>255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248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249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250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251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252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253</v>
      </c>
      <c r="D723" s="534"/>
      <c r="E723" s="289">
        <f>'BD Team'!B74</f>
        <v>0</v>
      </c>
      <c r="F723" s="288" t="s">
        <v>254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246</v>
      </c>
      <c r="M725" s="534"/>
      <c r="N725" s="535" t="str">
        <f>$F$6</f>
        <v>Anodized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177</v>
      </c>
      <c r="M726" s="534"/>
      <c r="N726" s="535" t="str">
        <f>$K$6</f>
        <v>Silver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247</v>
      </c>
      <c r="M727" s="534"/>
      <c r="N727" s="537" t="s">
        <v>255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248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249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250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251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252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253</v>
      </c>
      <c r="D734" s="534"/>
      <c r="E734" s="289">
        <f>'BD Team'!B75</f>
        <v>0</v>
      </c>
      <c r="F734" s="288" t="s">
        <v>254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246</v>
      </c>
      <c r="M736" s="534"/>
      <c r="N736" s="535" t="str">
        <f>$F$6</f>
        <v>Anodized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177</v>
      </c>
      <c r="M737" s="534"/>
      <c r="N737" s="535" t="str">
        <f>$K$6</f>
        <v>Silver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247</v>
      </c>
      <c r="M738" s="534"/>
      <c r="N738" s="537" t="s">
        <v>255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248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249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250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251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252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253</v>
      </c>
      <c r="D745" s="534"/>
      <c r="E745" s="289">
        <f>'BD Team'!B76</f>
        <v>0</v>
      </c>
      <c r="F745" s="288" t="s">
        <v>254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246</v>
      </c>
      <c r="M747" s="534"/>
      <c r="N747" s="535" t="str">
        <f>$F$6</f>
        <v>Anodized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177</v>
      </c>
      <c r="M748" s="534"/>
      <c r="N748" s="535" t="str">
        <f>$K$6</f>
        <v>Silver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247</v>
      </c>
      <c r="M749" s="534"/>
      <c r="N749" s="537" t="s">
        <v>255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248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249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250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251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252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253</v>
      </c>
      <c r="D756" s="534"/>
      <c r="E756" s="289">
        <f>'BD Team'!B77</f>
        <v>0</v>
      </c>
      <c r="F756" s="288" t="s">
        <v>254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246</v>
      </c>
      <c r="M758" s="534"/>
      <c r="N758" s="535" t="str">
        <f>$F$6</f>
        <v>Anodized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177</v>
      </c>
      <c r="M759" s="534"/>
      <c r="N759" s="535" t="str">
        <f>$K$6</f>
        <v>Silver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247</v>
      </c>
      <c r="M760" s="534"/>
      <c r="N760" s="537" t="s">
        <v>255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248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249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250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251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252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253</v>
      </c>
      <c r="D767" s="534"/>
      <c r="E767" s="289">
        <f>'BD Team'!B78</f>
        <v>0</v>
      </c>
      <c r="F767" s="288" t="s">
        <v>254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246</v>
      </c>
      <c r="M769" s="534"/>
      <c r="N769" s="535" t="str">
        <f>$F$6</f>
        <v>Anodized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177</v>
      </c>
      <c r="M770" s="534"/>
      <c r="N770" s="535" t="str">
        <f>$K$6</f>
        <v>Silver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247</v>
      </c>
      <c r="M771" s="534"/>
      <c r="N771" s="537" t="s">
        <v>255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248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249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250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251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252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253</v>
      </c>
      <c r="D778" s="534"/>
      <c r="E778" s="289">
        <f>'BD Team'!B79</f>
        <v>0</v>
      </c>
      <c r="F778" s="288" t="s">
        <v>254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246</v>
      </c>
      <c r="M780" s="534"/>
      <c r="N780" s="535" t="str">
        <f>$F$6</f>
        <v>Anodized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177</v>
      </c>
      <c r="M781" s="534"/>
      <c r="N781" s="535" t="str">
        <f>$K$6</f>
        <v>Silver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247</v>
      </c>
      <c r="M782" s="534"/>
      <c r="N782" s="537" t="s">
        <v>255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248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249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250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251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252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253</v>
      </c>
      <c r="D789" s="534"/>
      <c r="E789" s="289">
        <f>'BD Team'!B80</f>
        <v>0</v>
      </c>
      <c r="F789" s="288" t="s">
        <v>254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246</v>
      </c>
      <c r="M791" s="534"/>
      <c r="N791" s="535" t="str">
        <f>$F$6</f>
        <v>Anodized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177</v>
      </c>
      <c r="M792" s="534"/>
      <c r="N792" s="535" t="str">
        <f>$K$6</f>
        <v>Silver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247</v>
      </c>
      <c r="M793" s="534"/>
      <c r="N793" s="537" t="s">
        <v>255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248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249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250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251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252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253</v>
      </c>
      <c r="D800" s="534"/>
      <c r="E800" s="289">
        <f>'BD Team'!B81</f>
        <v>0</v>
      </c>
      <c r="F800" s="288" t="s">
        <v>254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246</v>
      </c>
      <c r="M802" s="534"/>
      <c r="N802" s="535" t="str">
        <f>$F$6</f>
        <v>Anodized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177</v>
      </c>
      <c r="M803" s="534"/>
      <c r="N803" s="535" t="str">
        <f>$K$6</f>
        <v>Silver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247</v>
      </c>
      <c r="M804" s="534"/>
      <c r="N804" s="537" t="s">
        <v>255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248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249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250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251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252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253</v>
      </c>
      <c r="D811" s="534"/>
      <c r="E811" s="289">
        <f>'BD Team'!B82</f>
        <v>0</v>
      </c>
      <c r="F811" s="288" t="s">
        <v>254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246</v>
      </c>
      <c r="M813" s="534"/>
      <c r="N813" s="535" t="str">
        <f>$F$6</f>
        <v>Anodized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177</v>
      </c>
      <c r="M814" s="534"/>
      <c r="N814" s="535" t="str">
        <f>$K$6</f>
        <v>Silver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247</v>
      </c>
      <c r="M815" s="534"/>
      <c r="N815" s="537" t="s">
        <v>255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248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249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250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251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252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253</v>
      </c>
      <c r="D822" s="534"/>
      <c r="E822" s="289">
        <f>'BD Team'!B83</f>
        <v>0</v>
      </c>
      <c r="F822" s="288" t="s">
        <v>254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246</v>
      </c>
      <c r="M824" s="534"/>
      <c r="N824" s="535" t="str">
        <f>$F$6</f>
        <v>Anodized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177</v>
      </c>
      <c r="M825" s="534"/>
      <c r="N825" s="535" t="str">
        <f>$K$6</f>
        <v>Silver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247</v>
      </c>
      <c r="M826" s="534"/>
      <c r="N826" s="537" t="s">
        <v>255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248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249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250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251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252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253</v>
      </c>
      <c r="D833" s="534"/>
      <c r="E833" s="289">
        <f>'BD Team'!B84</f>
        <v>0</v>
      </c>
      <c r="F833" s="288" t="s">
        <v>254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246</v>
      </c>
      <c r="M835" s="534"/>
      <c r="N835" s="535" t="str">
        <f>$F$6</f>
        <v>Anodized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177</v>
      </c>
      <c r="M836" s="534"/>
      <c r="N836" s="535" t="str">
        <f>$K$6</f>
        <v>Silver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247</v>
      </c>
      <c r="M837" s="534"/>
      <c r="N837" s="537" t="s">
        <v>255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248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249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250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251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252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253</v>
      </c>
      <c r="D844" s="534"/>
      <c r="E844" s="289">
        <f>'BD Team'!B85</f>
        <v>0</v>
      </c>
      <c r="F844" s="288" t="s">
        <v>254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246</v>
      </c>
      <c r="M846" s="534"/>
      <c r="N846" s="535" t="str">
        <f>$F$6</f>
        <v>Anodized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177</v>
      </c>
      <c r="M847" s="534"/>
      <c r="N847" s="535" t="str">
        <f>$K$6</f>
        <v>Silver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247</v>
      </c>
      <c r="M848" s="534"/>
      <c r="N848" s="537" t="s">
        <v>255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248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249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250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251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252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253</v>
      </c>
      <c r="D855" s="534"/>
      <c r="E855" s="289">
        <f>'BD Team'!B86</f>
        <v>0</v>
      </c>
      <c r="F855" s="288" t="s">
        <v>254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246</v>
      </c>
      <c r="M857" s="534"/>
      <c r="N857" s="535" t="str">
        <f>$F$6</f>
        <v>Anodized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177</v>
      </c>
      <c r="M858" s="534"/>
      <c r="N858" s="535" t="str">
        <f>$K$6</f>
        <v>Silver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247</v>
      </c>
      <c r="M859" s="534"/>
      <c r="N859" s="537" t="s">
        <v>255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248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249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250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251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252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253</v>
      </c>
      <c r="D866" s="534"/>
      <c r="E866" s="289">
        <f>'BD Team'!B87</f>
        <v>0</v>
      </c>
      <c r="F866" s="288" t="s">
        <v>254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246</v>
      </c>
      <c r="M868" s="534"/>
      <c r="N868" s="535" t="str">
        <f>$F$6</f>
        <v>Anodized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177</v>
      </c>
      <c r="M869" s="534"/>
      <c r="N869" s="535" t="str">
        <f>$K$6</f>
        <v>Silver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247</v>
      </c>
      <c r="M870" s="534"/>
      <c r="N870" s="537" t="s">
        <v>255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248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249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250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251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252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253</v>
      </c>
      <c r="D877" s="534"/>
      <c r="E877" s="289">
        <f>'BD Team'!B88</f>
        <v>0</v>
      </c>
      <c r="F877" s="288" t="s">
        <v>254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246</v>
      </c>
      <c r="M879" s="534"/>
      <c r="N879" s="535" t="str">
        <f>$F$6</f>
        <v>Anodized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177</v>
      </c>
      <c r="M880" s="534"/>
      <c r="N880" s="535" t="str">
        <f>$K$6</f>
        <v>Silver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247</v>
      </c>
      <c r="M881" s="534"/>
      <c r="N881" s="537" t="s">
        <v>255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248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249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250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251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252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253</v>
      </c>
      <c r="D888" s="534"/>
      <c r="E888" s="289">
        <f>'BD Team'!B89</f>
        <v>0</v>
      </c>
      <c r="F888" s="288" t="s">
        <v>254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246</v>
      </c>
      <c r="M890" s="534"/>
      <c r="N890" s="535" t="str">
        <f>$F$6</f>
        <v>Anodized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177</v>
      </c>
      <c r="M891" s="534"/>
      <c r="N891" s="535" t="str">
        <f>$K$6</f>
        <v>Silver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247</v>
      </c>
      <c r="M892" s="534"/>
      <c r="N892" s="537" t="s">
        <v>255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248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249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250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251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252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253</v>
      </c>
      <c r="D899" s="534"/>
      <c r="E899" s="289">
        <f>'BD Team'!B90</f>
        <v>0</v>
      </c>
      <c r="F899" s="288" t="s">
        <v>254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246</v>
      </c>
      <c r="M901" s="534"/>
      <c r="N901" s="535" t="str">
        <f>$F$6</f>
        <v>Anodized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177</v>
      </c>
      <c r="M902" s="534"/>
      <c r="N902" s="535" t="str">
        <f>$K$6</f>
        <v>Silver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247</v>
      </c>
      <c r="M903" s="534"/>
      <c r="N903" s="537" t="s">
        <v>255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248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249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250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251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252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253</v>
      </c>
      <c r="D910" s="534"/>
      <c r="E910" s="289">
        <f>'BD Team'!B91</f>
        <v>0</v>
      </c>
      <c r="F910" s="288" t="s">
        <v>254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246</v>
      </c>
      <c r="M912" s="534"/>
      <c r="N912" s="535" t="str">
        <f>$F$6</f>
        <v>Anodized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177</v>
      </c>
      <c r="M913" s="534"/>
      <c r="N913" s="535" t="str">
        <f>$K$6</f>
        <v>Silver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247</v>
      </c>
      <c r="M914" s="534"/>
      <c r="N914" s="537" t="s">
        <v>255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248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249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250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251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252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253</v>
      </c>
      <c r="D921" s="534"/>
      <c r="E921" s="289">
        <f>'BD Team'!B92</f>
        <v>0</v>
      </c>
      <c r="F921" s="288" t="s">
        <v>254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246</v>
      </c>
      <c r="M923" s="534"/>
      <c r="N923" s="535" t="str">
        <f>$F$6</f>
        <v>Anodized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177</v>
      </c>
      <c r="M924" s="534"/>
      <c r="N924" s="535" t="str">
        <f>$K$6</f>
        <v>Silver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247</v>
      </c>
      <c r="M925" s="534"/>
      <c r="N925" s="537" t="s">
        <v>255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248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249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250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251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252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253</v>
      </c>
      <c r="D932" s="534"/>
      <c r="E932" s="289">
        <f>'BD Team'!B93</f>
        <v>0</v>
      </c>
      <c r="F932" s="288" t="s">
        <v>254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246</v>
      </c>
      <c r="M934" s="534"/>
      <c r="N934" s="535" t="str">
        <f>$F$6</f>
        <v>Anodized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177</v>
      </c>
      <c r="M935" s="534"/>
      <c r="N935" s="535" t="str">
        <f>$K$6</f>
        <v>Silver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247</v>
      </c>
      <c r="M936" s="534"/>
      <c r="N936" s="537" t="s">
        <v>255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248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249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250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251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252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253</v>
      </c>
      <c r="D943" s="534"/>
      <c r="E943" s="289">
        <f>'BD Team'!B94</f>
        <v>0</v>
      </c>
      <c r="F943" s="288" t="s">
        <v>254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246</v>
      </c>
      <c r="M945" s="534"/>
      <c r="N945" s="535" t="str">
        <f>$F$6</f>
        <v>Anodized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177</v>
      </c>
      <c r="M946" s="534"/>
      <c r="N946" s="535" t="str">
        <f>$K$6</f>
        <v>Silver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247</v>
      </c>
      <c r="M947" s="534"/>
      <c r="N947" s="537" t="s">
        <v>255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248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249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250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251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252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253</v>
      </c>
      <c r="D954" s="534"/>
      <c r="E954" s="289">
        <f>'BD Team'!B95</f>
        <v>0</v>
      </c>
      <c r="F954" s="288" t="s">
        <v>254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246</v>
      </c>
      <c r="M956" s="534"/>
      <c r="N956" s="535" t="str">
        <f>$F$6</f>
        <v>Anodized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177</v>
      </c>
      <c r="M957" s="534"/>
      <c r="N957" s="535" t="str">
        <f>$K$6</f>
        <v>Silver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247</v>
      </c>
      <c r="M958" s="534"/>
      <c r="N958" s="537" t="s">
        <v>255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248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249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250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251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252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253</v>
      </c>
      <c r="D965" s="534"/>
      <c r="E965" s="289">
        <f>'BD Team'!B96</f>
        <v>0</v>
      </c>
      <c r="F965" s="288" t="s">
        <v>254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246</v>
      </c>
      <c r="M967" s="534"/>
      <c r="N967" s="535" t="str">
        <f>$F$6</f>
        <v>Anodized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177</v>
      </c>
      <c r="M968" s="534"/>
      <c r="N968" s="535" t="str">
        <f>$K$6</f>
        <v>Silver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247</v>
      </c>
      <c r="M969" s="534"/>
      <c r="N969" s="537" t="s">
        <v>255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248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249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250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251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252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253</v>
      </c>
      <c r="D976" s="534"/>
      <c r="E976" s="289">
        <f>'BD Team'!B97</f>
        <v>0</v>
      </c>
      <c r="F976" s="288" t="s">
        <v>254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246</v>
      </c>
      <c r="M978" s="534"/>
      <c r="N978" s="535" t="str">
        <f>$F$6</f>
        <v>Anodized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177</v>
      </c>
      <c r="M979" s="534"/>
      <c r="N979" s="535" t="str">
        <f>$K$6</f>
        <v>Silver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247</v>
      </c>
      <c r="M980" s="534"/>
      <c r="N980" s="537" t="s">
        <v>255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248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249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250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251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252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253</v>
      </c>
      <c r="D987" s="534"/>
      <c r="E987" s="289">
        <f>'BD Team'!B98</f>
        <v>0</v>
      </c>
      <c r="F987" s="288" t="s">
        <v>254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246</v>
      </c>
      <c r="M989" s="534"/>
      <c r="N989" s="535" t="str">
        <f>$F$6</f>
        <v>Anodized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177</v>
      </c>
      <c r="M990" s="534"/>
      <c r="N990" s="535" t="str">
        <f>$K$6</f>
        <v>Silver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247</v>
      </c>
      <c r="M991" s="534"/>
      <c r="N991" s="537" t="s">
        <v>255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248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249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250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251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252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253</v>
      </c>
      <c r="D998" s="534"/>
      <c r="E998" s="289">
        <f>'BD Team'!B99</f>
        <v>0</v>
      </c>
      <c r="F998" s="288" t="s">
        <v>254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246</v>
      </c>
      <c r="M1000" s="534"/>
      <c r="N1000" s="535" t="str">
        <f>$F$6</f>
        <v>Anodized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177</v>
      </c>
      <c r="M1001" s="534"/>
      <c r="N1001" s="535" t="str">
        <f>$K$6</f>
        <v>Silver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247</v>
      </c>
      <c r="M1002" s="534"/>
      <c r="N1002" s="537" t="s">
        <v>255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248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249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250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251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252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253</v>
      </c>
      <c r="D1009" s="534"/>
      <c r="E1009" s="289">
        <f>'BD Team'!B100</f>
        <v>0</v>
      </c>
      <c r="F1009" s="288" t="s">
        <v>254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246</v>
      </c>
      <c r="M1011" s="534"/>
      <c r="N1011" s="535" t="str">
        <f>$F$6</f>
        <v>Anodized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177</v>
      </c>
      <c r="M1012" s="534"/>
      <c r="N1012" s="535" t="str">
        <f>$K$6</f>
        <v>Silver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247</v>
      </c>
      <c r="M1013" s="534"/>
      <c r="N1013" s="537" t="s">
        <v>255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248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249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250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251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252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253</v>
      </c>
      <c r="D1020" s="534"/>
      <c r="E1020" s="289">
        <f>'BD Team'!B101</f>
        <v>0</v>
      </c>
      <c r="F1020" s="288" t="s">
        <v>254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246</v>
      </c>
      <c r="M1022" s="534"/>
      <c r="N1022" s="535" t="str">
        <f>$F$6</f>
        <v>Anodized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177</v>
      </c>
      <c r="M1023" s="534"/>
      <c r="N1023" s="535" t="str">
        <f>$K$6</f>
        <v>Silver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247</v>
      </c>
      <c r="M1024" s="534"/>
      <c r="N1024" s="537" t="s">
        <v>255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248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249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250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251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252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253</v>
      </c>
      <c r="D1031" s="534"/>
      <c r="E1031" s="289">
        <f>'BD Team'!B102</f>
        <v>0</v>
      </c>
      <c r="F1031" s="288" t="s">
        <v>254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246</v>
      </c>
      <c r="M1033" s="534"/>
      <c r="N1033" s="535" t="str">
        <f>$F$6</f>
        <v>Anodized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177</v>
      </c>
      <c r="M1034" s="534"/>
      <c r="N1034" s="535" t="str">
        <f>$K$6</f>
        <v>Silver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247</v>
      </c>
      <c r="M1035" s="534"/>
      <c r="N1035" s="537" t="s">
        <v>255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248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249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250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251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252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253</v>
      </c>
      <c r="D1042" s="534"/>
      <c r="E1042" s="289">
        <f>'BD Team'!B103</f>
        <v>0</v>
      </c>
      <c r="F1042" s="288" t="s">
        <v>254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246</v>
      </c>
      <c r="M1044" s="534"/>
      <c r="N1044" s="535" t="str">
        <f>$F$6</f>
        <v>Anodized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177</v>
      </c>
      <c r="M1045" s="534"/>
      <c r="N1045" s="535" t="str">
        <f>$K$6</f>
        <v>Silver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247</v>
      </c>
      <c r="M1046" s="534"/>
      <c r="N1046" s="537" t="s">
        <v>255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248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249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250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251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252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253</v>
      </c>
      <c r="D1053" s="534"/>
      <c r="E1053" s="289">
        <f>'BD Team'!B104</f>
        <v>0</v>
      </c>
      <c r="F1053" s="288" t="s">
        <v>254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246</v>
      </c>
      <c r="M1055" s="534"/>
      <c r="N1055" s="535" t="str">
        <f>$F$6</f>
        <v>Anodized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177</v>
      </c>
      <c r="M1056" s="534"/>
      <c r="N1056" s="535" t="str">
        <f>$K$6</f>
        <v>Silver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247</v>
      </c>
      <c r="M1057" s="534"/>
      <c r="N1057" s="537" t="s">
        <v>255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248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249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250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251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252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253</v>
      </c>
      <c r="D1064" s="534"/>
      <c r="E1064" s="289">
        <f>'BD Team'!B105</f>
        <v>0</v>
      </c>
      <c r="F1064" s="288" t="s">
        <v>254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246</v>
      </c>
      <c r="M1066" s="534"/>
      <c r="N1066" s="535" t="str">
        <f>$F$6</f>
        <v>Anodized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177</v>
      </c>
      <c r="M1067" s="534"/>
      <c r="N1067" s="535" t="str">
        <f>$K$6</f>
        <v>Silver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247</v>
      </c>
      <c r="M1068" s="534"/>
      <c r="N1068" s="537" t="s">
        <v>255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248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249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250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251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252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253</v>
      </c>
      <c r="D1075" s="534"/>
      <c r="E1075" s="289">
        <f>'BD Team'!B106</f>
        <v>0</v>
      </c>
      <c r="F1075" s="288" t="s">
        <v>254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246</v>
      </c>
      <c r="M1077" s="534"/>
      <c r="N1077" s="535" t="str">
        <f>$F$6</f>
        <v>Anodized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177</v>
      </c>
      <c r="M1078" s="534"/>
      <c r="N1078" s="535" t="str">
        <f>$K$6</f>
        <v>Silver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247</v>
      </c>
      <c r="M1079" s="534"/>
      <c r="N1079" s="537" t="s">
        <v>255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248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249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250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251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252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253</v>
      </c>
      <c r="D1086" s="534"/>
      <c r="E1086" s="289">
        <f>'BD Team'!B107</f>
        <v>0</v>
      </c>
      <c r="F1086" s="288" t="s">
        <v>254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246</v>
      </c>
      <c r="M1088" s="534"/>
      <c r="N1088" s="535" t="str">
        <f>$F$6</f>
        <v>Anodized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177</v>
      </c>
      <c r="M1089" s="534"/>
      <c r="N1089" s="535" t="str">
        <f>$K$6</f>
        <v>Silver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247</v>
      </c>
      <c r="M1090" s="534"/>
      <c r="N1090" s="537" t="s">
        <v>255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248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249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250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251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252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253</v>
      </c>
      <c r="D1097" s="534"/>
      <c r="E1097" s="289">
        <f>'BD Team'!B108</f>
        <v>0</v>
      </c>
      <c r="F1097" s="288" t="s">
        <v>254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246</v>
      </c>
      <c r="M1099" s="534"/>
      <c r="N1099" s="535" t="str">
        <f>$F$6</f>
        <v>Anodized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177</v>
      </c>
      <c r="M1100" s="534"/>
      <c r="N1100" s="535" t="str">
        <f>$K$6</f>
        <v>Silver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247</v>
      </c>
      <c r="M1101" s="534"/>
      <c r="N1101" s="537" t="s">
        <v>255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248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249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250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251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252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783</v>
      </c>
    </row>
    <row r="5" spans="3:5">
      <c r="C5" s="236" t="s">
        <v>394</v>
      </c>
      <c r="D5" s="236" t="s">
        <v>392</v>
      </c>
      <c r="E5" s="309">
        <f>ROUND(Pricing!U104,0.1)/40</f>
        <v>23.475000000000001</v>
      </c>
    </row>
    <row r="6" spans="3:5">
      <c r="C6" s="236" t="s">
        <v>83</v>
      </c>
      <c r="D6" s="236" t="s">
        <v>391</v>
      </c>
      <c r="E6" s="309">
        <f>ROUND(Pricing!V104,0.1)</f>
        <v>49</v>
      </c>
    </row>
    <row r="7" spans="3:5">
      <c r="C7" s="236" t="s">
        <v>398</v>
      </c>
      <c r="D7" s="236" t="s">
        <v>390</v>
      </c>
      <c r="E7" s="309">
        <f>ROUND(Pricing!W104,0.1)</f>
        <v>783</v>
      </c>
    </row>
    <row r="8" spans="3:5">
      <c r="C8" s="236" t="s">
        <v>395</v>
      </c>
      <c r="D8" s="236" t="s">
        <v>390</v>
      </c>
      <c r="E8" s="309">
        <f>ROUND(Pricing!X104,0.1)</f>
        <v>1565</v>
      </c>
    </row>
    <row r="9" spans="3:5">
      <c r="C9" t="s">
        <v>222</v>
      </c>
      <c r="D9" s="236" t="s">
        <v>393</v>
      </c>
      <c r="E9" s="309">
        <f>ROUND(Pricing!Y104,0.1)</f>
        <v>470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workbookViewId="0">
      <selection activeCell="A15" sqref="A1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3 TRACK 4 SHUTTER SLIDING DOOR</v>
      </c>
      <c r="D2" s="318" t="str">
        <f>'BD Team'!E9</f>
        <v>24MM</v>
      </c>
      <c r="E2" s="318" t="str">
        <f>'BD Team'!G9</f>
        <v>NA</v>
      </c>
      <c r="F2" s="318" t="str">
        <f>'BD Team'!F9</f>
        <v>SS</v>
      </c>
      <c r="I2" s="318">
        <f>'BD Team'!H9</f>
        <v>4880</v>
      </c>
      <c r="J2" s="318">
        <f>'BD Team'!I9</f>
        <v>3050</v>
      </c>
      <c r="K2" s="318">
        <f>'BD Team'!J9</f>
        <v>2</v>
      </c>
      <c r="L2" s="319">
        <f>'BD Team'!K9</f>
        <v>978.6</v>
      </c>
      <c r="M2" s="318">
        <f>Pricing!O4</f>
        <v>3005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</v>
      </c>
      <c r="B3" s="318" t="str">
        <f>'BD Team'!C10</f>
        <v>M14600</v>
      </c>
      <c r="C3" s="318" t="str">
        <f>'BD Team'!D10</f>
        <v>3 TRACK 4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SS</v>
      </c>
      <c r="I3" s="318">
        <f>'BD Team'!H10</f>
        <v>4880</v>
      </c>
      <c r="J3" s="318">
        <f>'BD Team'!I10</f>
        <v>2745</v>
      </c>
      <c r="K3" s="318">
        <f>'BD Team'!J10</f>
        <v>1</v>
      </c>
      <c r="L3" s="319">
        <f>'BD Team'!K10</f>
        <v>934.57</v>
      </c>
      <c r="M3" s="318">
        <f>Pricing!O5</f>
        <v>3005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</v>
      </c>
      <c r="B4" s="318" t="str">
        <f>'BD Team'!C11</f>
        <v>M14600</v>
      </c>
      <c r="C4" s="318" t="str">
        <f>'BD Team'!D11</f>
        <v>3 TRACK 4 SHUTTER SLIDING DOOR</v>
      </c>
      <c r="D4" s="318" t="str">
        <f>'BD Team'!E11</f>
        <v>24MM</v>
      </c>
      <c r="E4" s="318" t="str">
        <f>'BD Team'!G11</f>
        <v>NA</v>
      </c>
      <c r="F4" s="318" t="str">
        <f>'BD Team'!F11</f>
        <v>SS</v>
      </c>
      <c r="I4" s="318">
        <f>'BD Team'!H11</f>
        <v>4270</v>
      </c>
      <c r="J4" s="318">
        <f>'BD Team'!I11</f>
        <v>2745</v>
      </c>
      <c r="K4" s="318">
        <f>'BD Team'!J11</f>
        <v>1</v>
      </c>
      <c r="L4" s="319">
        <f>'BD Team'!K11</f>
        <v>897.06</v>
      </c>
      <c r="M4" s="318">
        <f>Pricing!O6</f>
        <v>3005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NA</v>
      </c>
      <c r="F5" s="318" t="str">
        <f>'BD Team'!F12</f>
        <v>SS</v>
      </c>
      <c r="I5" s="318">
        <f>'BD Team'!H12</f>
        <v>3202</v>
      </c>
      <c r="J5" s="318">
        <f>'BD Team'!I12</f>
        <v>2745</v>
      </c>
      <c r="K5" s="318">
        <f>'BD Team'!J12</f>
        <v>1</v>
      </c>
      <c r="L5" s="319">
        <f>'BD Team'!K12</f>
        <v>544.84</v>
      </c>
      <c r="M5" s="318">
        <f>Pricing!O7</f>
        <v>3005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</v>
      </c>
      <c r="B6" s="318" t="str">
        <f>'BD Team'!C13</f>
        <v>M14600</v>
      </c>
      <c r="C6" s="318" t="str">
        <f>'BD Team'!D13</f>
        <v>3 TRACK 4 SHUTTER SLIDING DOOR WITH INTERNAL RAILING</v>
      </c>
      <c r="D6" s="318" t="str">
        <f>'BD Team'!E13</f>
        <v>24MM &amp; 12MM</v>
      </c>
      <c r="E6" s="318" t="str">
        <f>'BD Team'!G13</f>
        <v>NA</v>
      </c>
      <c r="F6" s="318" t="str">
        <f>'BD Team'!F13</f>
        <v>SS</v>
      </c>
      <c r="I6" s="318">
        <f>'BD Team'!H13</f>
        <v>5795</v>
      </c>
      <c r="J6" s="318">
        <f>'BD Team'!I13</f>
        <v>2286</v>
      </c>
      <c r="K6" s="318">
        <f>'BD Team'!J13</f>
        <v>1</v>
      </c>
      <c r="L6" s="319">
        <f>'BD Team'!K13</f>
        <v>923.69</v>
      </c>
      <c r="M6" s="318">
        <f>Pricing!O8</f>
        <v>3005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5795</v>
      </c>
      <c r="R6" s="319">
        <f>'Cost Calculation'!M12</f>
        <v>1000</v>
      </c>
      <c r="S6" s="319">
        <f>'Cost Calculation'!N12</f>
        <v>1</v>
      </c>
      <c r="T6" s="318">
        <f>Pricing!P8</f>
        <v>1890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M14600</v>
      </c>
      <c r="C7" s="318" t="str">
        <f>'BD Team'!D14</f>
        <v>3 TRACK 4 SHUTTER SLIDING DOOR WITH INTERNAL RAILING</v>
      </c>
      <c r="D7" s="318" t="str">
        <f>'BD Team'!E14</f>
        <v>24MM &amp; 12MM</v>
      </c>
      <c r="E7" s="318" t="str">
        <f>'BD Team'!G14</f>
        <v>NA</v>
      </c>
      <c r="F7" s="318" t="str">
        <f>'BD Team'!F14</f>
        <v>SS</v>
      </c>
      <c r="I7" s="318">
        <f>'BD Team'!H14</f>
        <v>4880</v>
      </c>
      <c r="J7" s="318">
        <f>'BD Team'!I14</f>
        <v>2286</v>
      </c>
      <c r="K7" s="318">
        <f>'BD Team'!J14</f>
        <v>3</v>
      </c>
      <c r="L7" s="319">
        <f>'BD Team'!K14</f>
        <v>876.98</v>
      </c>
      <c r="M7" s="318">
        <f>Pricing!O9</f>
        <v>3005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4880</v>
      </c>
      <c r="R7" s="319">
        <f>'Cost Calculation'!M13</f>
        <v>1000</v>
      </c>
      <c r="S7" s="319">
        <f>'Cost Calculation'!N13</f>
        <v>3</v>
      </c>
      <c r="T7" s="318">
        <f>Pricing!P9</f>
        <v>1890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M14600</v>
      </c>
      <c r="C8" s="318" t="str">
        <f>'BD Team'!D15</f>
        <v>3 TRACK 4 SHUTTER SLIDING DOOR WITH INTERNAL RAILING</v>
      </c>
      <c r="D8" s="318" t="str">
        <f>'BD Team'!E15</f>
        <v>24MM &amp; 12MM</v>
      </c>
      <c r="E8" s="318" t="str">
        <f>'BD Team'!G15</f>
        <v>NA</v>
      </c>
      <c r="F8" s="318" t="str">
        <f>'BD Team'!F15</f>
        <v>SS</v>
      </c>
      <c r="I8" s="318">
        <f>'BD Team'!H15</f>
        <v>3660</v>
      </c>
      <c r="J8" s="318">
        <f>'BD Team'!I15</f>
        <v>2286</v>
      </c>
      <c r="K8" s="318">
        <f>'BD Team'!J15</f>
        <v>1</v>
      </c>
      <c r="L8" s="319">
        <f>'BD Team'!K15</f>
        <v>859.87</v>
      </c>
      <c r="M8" s="318">
        <f>Pricing!O10</f>
        <v>3005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3660</v>
      </c>
      <c r="R8" s="319">
        <f>'Cost Calculation'!M14</f>
        <v>1000</v>
      </c>
      <c r="S8" s="319">
        <f>'Cost Calculation'!N14</f>
        <v>1</v>
      </c>
      <c r="T8" s="318">
        <f>Pricing!P10</f>
        <v>1890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M14600</v>
      </c>
      <c r="C9" s="318" t="str">
        <f>'BD Team'!D16</f>
        <v>3 TRACK 2 SHUTTER SLIDING WINDOW</v>
      </c>
      <c r="D9" s="318" t="str">
        <f>'BD Team'!E16</f>
        <v>24MM</v>
      </c>
      <c r="E9" s="318" t="str">
        <f>'BD Team'!G16</f>
        <v>NA</v>
      </c>
      <c r="F9" s="318" t="str">
        <f>'BD Team'!F16</f>
        <v>SS</v>
      </c>
      <c r="I9" s="318">
        <f>'BD Team'!H16</f>
        <v>1525</v>
      </c>
      <c r="J9" s="318">
        <f>'BD Team'!I16</f>
        <v>1830</v>
      </c>
      <c r="K9" s="318">
        <f>'BD Team'!J16</f>
        <v>2</v>
      </c>
      <c r="L9" s="319">
        <f>'BD Team'!K16</f>
        <v>333.4</v>
      </c>
      <c r="M9" s="318">
        <f>Pricing!O11</f>
        <v>3005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M14600</v>
      </c>
      <c r="C10" s="318" t="str">
        <f>'BD Team'!D17</f>
        <v>3 TRACK 2 SHUTTER SLIDING DOOR WITH INTERNAL RAILING</v>
      </c>
      <c r="D10" s="318" t="str">
        <f>'BD Team'!E17</f>
        <v>24MM &amp; 12MM</v>
      </c>
      <c r="E10" s="318" t="str">
        <f>'BD Team'!G17</f>
        <v>NA</v>
      </c>
      <c r="F10" s="318" t="str">
        <f>'BD Team'!F17</f>
        <v>SS</v>
      </c>
      <c r="I10" s="318">
        <f>'BD Team'!H17</f>
        <v>1525</v>
      </c>
      <c r="J10" s="318">
        <f>'BD Team'!I17</f>
        <v>2286</v>
      </c>
      <c r="K10" s="318">
        <f>'BD Team'!J17</f>
        <v>4</v>
      </c>
      <c r="L10" s="319">
        <f>'BD Team'!K17</f>
        <v>404.59</v>
      </c>
      <c r="M10" s="318">
        <f>Pricing!O12</f>
        <v>3005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1525</v>
      </c>
      <c r="R10" s="319">
        <f>'Cost Calculation'!M16</f>
        <v>1000</v>
      </c>
      <c r="S10" s="319">
        <f>'Cost Calculation'!N16</f>
        <v>4</v>
      </c>
      <c r="T10" s="318">
        <f>Pricing!P12</f>
        <v>1890</v>
      </c>
      <c r="U10" s="317">
        <f>'Cost Calculation'!AC16</f>
        <v>0</v>
      </c>
    </row>
    <row r="11" spans="1:21">
      <c r="A11" s="318" t="str">
        <f>'BD Team'!B18</f>
        <v>KW</v>
      </c>
      <c r="B11" s="318" t="str">
        <f>'BD Team'!C18</f>
        <v>M14600</v>
      </c>
      <c r="C11" s="318" t="str">
        <f>'BD Team'!D18</f>
        <v>3 TRACK 2 SHUTTER SLIDING WINDOW</v>
      </c>
      <c r="D11" s="318" t="str">
        <f>'BD Team'!E18</f>
        <v>24MM</v>
      </c>
      <c r="E11" s="318" t="str">
        <f>'BD Team'!G18</f>
        <v>NA</v>
      </c>
      <c r="F11" s="318" t="str">
        <f>'BD Team'!F18</f>
        <v>SS</v>
      </c>
      <c r="I11" s="318">
        <f>'BD Team'!H18</f>
        <v>1525</v>
      </c>
      <c r="J11" s="318">
        <f>'BD Team'!I18</f>
        <v>1525</v>
      </c>
      <c r="K11" s="318">
        <f>'BD Team'!J18</f>
        <v>2</v>
      </c>
      <c r="L11" s="319">
        <f>'BD Team'!K18</f>
        <v>309.94</v>
      </c>
      <c r="M11" s="318">
        <f>Pricing!O13</f>
        <v>3005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</v>
      </c>
      <c r="B12" s="318" t="str">
        <f>'BD Team'!C19</f>
        <v>M15000</v>
      </c>
      <c r="C12" s="318" t="str">
        <f>'BD Team'!D19</f>
        <v>SINGLE DOOR WITH INTERNAL RAILING</v>
      </c>
      <c r="D12" s="318" t="str">
        <f>'BD Team'!E19</f>
        <v>10MM &amp; 12MM</v>
      </c>
      <c r="E12" s="318" t="str">
        <f>'BD Team'!G19</f>
        <v>NA</v>
      </c>
      <c r="F12" s="318" t="str">
        <f>'BD Team'!F19</f>
        <v>NO</v>
      </c>
      <c r="I12" s="318">
        <f>'BD Team'!H19</f>
        <v>915</v>
      </c>
      <c r="J12" s="318">
        <f>'BD Team'!I19</f>
        <v>2286</v>
      </c>
      <c r="K12" s="318">
        <f>'BD Team'!J19</f>
        <v>3</v>
      </c>
      <c r="L12" s="319">
        <f>'BD Team'!K19</f>
        <v>248.98</v>
      </c>
      <c r="M12" s="318">
        <f>Pricing!O14</f>
        <v>3005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915</v>
      </c>
      <c r="R12" s="319">
        <f>'Cost Calculation'!M18</f>
        <v>1000</v>
      </c>
      <c r="S12" s="319">
        <f>'Cost Calculation'!N18</f>
        <v>3</v>
      </c>
      <c r="T12" s="318">
        <f>Pricing!P14</f>
        <v>1890</v>
      </c>
      <c r="U12" s="317">
        <f>'Cost Calculation'!AC18</f>
        <v>0</v>
      </c>
    </row>
    <row r="13" spans="1:21">
      <c r="A13" s="318" t="str">
        <f>'BD Team'!B20</f>
        <v>W6</v>
      </c>
      <c r="B13" s="318" t="str">
        <f>'BD Team'!C20</f>
        <v>M15000</v>
      </c>
      <c r="C13" s="318" t="str">
        <f>'BD Team'!D20</f>
        <v>SINGLE DOOR WITH INTERNAL RAILING</v>
      </c>
      <c r="D13" s="318" t="str">
        <f>'BD Team'!E20</f>
        <v>10MM &amp; 12MM</v>
      </c>
      <c r="E13" s="318" t="str">
        <f>'BD Team'!G20</f>
        <v>NA</v>
      </c>
      <c r="F13" s="318" t="str">
        <f>'BD Team'!F20</f>
        <v>NO</v>
      </c>
      <c r="I13" s="318">
        <f>'BD Team'!H20</f>
        <v>534</v>
      </c>
      <c r="J13" s="318">
        <f>'BD Team'!I20</f>
        <v>2286</v>
      </c>
      <c r="K13" s="318">
        <f>'BD Team'!J20</f>
        <v>2</v>
      </c>
      <c r="L13" s="319">
        <f>'BD Team'!K20</f>
        <v>223.28</v>
      </c>
      <c r="M13" s="318">
        <f>Pricing!O15</f>
        <v>3005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534</v>
      </c>
      <c r="R13" s="319">
        <f>'Cost Calculation'!M19</f>
        <v>1000</v>
      </c>
      <c r="S13" s="319">
        <f>'Cost Calculation'!N19</f>
        <v>2</v>
      </c>
      <c r="T13" s="318">
        <f>Pricing!P15</f>
        <v>1890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M15000</v>
      </c>
      <c r="C14" s="318" t="str">
        <f>'BD Team'!D21</f>
        <v>TOP HUNG WINDOW WITH BOTTOM FIXED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610</v>
      </c>
      <c r="J14" s="318">
        <f>'BD Team'!I21</f>
        <v>1525</v>
      </c>
      <c r="K14" s="318">
        <f>'BD Team'!J21</f>
        <v>1</v>
      </c>
      <c r="L14" s="319">
        <f>'BD Team'!K21</f>
        <v>405.82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4" sqref="E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64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184</v>
      </c>
      <c r="I2" s="324"/>
      <c r="J2" s="165" t="s">
        <v>445</v>
      </c>
      <c r="K2" s="167"/>
      <c r="L2" s="104" t="s">
        <v>207</v>
      </c>
      <c r="M2" s="104" t="s">
        <v>379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182</v>
      </c>
      <c r="G3" s="162" t="s">
        <v>414</v>
      </c>
      <c r="H3" s="323" t="s">
        <v>185</v>
      </c>
      <c r="I3" s="324"/>
      <c r="J3" s="166">
        <v>43712</v>
      </c>
      <c r="K3" s="167"/>
      <c r="L3" s="104" t="s">
        <v>257</v>
      </c>
      <c r="M3" s="104" t="s">
        <v>380</v>
      </c>
    </row>
    <row r="4" spans="1:13" s="104" customFormat="1" ht="18">
      <c r="A4" s="322" t="s">
        <v>168</v>
      </c>
      <c r="B4" s="322"/>
      <c r="C4" s="322"/>
      <c r="D4" s="322"/>
      <c r="E4" s="162" t="s">
        <v>415</v>
      </c>
      <c r="F4" s="135"/>
      <c r="G4" s="164"/>
      <c r="H4" s="323" t="s">
        <v>186</v>
      </c>
      <c r="I4" s="324"/>
      <c r="J4" s="165" t="s">
        <v>379</v>
      </c>
      <c r="K4" s="167"/>
      <c r="L4" s="104" t="s">
        <v>258</v>
      </c>
      <c r="M4" s="104" t="s">
        <v>381</v>
      </c>
    </row>
    <row r="5" spans="1:13" s="104" customFormat="1">
      <c r="A5" s="322" t="s">
        <v>176</v>
      </c>
      <c r="B5" s="322"/>
      <c r="C5" s="322"/>
      <c r="D5" s="322"/>
      <c r="E5" s="162" t="s">
        <v>422</v>
      </c>
      <c r="F5" s="136" t="s">
        <v>183</v>
      </c>
      <c r="G5" s="162" t="s">
        <v>207</v>
      </c>
      <c r="H5" s="323" t="s">
        <v>373</v>
      </c>
      <c r="I5" s="324"/>
      <c r="J5" s="165" t="s">
        <v>423</v>
      </c>
      <c r="K5" s="167"/>
      <c r="L5" s="104" t="s">
        <v>259</v>
      </c>
      <c r="M5" s="104" t="s">
        <v>382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383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447</v>
      </c>
      <c r="D9" s="113" t="s">
        <v>448</v>
      </c>
      <c r="E9" s="113" t="s">
        <v>263</v>
      </c>
      <c r="F9" s="113" t="s">
        <v>449</v>
      </c>
      <c r="G9" s="113" t="s">
        <v>426</v>
      </c>
      <c r="H9" s="113">
        <v>4880</v>
      </c>
      <c r="I9" s="113">
        <v>3050</v>
      </c>
      <c r="J9" s="113">
        <v>2</v>
      </c>
      <c r="K9" s="123">
        <v>978.6</v>
      </c>
    </row>
    <row r="10" spans="1:13" ht="20.100000000000001" customHeight="1">
      <c r="A10" s="113">
        <v>2</v>
      </c>
      <c r="B10" s="113" t="s">
        <v>427</v>
      </c>
      <c r="C10" s="113" t="s">
        <v>447</v>
      </c>
      <c r="D10" s="113" t="s">
        <v>448</v>
      </c>
      <c r="E10" s="113" t="s">
        <v>263</v>
      </c>
      <c r="F10" s="113" t="s">
        <v>449</v>
      </c>
      <c r="G10" s="113" t="s">
        <v>426</v>
      </c>
      <c r="H10" s="113">
        <v>4880</v>
      </c>
      <c r="I10" s="113">
        <v>2745</v>
      </c>
      <c r="J10" s="113">
        <v>1</v>
      </c>
      <c r="K10" s="123">
        <v>934.57</v>
      </c>
      <c r="L10" s="47" t="s">
        <v>282</v>
      </c>
    </row>
    <row r="11" spans="1:13" ht="20.100000000000001" customHeight="1">
      <c r="A11" s="113">
        <v>3</v>
      </c>
      <c r="B11" s="113" t="s">
        <v>428</v>
      </c>
      <c r="C11" s="113" t="s">
        <v>447</v>
      </c>
      <c r="D11" s="113" t="s">
        <v>448</v>
      </c>
      <c r="E11" s="113" t="s">
        <v>263</v>
      </c>
      <c r="F11" s="113" t="s">
        <v>449</v>
      </c>
      <c r="G11" s="113" t="s">
        <v>426</v>
      </c>
      <c r="H11" s="113">
        <v>4270</v>
      </c>
      <c r="I11" s="113">
        <v>2745</v>
      </c>
      <c r="J11" s="113">
        <v>1</v>
      </c>
      <c r="K11" s="123">
        <v>897.06</v>
      </c>
      <c r="L11" s="47" t="s">
        <v>281</v>
      </c>
    </row>
    <row r="12" spans="1:13" ht="20.100000000000001" customHeight="1">
      <c r="A12" s="113">
        <v>4</v>
      </c>
      <c r="B12" s="113" t="s">
        <v>429</v>
      </c>
      <c r="C12" s="113" t="s">
        <v>447</v>
      </c>
      <c r="D12" s="113" t="s">
        <v>450</v>
      </c>
      <c r="E12" s="113" t="s">
        <v>263</v>
      </c>
      <c r="F12" s="113" t="s">
        <v>449</v>
      </c>
      <c r="G12" s="113" t="s">
        <v>426</v>
      </c>
      <c r="H12" s="113">
        <v>3202</v>
      </c>
      <c r="I12" s="113">
        <v>2745</v>
      </c>
      <c r="J12" s="113">
        <v>1</v>
      </c>
      <c r="K12" s="123">
        <v>544.84</v>
      </c>
      <c r="L12" s="47" t="s">
        <v>364</v>
      </c>
    </row>
    <row r="13" spans="1:13" ht="20.100000000000001" customHeight="1">
      <c r="A13" s="113">
        <v>5</v>
      </c>
      <c r="B13" s="113" t="s">
        <v>32</v>
      </c>
      <c r="C13" s="113" t="s">
        <v>447</v>
      </c>
      <c r="D13" s="113" t="s">
        <v>451</v>
      </c>
      <c r="E13" s="113" t="s">
        <v>452</v>
      </c>
      <c r="F13" s="113" t="s">
        <v>449</v>
      </c>
      <c r="G13" s="113" t="s">
        <v>426</v>
      </c>
      <c r="H13" s="113">
        <v>5795</v>
      </c>
      <c r="I13" s="113">
        <v>2286</v>
      </c>
      <c r="J13" s="113">
        <v>1</v>
      </c>
      <c r="K13" s="123">
        <v>923.69</v>
      </c>
      <c r="L13" s="47" t="s">
        <v>365</v>
      </c>
    </row>
    <row r="14" spans="1:13">
      <c r="A14" s="113">
        <v>6</v>
      </c>
      <c r="B14" s="113" t="s">
        <v>430</v>
      </c>
      <c r="C14" s="113" t="s">
        <v>447</v>
      </c>
      <c r="D14" s="113" t="s">
        <v>451</v>
      </c>
      <c r="E14" s="113" t="s">
        <v>452</v>
      </c>
      <c r="F14" s="113" t="s">
        <v>449</v>
      </c>
      <c r="G14" s="113" t="s">
        <v>426</v>
      </c>
      <c r="H14" s="113">
        <v>4880</v>
      </c>
      <c r="I14" s="113">
        <v>2286</v>
      </c>
      <c r="J14" s="113">
        <v>3</v>
      </c>
      <c r="K14" s="123">
        <v>876.98</v>
      </c>
      <c r="L14" s="47" t="s">
        <v>366</v>
      </c>
    </row>
    <row r="15" spans="1:13" ht="20.100000000000001" customHeight="1">
      <c r="A15" s="113">
        <v>7</v>
      </c>
      <c r="B15" s="113" t="s">
        <v>431</v>
      </c>
      <c r="C15" s="113" t="s">
        <v>447</v>
      </c>
      <c r="D15" s="113" t="s">
        <v>451</v>
      </c>
      <c r="E15" s="113" t="s">
        <v>452</v>
      </c>
      <c r="F15" s="113" t="s">
        <v>449</v>
      </c>
      <c r="G15" s="113" t="s">
        <v>426</v>
      </c>
      <c r="H15" s="113">
        <v>3660</v>
      </c>
      <c r="I15" s="113">
        <v>2286</v>
      </c>
      <c r="J15" s="113">
        <v>1</v>
      </c>
      <c r="K15" s="123">
        <v>859.87</v>
      </c>
      <c r="L15" s="47" t="s">
        <v>367</v>
      </c>
    </row>
    <row r="16" spans="1:13" ht="20.100000000000001" customHeight="1">
      <c r="A16" s="113">
        <v>8</v>
      </c>
      <c r="B16" s="113" t="s">
        <v>432</v>
      </c>
      <c r="C16" s="113" t="s">
        <v>447</v>
      </c>
      <c r="D16" s="113" t="s">
        <v>453</v>
      </c>
      <c r="E16" s="113" t="s">
        <v>263</v>
      </c>
      <c r="F16" s="113" t="s">
        <v>449</v>
      </c>
      <c r="G16" s="113" t="s">
        <v>426</v>
      </c>
      <c r="H16" s="113">
        <v>1525</v>
      </c>
      <c r="I16" s="113">
        <v>1830</v>
      </c>
      <c r="J16" s="113">
        <v>2</v>
      </c>
      <c r="K16" s="123">
        <v>333.4</v>
      </c>
      <c r="L16" s="47" t="s">
        <v>368</v>
      </c>
    </row>
    <row r="17" spans="1:13" ht="20.100000000000001" customHeight="1">
      <c r="A17" s="113">
        <v>9</v>
      </c>
      <c r="B17" s="113" t="s">
        <v>433</v>
      </c>
      <c r="C17" s="113" t="s">
        <v>447</v>
      </c>
      <c r="D17" s="113" t="s">
        <v>454</v>
      </c>
      <c r="E17" s="113" t="s">
        <v>452</v>
      </c>
      <c r="F17" s="113" t="s">
        <v>449</v>
      </c>
      <c r="G17" s="113" t="s">
        <v>426</v>
      </c>
      <c r="H17" s="113">
        <v>1525</v>
      </c>
      <c r="I17" s="113">
        <v>2286</v>
      </c>
      <c r="J17" s="113">
        <v>4</v>
      </c>
      <c r="K17" s="123">
        <v>404.59</v>
      </c>
      <c r="L17" s="47" t="s">
        <v>369</v>
      </c>
    </row>
    <row r="18" spans="1:13" ht="20.100000000000001" customHeight="1">
      <c r="A18" s="113">
        <v>10</v>
      </c>
      <c r="B18" s="113" t="s">
        <v>434</v>
      </c>
      <c r="C18" s="113" t="s">
        <v>447</v>
      </c>
      <c r="D18" s="113" t="s">
        <v>453</v>
      </c>
      <c r="E18" s="113" t="s">
        <v>263</v>
      </c>
      <c r="F18" s="113" t="s">
        <v>449</v>
      </c>
      <c r="G18" s="113" t="s">
        <v>426</v>
      </c>
      <c r="H18" s="113">
        <v>1525</v>
      </c>
      <c r="I18" s="113">
        <v>1525</v>
      </c>
      <c r="J18" s="113">
        <v>2</v>
      </c>
      <c r="K18" s="123">
        <v>309.94</v>
      </c>
      <c r="L18" s="47" t="s">
        <v>370</v>
      </c>
    </row>
    <row r="19" spans="1:13" ht="20.100000000000001" customHeight="1">
      <c r="A19" s="113">
        <v>11</v>
      </c>
      <c r="B19" s="113" t="s">
        <v>435</v>
      </c>
      <c r="C19" s="113" t="s">
        <v>436</v>
      </c>
      <c r="D19" s="113" t="s">
        <v>437</v>
      </c>
      <c r="E19" s="113" t="s">
        <v>455</v>
      </c>
      <c r="F19" s="113" t="s">
        <v>425</v>
      </c>
      <c r="G19" s="113" t="s">
        <v>426</v>
      </c>
      <c r="H19" s="113">
        <v>915</v>
      </c>
      <c r="I19" s="113">
        <v>2286</v>
      </c>
      <c r="J19" s="113">
        <v>3</v>
      </c>
      <c r="K19" s="123">
        <v>248.98</v>
      </c>
      <c r="L19" s="47" t="s">
        <v>371</v>
      </c>
    </row>
    <row r="20" spans="1:13">
      <c r="A20" s="113">
        <v>12</v>
      </c>
      <c r="B20" s="113" t="s">
        <v>438</v>
      </c>
      <c r="C20" s="113" t="s">
        <v>436</v>
      </c>
      <c r="D20" s="113" t="s">
        <v>437</v>
      </c>
      <c r="E20" s="113" t="s">
        <v>455</v>
      </c>
      <c r="F20" s="113" t="s">
        <v>425</v>
      </c>
      <c r="G20" s="113" t="s">
        <v>426</v>
      </c>
      <c r="H20" s="113">
        <v>534</v>
      </c>
      <c r="I20" s="113">
        <v>2286</v>
      </c>
      <c r="J20" s="113">
        <v>2</v>
      </c>
      <c r="K20" s="123">
        <v>223.28</v>
      </c>
      <c r="L20" s="47" t="s">
        <v>384</v>
      </c>
    </row>
    <row r="21" spans="1:13" ht="20.100000000000001" customHeight="1">
      <c r="A21" s="113">
        <v>13</v>
      </c>
      <c r="B21" s="113" t="s">
        <v>439</v>
      </c>
      <c r="C21" s="113" t="s">
        <v>436</v>
      </c>
      <c r="D21" s="113" t="s">
        <v>440</v>
      </c>
      <c r="E21" s="113" t="s">
        <v>441</v>
      </c>
      <c r="F21" s="113" t="s">
        <v>425</v>
      </c>
      <c r="G21" s="113" t="s">
        <v>426</v>
      </c>
      <c r="H21" s="113">
        <v>610</v>
      </c>
      <c r="I21" s="113">
        <v>1525</v>
      </c>
      <c r="J21" s="113">
        <v>1</v>
      </c>
      <c r="K21" s="123">
        <v>405.82</v>
      </c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3" sqref="R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3 TRACK 4 SHUTTER SLIDING DOOR</v>
      </c>
      <c r="E4" s="118" t="str">
        <f>'BD Team'!F9</f>
        <v>SS</v>
      </c>
      <c r="F4" s="121" t="str">
        <f>'BD Team'!G9</f>
        <v>NA</v>
      </c>
      <c r="G4" s="118">
        <f>'BD Team'!H9</f>
        <v>4880</v>
      </c>
      <c r="H4" s="118">
        <f>'BD Team'!I9</f>
        <v>3050</v>
      </c>
      <c r="I4" s="118">
        <f>'BD Team'!J9</f>
        <v>2</v>
      </c>
      <c r="J4" s="103">
        <f t="shared" ref="J4:J53" si="0">G4*H4*I4*10.764/1000000</f>
        <v>320.422752</v>
      </c>
      <c r="K4" s="172">
        <f>'BD Team'!K9</f>
        <v>978.6</v>
      </c>
      <c r="L4" s="171">
        <f>K4*I4</f>
        <v>1957.2</v>
      </c>
      <c r="M4" s="170">
        <f>L4*'Changable Values'!$D$4</f>
        <v>162447.6</v>
      </c>
      <c r="N4" s="170" t="str">
        <f>'BD Team'!E9</f>
        <v>24MM</v>
      </c>
      <c r="O4" s="172">
        <v>3005</v>
      </c>
      <c r="P4" s="241"/>
      <c r="Q4" s="173">
        <f>50*10.764</f>
        <v>538.19999999999993</v>
      </c>
      <c r="R4" s="185"/>
      <c r="S4" s="312"/>
      <c r="T4" s="313">
        <f>(G4+H4)*I4*2/300</f>
        <v>105.73333333333333</v>
      </c>
      <c r="U4" s="313">
        <f>SUM(G4:H4)*I4*2*4/1000</f>
        <v>126.88</v>
      </c>
      <c r="V4" s="313">
        <f>SUM(G4:H4)*I4*5*5*4/(1000*240)</f>
        <v>6.6083333333333334</v>
      </c>
      <c r="W4" s="313">
        <f>T4</f>
        <v>105.73333333333333</v>
      </c>
      <c r="X4" s="313">
        <f>W4*2</f>
        <v>211.46666666666667</v>
      </c>
      <c r="Y4" s="313">
        <f>SUM(G4:H4)*I4*4/1000</f>
        <v>63.44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M14600</v>
      </c>
      <c r="D5" s="118" t="str">
        <f>'BD Team'!D10</f>
        <v>3 TRACK 4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4880</v>
      </c>
      <c r="H5" s="118">
        <f>'BD Team'!I10</f>
        <v>2745</v>
      </c>
      <c r="I5" s="118">
        <f>'BD Team'!J10</f>
        <v>1</v>
      </c>
      <c r="J5" s="103">
        <f t="shared" si="0"/>
        <v>144.1902384</v>
      </c>
      <c r="K5" s="172">
        <f>'BD Team'!K10</f>
        <v>934.57</v>
      </c>
      <c r="L5" s="171">
        <f t="shared" ref="L5:L53" si="1">K5*I5</f>
        <v>934.57</v>
      </c>
      <c r="M5" s="170">
        <f>L5*'Changable Values'!$D$4</f>
        <v>77569.31</v>
      </c>
      <c r="N5" s="170" t="str">
        <f>'BD Team'!E10</f>
        <v>24MM</v>
      </c>
      <c r="O5" s="172">
        <v>3005</v>
      </c>
      <c r="P5" s="241"/>
      <c r="Q5" s="173">
        <f t="shared" ref="Q5:Q13" si="2">50*10.764</f>
        <v>538.19999999999993</v>
      </c>
      <c r="R5" s="185"/>
      <c r="S5" s="312"/>
      <c r="T5" s="313">
        <f t="shared" ref="T5:T68" si="3">(G5+H5)*I5*2/300</f>
        <v>50.833333333333336</v>
      </c>
      <c r="U5" s="313">
        <f t="shared" ref="U5:U68" si="4">SUM(G5:H5)*I5*2*4/1000</f>
        <v>61</v>
      </c>
      <c r="V5" s="313">
        <f t="shared" ref="V5:V68" si="5">SUM(G5:H5)*I5*5*5*4/(1000*240)</f>
        <v>3.1770833333333335</v>
      </c>
      <c r="W5" s="313">
        <f t="shared" ref="W5:W68" si="6">T5</f>
        <v>50.833333333333336</v>
      </c>
      <c r="X5" s="313">
        <f t="shared" ref="X5:X68" si="7">W5*2</f>
        <v>101.66666666666667</v>
      </c>
      <c r="Y5" s="313">
        <f t="shared" ref="Y5:Y68" si="8">SUM(G5:H5)*I5*4/1000</f>
        <v>30.5</v>
      </c>
    </row>
    <row r="6" spans="1:25">
      <c r="A6" s="118">
        <f>'BD Team'!A11</f>
        <v>3</v>
      </c>
      <c r="B6" s="118" t="str">
        <f>'BD Team'!B11</f>
        <v>SD2</v>
      </c>
      <c r="C6" s="118" t="str">
        <f>'BD Team'!C11</f>
        <v>M14600</v>
      </c>
      <c r="D6" s="118" t="str">
        <f>'BD Team'!D11</f>
        <v>3 TRACK 4 SHUTTER SLIDING DOOR</v>
      </c>
      <c r="E6" s="118" t="str">
        <f>'BD Team'!F11</f>
        <v>SS</v>
      </c>
      <c r="F6" s="121" t="str">
        <f>'BD Team'!G11</f>
        <v>NA</v>
      </c>
      <c r="G6" s="118">
        <f>'BD Team'!H11</f>
        <v>4270</v>
      </c>
      <c r="H6" s="118">
        <f>'BD Team'!I11</f>
        <v>2745</v>
      </c>
      <c r="I6" s="118">
        <f>'BD Team'!J11</f>
        <v>1</v>
      </c>
      <c r="J6" s="103">
        <f t="shared" si="0"/>
        <v>126.1664586</v>
      </c>
      <c r="K6" s="172">
        <f>'BD Team'!K11</f>
        <v>897.06</v>
      </c>
      <c r="L6" s="171">
        <f t="shared" si="1"/>
        <v>897.06</v>
      </c>
      <c r="M6" s="170">
        <f>L6*'Changable Values'!$D$4</f>
        <v>74455.98</v>
      </c>
      <c r="N6" s="170" t="str">
        <f>'BD Team'!E11</f>
        <v>24MM</v>
      </c>
      <c r="O6" s="172">
        <v>3005</v>
      </c>
      <c r="P6" s="241"/>
      <c r="Q6" s="173">
        <f t="shared" si="2"/>
        <v>538.19999999999993</v>
      </c>
      <c r="R6" s="185"/>
      <c r="S6" s="312"/>
      <c r="T6" s="313">
        <f t="shared" si="3"/>
        <v>46.766666666666666</v>
      </c>
      <c r="U6" s="313">
        <f t="shared" si="4"/>
        <v>56.12</v>
      </c>
      <c r="V6" s="313">
        <f t="shared" si="5"/>
        <v>2.9229166666666666</v>
      </c>
      <c r="W6" s="313">
        <f t="shared" si="6"/>
        <v>46.766666666666666</v>
      </c>
      <c r="X6" s="313">
        <f t="shared" si="7"/>
        <v>93.533333333333331</v>
      </c>
      <c r="Y6" s="313">
        <f t="shared" si="8"/>
        <v>28.06</v>
      </c>
    </row>
    <row r="7" spans="1:25">
      <c r="A7" s="118">
        <f>'BD Team'!A12</f>
        <v>4</v>
      </c>
      <c r="B7" s="118" t="str">
        <f>'BD Team'!B12</f>
        <v>SD3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NA</v>
      </c>
      <c r="G7" s="118">
        <f>'BD Team'!H12</f>
        <v>3202</v>
      </c>
      <c r="H7" s="118">
        <f>'BD Team'!I12</f>
        <v>2745</v>
      </c>
      <c r="I7" s="118">
        <f>'BD Team'!J12</f>
        <v>1</v>
      </c>
      <c r="J7" s="103">
        <f t="shared" si="0"/>
        <v>94.610070359999995</v>
      </c>
      <c r="K7" s="172">
        <f>'BD Team'!K12</f>
        <v>544.84</v>
      </c>
      <c r="L7" s="171">
        <f t="shared" si="1"/>
        <v>544.84</v>
      </c>
      <c r="M7" s="170">
        <f>L7*'Changable Values'!$D$4</f>
        <v>45221.72</v>
      </c>
      <c r="N7" s="170" t="str">
        <f>'BD Team'!E12</f>
        <v>24MM</v>
      </c>
      <c r="O7" s="172">
        <v>3005</v>
      </c>
      <c r="P7" s="241"/>
      <c r="Q7" s="173">
        <f t="shared" si="2"/>
        <v>538.19999999999993</v>
      </c>
      <c r="R7" s="185"/>
      <c r="S7" s="312"/>
      <c r="T7" s="313">
        <f t="shared" si="3"/>
        <v>39.646666666666668</v>
      </c>
      <c r="U7" s="313">
        <f t="shared" si="4"/>
        <v>47.576000000000001</v>
      </c>
      <c r="V7" s="313">
        <f t="shared" si="5"/>
        <v>2.4779166666666668</v>
      </c>
      <c r="W7" s="313">
        <f t="shared" si="6"/>
        <v>39.646666666666668</v>
      </c>
      <c r="X7" s="313">
        <f t="shared" si="7"/>
        <v>79.293333333333337</v>
      </c>
      <c r="Y7" s="313">
        <f t="shared" si="8"/>
        <v>23.788</v>
      </c>
    </row>
    <row r="8" spans="1:25">
      <c r="A8" s="118">
        <f>'BD Team'!A13</f>
        <v>5</v>
      </c>
      <c r="B8" s="118" t="str">
        <f>'BD Team'!B13</f>
        <v>W</v>
      </c>
      <c r="C8" s="118" t="str">
        <f>'BD Team'!C13</f>
        <v>M14600</v>
      </c>
      <c r="D8" s="118" t="str">
        <f>'BD Team'!D13</f>
        <v>3 TRACK 4 SHUTTER SLIDING DOOR WITH INTERNAL RAILING</v>
      </c>
      <c r="E8" s="118" t="str">
        <f>'BD Team'!F13</f>
        <v>SS</v>
      </c>
      <c r="F8" s="121" t="str">
        <f>'BD Team'!G13</f>
        <v>NA</v>
      </c>
      <c r="G8" s="118">
        <f>'BD Team'!H13</f>
        <v>5795</v>
      </c>
      <c r="H8" s="118">
        <f>'BD Team'!I13</f>
        <v>2286</v>
      </c>
      <c r="I8" s="118">
        <f>'BD Team'!J13</f>
        <v>1</v>
      </c>
      <c r="J8" s="103">
        <f t="shared" si="0"/>
        <v>142.59469067999999</v>
      </c>
      <c r="K8" s="172">
        <f>'BD Team'!K13</f>
        <v>923.69</v>
      </c>
      <c r="L8" s="171">
        <f t="shared" si="1"/>
        <v>923.69</v>
      </c>
      <c r="M8" s="170">
        <f>L8*'Changable Values'!$D$4</f>
        <v>76666.27</v>
      </c>
      <c r="N8" s="170" t="str">
        <f>'BD Team'!E13</f>
        <v>24MM &amp; 12MM</v>
      </c>
      <c r="O8" s="172">
        <v>3005</v>
      </c>
      <c r="P8" s="241">
        <v>1890</v>
      </c>
      <c r="Q8" s="173">
        <f t="shared" si="2"/>
        <v>538.19999999999993</v>
      </c>
      <c r="R8" s="185"/>
      <c r="S8" s="312"/>
      <c r="T8" s="313">
        <f t="shared" si="3"/>
        <v>53.873333333333335</v>
      </c>
      <c r="U8" s="313">
        <f t="shared" si="4"/>
        <v>64.647999999999996</v>
      </c>
      <c r="V8" s="313">
        <f t="shared" si="5"/>
        <v>3.3670833333333334</v>
      </c>
      <c r="W8" s="313">
        <f t="shared" si="6"/>
        <v>53.873333333333335</v>
      </c>
      <c r="X8" s="313">
        <f t="shared" si="7"/>
        <v>107.74666666666667</v>
      </c>
      <c r="Y8" s="313">
        <f t="shared" si="8"/>
        <v>32.323999999999998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M14600</v>
      </c>
      <c r="D9" s="118" t="str">
        <f>'BD Team'!D14</f>
        <v>3 TRACK 4 SHUTTER SLIDING DOOR WITH INTERNAL RAILING</v>
      </c>
      <c r="E9" s="118" t="str">
        <f>'BD Team'!F14</f>
        <v>SS</v>
      </c>
      <c r="F9" s="121" t="str">
        <f>'BD Team'!G14</f>
        <v>NA</v>
      </c>
      <c r="G9" s="118">
        <f>'BD Team'!H14</f>
        <v>4880</v>
      </c>
      <c r="H9" s="118">
        <f>'BD Team'!I14</f>
        <v>2286</v>
      </c>
      <c r="I9" s="118">
        <f>'BD Team'!J14</f>
        <v>3</v>
      </c>
      <c r="J9" s="103">
        <f t="shared" si="0"/>
        <v>360.23921855999998</v>
      </c>
      <c r="K9" s="172">
        <f>'BD Team'!K14</f>
        <v>876.98</v>
      </c>
      <c r="L9" s="171">
        <f t="shared" si="1"/>
        <v>2630.94</v>
      </c>
      <c r="M9" s="170">
        <f>L9*'Changable Values'!$D$4</f>
        <v>218368.02000000002</v>
      </c>
      <c r="N9" s="170" t="str">
        <f>'BD Team'!E14</f>
        <v>24MM &amp; 12MM</v>
      </c>
      <c r="O9" s="172">
        <v>3005</v>
      </c>
      <c r="P9" s="241">
        <v>1890</v>
      </c>
      <c r="Q9" s="173">
        <f t="shared" si="2"/>
        <v>538.19999999999993</v>
      </c>
      <c r="R9" s="185"/>
      <c r="S9" s="312"/>
      <c r="T9" s="313">
        <f t="shared" si="3"/>
        <v>143.32</v>
      </c>
      <c r="U9" s="313">
        <f t="shared" si="4"/>
        <v>171.98400000000001</v>
      </c>
      <c r="V9" s="313">
        <f t="shared" si="5"/>
        <v>8.9574999999999996</v>
      </c>
      <c r="W9" s="313">
        <f t="shared" si="6"/>
        <v>143.32</v>
      </c>
      <c r="X9" s="313">
        <f t="shared" si="7"/>
        <v>286.64</v>
      </c>
      <c r="Y9" s="313">
        <f t="shared" si="8"/>
        <v>85.992000000000004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M14600</v>
      </c>
      <c r="D10" s="118" t="str">
        <f>'BD Team'!D15</f>
        <v>3 TRACK 4 SHUTTER SLIDING DOOR WITH INTERNAL RAILING</v>
      </c>
      <c r="E10" s="118" t="str">
        <f>'BD Team'!F15</f>
        <v>SS</v>
      </c>
      <c r="F10" s="121" t="str">
        <f>'BD Team'!G15</f>
        <v>NA</v>
      </c>
      <c r="G10" s="118">
        <f>'BD Team'!H15</f>
        <v>3660</v>
      </c>
      <c r="H10" s="118">
        <f>'BD Team'!I15</f>
        <v>2286</v>
      </c>
      <c r="I10" s="118">
        <f>'BD Team'!J15</f>
        <v>1</v>
      </c>
      <c r="J10" s="103">
        <f t="shared" si="0"/>
        <v>90.059804639999996</v>
      </c>
      <c r="K10" s="172">
        <f>'BD Team'!K15</f>
        <v>859.87</v>
      </c>
      <c r="L10" s="171">
        <f t="shared" si="1"/>
        <v>859.87</v>
      </c>
      <c r="M10" s="170">
        <f>L10*'Changable Values'!$D$4</f>
        <v>71369.210000000006</v>
      </c>
      <c r="N10" s="170" t="str">
        <f>'BD Team'!E15</f>
        <v>24MM &amp; 12MM</v>
      </c>
      <c r="O10" s="172">
        <v>3005</v>
      </c>
      <c r="P10" s="241">
        <v>1890</v>
      </c>
      <c r="Q10" s="173">
        <f t="shared" si="2"/>
        <v>538.19999999999993</v>
      </c>
      <c r="R10" s="185"/>
      <c r="S10" s="312"/>
      <c r="T10" s="313">
        <f t="shared" si="3"/>
        <v>39.64</v>
      </c>
      <c r="U10" s="313">
        <f t="shared" si="4"/>
        <v>47.567999999999998</v>
      </c>
      <c r="V10" s="313">
        <f t="shared" si="5"/>
        <v>2.4775</v>
      </c>
      <c r="W10" s="313">
        <f t="shared" si="6"/>
        <v>39.64</v>
      </c>
      <c r="X10" s="313">
        <f t="shared" si="7"/>
        <v>79.28</v>
      </c>
      <c r="Y10" s="313">
        <f t="shared" si="8"/>
        <v>23.783999999999999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M14600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NA</v>
      </c>
      <c r="G11" s="118">
        <f>'BD Team'!H16</f>
        <v>1525</v>
      </c>
      <c r="H11" s="118">
        <f>'BD Team'!I16</f>
        <v>1830</v>
      </c>
      <c r="I11" s="118">
        <f>'BD Team'!J16</f>
        <v>2</v>
      </c>
      <c r="J11" s="103">
        <f t="shared" si="0"/>
        <v>60.079265999999997</v>
      </c>
      <c r="K11" s="172">
        <f>'BD Team'!K16</f>
        <v>333.4</v>
      </c>
      <c r="L11" s="171">
        <f t="shared" si="1"/>
        <v>666.8</v>
      </c>
      <c r="M11" s="170">
        <f>L11*'Changable Values'!$D$4</f>
        <v>55344.399999999994</v>
      </c>
      <c r="N11" s="170" t="str">
        <f>'BD Team'!E16</f>
        <v>24MM</v>
      </c>
      <c r="O11" s="172">
        <v>3005</v>
      </c>
      <c r="P11" s="241"/>
      <c r="Q11" s="173">
        <f t="shared" si="2"/>
        <v>538.19999999999993</v>
      </c>
      <c r="R11" s="185"/>
      <c r="S11" s="312"/>
      <c r="T11" s="313">
        <f t="shared" si="3"/>
        <v>44.733333333333334</v>
      </c>
      <c r="U11" s="313">
        <f t="shared" si="4"/>
        <v>53.68</v>
      </c>
      <c r="V11" s="313">
        <f t="shared" si="5"/>
        <v>2.7958333333333334</v>
      </c>
      <c r="W11" s="313">
        <f t="shared" si="6"/>
        <v>44.733333333333334</v>
      </c>
      <c r="X11" s="313">
        <f t="shared" si="7"/>
        <v>89.466666666666669</v>
      </c>
      <c r="Y11" s="313">
        <f t="shared" si="8"/>
        <v>26.84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M14600</v>
      </c>
      <c r="D12" s="118" t="str">
        <f>'BD Team'!D17</f>
        <v>3 TRACK 2 SHUTTER SLIDING DOOR WITH INTERNAL RAILING</v>
      </c>
      <c r="E12" s="118" t="str">
        <f>'BD Team'!F17</f>
        <v>SS</v>
      </c>
      <c r="F12" s="121" t="str">
        <f>'BD Team'!G17</f>
        <v>NA</v>
      </c>
      <c r="G12" s="118">
        <f>'BD Team'!H17</f>
        <v>1525</v>
      </c>
      <c r="H12" s="118">
        <f>'BD Team'!I17</f>
        <v>2286</v>
      </c>
      <c r="I12" s="118">
        <f>'BD Team'!J17</f>
        <v>4</v>
      </c>
      <c r="J12" s="103">
        <f t="shared" si="0"/>
        <v>150.09967439999997</v>
      </c>
      <c r="K12" s="172">
        <f>'BD Team'!K17</f>
        <v>404.59</v>
      </c>
      <c r="L12" s="171">
        <f t="shared" si="1"/>
        <v>1618.36</v>
      </c>
      <c r="M12" s="170">
        <f>L12*'Changable Values'!$D$4</f>
        <v>134323.88</v>
      </c>
      <c r="N12" s="170" t="str">
        <f>'BD Team'!E17</f>
        <v>24MM &amp; 12MM</v>
      </c>
      <c r="O12" s="172">
        <v>3005</v>
      </c>
      <c r="P12" s="241">
        <v>1890</v>
      </c>
      <c r="Q12" s="173">
        <f t="shared" si="2"/>
        <v>538.19999999999993</v>
      </c>
      <c r="R12" s="185"/>
      <c r="S12" s="312"/>
      <c r="T12" s="313">
        <f t="shared" si="3"/>
        <v>101.62666666666667</v>
      </c>
      <c r="U12" s="313">
        <f t="shared" si="4"/>
        <v>121.952</v>
      </c>
      <c r="V12" s="313">
        <f t="shared" si="5"/>
        <v>6.3516666666666666</v>
      </c>
      <c r="W12" s="313">
        <f t="shared" si="6"/>
        <v>101.62666666666667</v>
      </c>
      <c r="X12" s="313">
        <f t="shared" si="7"/>
        <v>203.25333333333333</v>
      </c>
      <c r="Y12" s="313">
        <f t="shared" si="8"/>
        <v>60.975999999999999</v>
      </c>
    </row>
    <row r="13" spans="1:25">
      <c r="A13" s="118">
        <f>'BD Team'!A18</f>
        <v>10</v>
      </c>
      <c r="B13" s="118" t="str">
        <f>'BD Team'!B18</f>
        <v>KW</v>
      </c>
      <c r="C13" s="118" t="str">
        <f>'BD Team'!C18</f>
        <v>M14600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NA</v>
      </c>
      <c r="G13" s="118">
        <f>'BD Team'!H18</f>
        <v>1525</v>
      </c>
      <c r="H13" s="118">
        <f>'BD Team'!I18</f>
        <v>1525</v>
      </c>
      <c r="I13" s="118">
        <f>'BD Team'!J18</f>
        <v>2</v>
      </c>
      <c r="J13" s="103">
        <f t="shared" si="0"/>
        <v>50.066054999999999</v>
      </c>
      <c r="K13" s="172">
        <f>'BD Team'!K18</f>
        <v>309.94</v>
      </c>
      <c r="L13" s="171">
        <f t="shared" si="1"/>
        <v>619.88</v>
      </c>
      <c r="M13" s="170">
        <f>L13*'Changable Values'!$D$4</f>
        <v>51450.04</v>
      </c>
      <c r="N13" s="170" t="str">
        <f>'BD Team'!E18</f>
        <v>24MM</v>
      </c>
      <c r="O13" s="172">
        <v>3005</v>
      </c>
      <c r="P13" s="241"/>
      <c r="Q13" s="173">
        <f t="shared" si="2"/>
        <v>538.19999999999993</v>
      </c>
      <c r="R13" s="185"/>
      <c r="S13" s="312"/>
      <c r="T13" s="313">
        <f t="shared" si="3"/>
        <v>40.666666666666664</v>
      </c>
      <c r="U13" s="313">
        <f t="shared" si="4"/>
        <v>48.8</v>
      </c>
      <c r="V13" s="313">
        <f t="shared" si="5"/>
        <v>2.5416666666666665</v>
      </c>
      <c r="W13" s="313">
        <f t="shared" si="6"/>
        <v>40.666666666666664</v>
      </c>
      <c r="X13" s="313">
        <f t="shared" si="7"/>
        <v>81.333333333333329</v>
      </c>
      <c r="Y13" s="313">
        <f t="shared" si="8"/>
        <v>24.4</v>
      </c>
    </row>
    <row r="14" spans="1:25">
      <c r="A14" s="118">
        <f>'BD Team'!A19</f>
        <v>11</v>
      </c>
      <c r="B14" s="118" t="str">
        <f>'BD Team'!B19</f>
        <v>W5</v>
      </c>
      <c r="C14" s="118" t="str">
        <f>'BD Team'!C19</f>
        <v>M15000</v>
      </c>
      <c r="D14" s="118" t="str">
        <f>'BD Team'!D19</f>
        <v>SINGLE DOOR WITH INTERNAL RAILING</v>
      </c>
      <c r="E14" s="118" t="str">
        <f>'BD Team'!F19</f>
        <v>NO</v>
      </c>
      <c r="F14" s="121" t="str">
        <f>'BD Team'!G19</f>
        <v>NA</v>
      </c>
      <c r="G14" s="118">
        <f>'BD Team'!H19</f>
        <v>915</v>
      </c>
      <c r="H14" s="118">
        <f>'BD Team'!I19</f>
        <v>2286</v>
      </c>
      <c r="I14" s="118">
        <f>'BD Team'!J19</f>
        <v>3</v>
      </c>
      <c r="J14" s="103">
        <f t="shared" si="0"/>
        <v>67.544853479999986</v>
      </c>
      <c r="K14" s="172">
        <f>'BD Team'!K19</f>
        <v>248.98</v>
      </c>
      <c r="L14" s="171">
        <f t="shared" si="1"/>
        <v>746.93999999999994</v>
      </c>
      <c r="M14" s="170">
        <f>L14*'Changable Values'!$D$4</f>
        <v>61996.02</v>
      </c>
      <c r="N14" s="170" t="str">
        <f>'BD Team'!E19</f>
        <v>10MM &amp; 12MM</v>
      </c>
      <c r="O14" s="172">
        <v>3005</v>
      </c>
      <c r="P14" s="241">
        <v>1890</v>
      </c>
      <c r="Q14" s="173"/>
      <c r="R14" s="185"/>
      <c r="S14" s="312"/>
      <c r="T14" s="313">
        <f t="shared" si="3"/>
        <v>64.02</v>
      </c>
      <c r="U14" s="313">
        <f t="shared" si="4"/>
        <v>76.823999999999998</v>
      </c>
      <c r="V14" s="313">
        <f t="shared" si="5"/>
        <v>4.0012499999999998</v>
      </c>
      <c r="W14" s="313">
        <f t="shared" si="6"/>
        <v>64.02</v>
      </c>
      <c r="X14" s="313">
        <f t="shared" si="7"/>
        <v>128.04</v>
      </c>
      <c r="Y14" s="313">
        <f t="shared" si="8"/>
        <v>38.411999999999999</v>
      </c>
    </row>
    <row r="15" spans="1:25">
      <c r="A15" s="118">
        <f>'BD Team'!A20</f>
        <v>12</v>
      </c>
      <c r="B15" s="118" t="str">
        <f>'BD Team'!B20</f>
        <v>W6</v>
      </c>
      <c r="C15" s="118" t="str">
        <f>'BD Team'!C20</f>
        <v>M15000</v>
      </c>
      <c r="D15" s="118" t="str">
        <f>'BD Team'!D20</f>
        <v>SINGLE DOOR WITH INTERNAL RAILING</v>
      </c>
      <c r="E15" s="118" t="str">
        <f>'BD Team'!F20</f>
        <v>NO</v>
      </c>
      <c r="F15" s="121" t="str">
        <f>'BD Team'!G20</f>
        <v>NA</v>
      </c>
      <c r="G15" s="118">
        <f>'BD Team'!H20</f>
        <v>534</v>
      </c>
      <c r="H15" s="118">
        <f>'BD Team'!I20</f>
        <v>2286</v>
      </c>
      <c r="I15" s="118">
        <f>'BD Team'!J20</f>
        <v>2</v>
      </c>
      <c r="J15" s="103">
        <f t="shared" si="0"/>
        <v>26.279746272000001</v>
      </c>
      <c r="K15" s="172">
        <f>'BD Team'!K20</f>
        <v>223.28</v>
      </c>
      <c r="L15" s="171">
        <f t="shared" si="1"/>
        <v>446.56</v>
      </c>
      <c r="M15" s="170">
        <f>L15*'Changable Values'!$D$4</f>
        <v>37064.480000000003</v>
      </c>
      <c r="N15" s="170" t="str">
        <f>'BD Team'!E20</f>
        <v>10MM &amp; 12MM</v>
      </c>
      <c r="O15" s="172">
        <v>3005</v>
      </c>
      <c r="P15" s="241">
        <v>1890</v>
      </c>
      <c r="Q15" s="173"/>
      <c r="R15" s="185"/>
      <c r="S15" s="312"/>
      <c r="T15" s="313">
        <f t="shared" si="3"/>
        <v>37.6</v>
      </c>
      <c r="U15" s="313">
        <f t="shared" si="4"/>
        <v>45.12</v>
      </c>
      <c r="V15" s="313">
        <f t="shared" si="5"/>
        <v>2.35</v>
      </c>
      <c r="W15" s="313">
        <f t="shared" si="6"/>
        <v>37.6</v>
      </c>
      <c r="X15" s="313">
        <f t="shared" si="7"/>
        <v>75.2</v>
      </c>
      <c r="Y15" s="313">
        <f t="shared" si="8"/>
        <v>22.56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M15000</v>
      </c>
      <c r="D16" s="118" t="str">
        <f>'BD Team'!D21</f>
        <v>TOP HUNG WINDOW WITH BOTTOM FIXED</v>
      </c>
      <c r="E16" s="118" t="str">
        <f>'BD Team'!F21</f>
        <v>NO</v>
      </c>
      <c r="F16" s="121" t="str">
        <f>'BD Team'!G21</f>
        <v>NA</v>
      </c>
      <c r="G16" s="118">
        <f>'BD Team'!H21</f>
        <v>610</v>
      </c>
      <c r="H16" s="118">
        <f>'BD Team'!I21</f>
        <v>1525</v>
      </c>
      <c r="I16" s="118">
        <f>'BD Team'!J21</f>
        <v>1</v>
      </c>
      <c r="J16" s="103">
        <f t="shared" si="0"/>
        <v>10.013211</v>
      </c>
      <c r="K16" s="172">
        <f>'BD Team'!K21</f>
        <v>405.82</v>
      </c>
      <c r="L16" s="171">
        <f t="shared" si="1"/>
        <v>405.82</v>
      </c>
      <c r="M16" s="170">
        <f>L16*'Changable Values'!$D$4</f>
        <v>33683.06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3"/>
        <v>14.233333333333333</v>
      </c>
      <c r="U16" s="313">
        <f t="shared" si="4"/>
        <v>17.079999999999998</v>
      </c>
      <c r="V16" s="313">
        <f t="shared" si="5"/>
        <v>0.88958333333333328</v>
      </c>
      <c r="W16" s="313">
        <f t="shared" si="6"/>
        <v>14.233333333333333</v>
      </c>
      <c r="X16" s="313">
        <f t="shared" si="7"/>
        <v>28.466666666666665</v>
      </c>
      <c r="Y16" s="313">
        <f t="shared" si="8"/>
        <v>8.5399999999999991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7941.6199999999981</v>
      </c>
      <c r="L104" s="168">
        <f>SUM(L4:L103)</f>
        <v>13252.53</v>
      </c>
      <c r="M104" s="168">
        <f>SUM(M4:M103)</f>
        <v>1099959.9900000002</v>
      </c>
      <c r="T104" s="314">
        <f t="shared" ref="T104:Y104" si="17">SUM(T4:T103)</f>
        <v>782.69333333333327</v>
      </c>
      <c r="U104" s="314">
        <f t="shared" si="17"/>
        <v>939.23199999999997</v>
      </c>
      <c r="V104" s="314">
        <f t="shared" si="17"/>
        <v>48.918333333333329</v>
      </c>
      <c r="W104" s="314">
        <f t="shared" si="17"/>
        <v>782.69333333333327</v>
      </c>
      <c r="X104" s="314">
        <f t="shared" si="17"/>
        <v>1565.3866666666665</v>
      </c>
      <c r="Y104" s="314">
        <f t="shared" si="17"/>
        <v>469.61599999999999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1" sqref="C8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N17" sqref="N1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DOOR</v>
      </c>
      <c r="D8" s="131" t="str">
        <f>Pricing!B4</f>
        <v>SD</v>
      </c>
      <c r="E8" s="132" t="str">
        <f>Pricing!N4</f>
        <v>24MM</v>
      </c>
      <c r="F8" s="68">
        <f>Pricing!G4</f>
        <v>4880</v>
      </c>
      <c r="G8" s="68">
        <f>Pricing!H4</f>
        <v>3050</v>
      </c>
      <c r="H8" s="100">
        <f t="shared" ref="H8:H57" si="0">(F8*G8)/1000000</f>
        <v>14.884</v>
      </c>
      <c r="I8" s="70">
        <f>Pricing!I4</f>
        <v>2</v>
      </c>
      <c r="J8" s="69">
        <f t="shared" ref="J8" si="1">H8*I8</f>
        <v>29.768000000000001</v>
      </c>
      <c r="K8" s="71">
        <f t="shared" ref="K8" si="2">J8*10.764</f>
        <v>320.422752</v>
      </c>
      <c r="L8" s="69"/>
      <c r="M8" s="72"/>
      <c r="N8" s="72"/>
      <c r="O8" s="72">
        <f t="shared" ref="O8:O35" si="3">N8*M8*L8/1000000</f>
        <v>0</v>
      </c>
      <c r="P8" s="73">
        <f>Pricing!M4</f>
        <v>162447.6</v>
      </c>
      <c r="Q8" s="74">
        <f t="shared" ref="Q8:Q56" si="4">P8*$Q$6</f>
        <v>16244.760000000002</v>
      </c>
      <c r="R8" s="74">
        <f t="shared" ref="R8:R56" si="5">(P8+Q8)*$R$6</f>
        <v>19656.159600000003</v>
      </c>
      <c r="S8" s="74">
        <f t="shared" ref="S8:S56" si="6">(P8+Q8+R8)*$S$6</f>
        <v>991.74259800000016</v>
      </c>
      <c r="T8" s="74">
        <f t="shared" ref="T8:T56" si="7">(P8+Q8+R8+S8)*$T$6</f>
        <v>1993.4026219800005</v>
      </c>
      <c r="U8" s="72">
        <f t="shared" ref="U8:U56" si="8">SUM(P8:T8)</f>
        <v>201333.66481998004</v>
      </c>
      <c r="V8" s="74">
        <f t="shared" ref="V8:V56" si="9">U8*$V$6</f>
        <v>3020.0049722997005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89452.84</v>
      </c>
      <c r="AE8" s="76">
        <f>((((F8+G8)*2)/305)*I8*$AE$7)</f>
        <v>2600</v>
      </c>
      <c r="AF8" s="346">
        <f>(((((F8*4)+(G8*4))/1000)*$AF$6*$AG$6)/300)*I8*$AF$7</f>
        <v>2664.4800000000005</v>
      </c>
      <c r="AG8" s="347"/>
      <c r="AH8" s="76">
        <f>(((F8+G8))*I8/1000)*8*$AH$7</f>
        <v>95.16</v>
      </c>
      <c r="AI8" s="76">
        <f t="shared" ref="AI8:AI57" si="15">(((F8+G8)*2*I8)/1000)*2*$AI$7</f>
        <v>317.2</v>
      </c>
      <c r="AJ8" s="76">
        <f>J8*Pricing!Q4</f>
        <v>16021.137599999998</v>
      </c>
      <c r="AK8" s="76">
        <f>J8*Pricing!R4</f>
        <v>0</v>
      </c>
      <c r="AL8" s="76">
        <f t="shared" ref="AL8:AL39" si="16">J8*$AL$6</f>
        <v>32042.275199999996</v>
      </c>
      <c r="AM8" s="77">
        <f t="shared" ref="AM8:AM39" si="17">$AM$6*J8</f>
        <v>0</v>
      </c>
      <c r="AN8" s="76">
        <f t="shared" ref="AN8:AN39" si="18">$AN$6*J8</f>
        <v>25633.820159999996</v>
      </c>
      <c r="AO8" s="72">
        <f t="shared" ref="AO8:AO39" si="19">SUM(U8:V8)+SUM(AC8:AI8)-AD8</f>
        <v>210030.50979227977</v>
      </c>
      <c r="AP8" s="74">
        <f t="shared" ref="AP8:AP39" si="20">AO8*$AP$6</f>
        <v>262538.13724034972</v>
      </c>
      <c r="AQ8" s="74">
        <f t="shared" ref="AQ8:AQ56" si="21">(AO8+AP8)*$AQ$6</f>
        <v>0</v>
      </c>
      <c r="AR8" s="74">
        <f t="shared" ref="AR8:AR39" si="22">SUM(AO8:AQ8)/J8</f>
        <v>15875.055328964978</v>
      </c>
      <c r="AS8" s="72">
        <f t="shared" ref="AS8:AS39" si="23">SUM(AJ8:AQ8)+AD8+AB8</f>
        <v>635718.71999262937</v>
      </c>
      <c r="AT8" s="72">
        <f t="shared" ref="AT8:AT39" si="24">AS8/J8</f>
        <v>21355.775328964974</v>
      </c>
      <c r="AU8" s="78">
        <f t="shared" ref="AU8:AU56" si="25">AT8/10.764</f>
        <v>1983.999937659325</v>
      </c>
      <c r="AV8" s="79">
        <f t="shared" ref="AV8:AV39" si="26">K8/$K$109</f>
        <v>0.1950982572183603</v>
      </c>
      <c r="AW8" s="80">
        <f t="shared" ref="AW8:AW39" si="27">(U8+V8)/(J8*10.764)</f>
        <v>637.76266983775156</v>
      </c>
      <c r="AX8" s="81">
        <f t="shared" ref="AX8:AX39" si="28">SUM(W8:AN8,AP8)/(J8*10.764)</f>
        <v>1346.2372678215738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SHUTTER SLIDING DOOR</v>
      </c>
      <c r="D9" s="131" t="str">
        <f>Pricing!B5</f>
        <v>SD1</v>
      </c>
      <c r="E9" s="132" t="str">
        <f>Pricing!N5</f>
        <v>24MM</v>
      </c>
      <c r="F9" s="68">
        <f>Pricing!G5</f>
        <v>4880</v>
      </c>
      <c r="G9" s="68">
        <f>Pricing!H5</f>
        <v>2745</v>
      </c>
      <c r="H9" s="100">
        <f t="shared" si="0"/>
        <v>13.3956</v>
      </c>
      <c r="I9" s="70">
        <f>Pricing!I5</f>
        <v>1</v>
      </c>
      <c r="J9" s="69">
        <f t="shared" ref="J9:J58" si="30">H9*I9</f>
        <v>13.3956</v>
      </c>
      <c r="K9" s="71">
        <f t="shared" ref="K9:K58" si="31">J9*10.764</f>
        <v>144.1902384</v>
      </c>
      <c r="L9" s="69"/>
      <c r="M9" s="72"/>
      <c r="N9" s="72"/>
      <c r="O9" s="72">
        <f t="shared" si="3"/>
        <v>0</v>
      </c>
      <c r="P9" s="73">
        <f>Pricing!M5</f>
        <v>77569.31</v>
      </c>
      <c r="Q9" s="74">
        <f t="shared" ref="Q9:Q14" si="32">P9*$Q$6</f>
        <v>7756.9310000000005</v>
      </c>
      <c r="R9" s="74">
        <f t="shared" ref="R9:R14" si="33">(P9+Q9)*$R$6</f>
        <v>9385.8865100000003</v>
      </c>
      <c r="S9" s="74">
        <f t="shared" ref="S9:S14" si="34">(P9+Q9+R9)*$S$6</f>
        <v>473.56063754999997</v>
      </c>
      <c r="T9" s="74">
        <f t="shared" ref="T9:T14" si="35">(P9+Q9+R9+S9)*$T$6</f>
        <v>951.85688147550002</v>
      </c>
      <c r="U9" s="72">
        <f t="shared" ref="U9:U14" si="36">SUM(P9:T9)</f>
        <v>96137.545029025496</v>
      </c>
      <c r="V9" s="74">
        <f t="shared" ref="V9:V14" si="37">U9*$V$6</f>
        <v>1442.0631754353824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40253.777999999998</v>
      </c>
      <c r="AE9" s="76">
        <f t="shared" ref="AE9:AE57" si="43">((((F9+G9)*2)/305)*I9*$AE$7)</f>
        <v>1250</v>
      </c>
      <c r="AF9" s="346">
        <f t="shared" ref="AF9:AF57" si="44">(((((F9*4)+(G9*4))/1000)*$AF$6*$AG$6)/300)*I9*$AF$7</f>
        <v>1281</v>
      </c>
      <c r="AG9" s="347"/>
      <c r="AH9" s="76">
        <f t="shared" ref="AH9:AH72" si="45">(((F9+G9))*I9/1000)*8*$AH$7</f>
        <v>45.75</v>
      </c>
      <c r="AI9" s="76">
        <f t="shared" si="15"/>
        <v>152.5</v>
      </c>
      <c r="AJ9" s="76">
        <f>J9*Pricing!Q5</f>
        <v>7209.511919999999</v>
      </c>
      <c r="AK9" s="76">
        <f>J9*Pricing!R5</f>
        <v>0</v>
      </c>
      <c r="AL9" s="76">
        <f t="shared" si="16"/>
        <v>14419.023839999998</v>
      </c>
      <c r="AM9" s="77">
        <f t="shared" si="17"/>
        <v>0</v>
      </c>
      <c r="AN9" s="76">
        <f t="shared" si="18"/>
        <v>11535.219071999998</v>
      </c>
      <c r="AO9" s="72">
        <f t="shared" si="19"/>
        <v>100308.85820446088</v>
      </c>
      <c r="AP9" s="74">
        <f t="shared" si="20"/>
        <v>125386.0727555761</v>
      </c>
      <c r="AQ9" s="74">
        <f t="shared" ref="AQ9:AQ14" si="46">(AO9+AP9)*$AQ$6</f>
        <v>0</v>
      </c>
      <c r="AR9" s="74">
        <f t="shared" si="22"/>
        <v>16848.437618325195</v>
      </c>
      <c r="AS9" s="72">
        <f t="shared" si="23"/>
        <v>299112.46379203699</v>
      </c>
      <c r="AT9" s="72">
        <f t="shared" si="24"/>
        <v>22329.157618325196</v>
      </c>
      <c r="AU9" s="78">
        <f t="shared" ref="AU9:AU14" si="47">AT9/10.764</f>
        <v>2074.4293588187661</v>
      </c>
      <c r="AV9" s="79">
        <f t="shared" si="26"/>
        <v>8.7794215748262128E-2</v>
      </c>
      <c r="AW9" s="80">
        <f t="shared" si="27"/>
        <v>676.74212406642971</v>
      </c>
      <c r="AX9" s="81">
        <f t="shared" si="28"/>
        <v>1397.6872347523358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4 SHUTTER SLIDING DOOR</v>
      </c>
      <c r="D10" s="131" t="str">
        <f>Pricing!B6</f>
        <v>SD2</v>
      </c>
      <c r="E10" s="132" t="str">
        <f>Pricing!N6</f>
        <v>24MM</v>
      </c>
      <c r="F10" s="68">
        <f>Pricing!G6</f>
        <v>4270</v>
      </c>
      <c r="G10" s="68">
        <f>Pricing!H6</f>
        <v>2745</v>
      </c>
      <c r="H10" s="100">
        <f t="shared" si="0"/>
        <v>11.72115</v>
      </c>
      <c r="I10" s="70">
        <f>Pricing!I6</f>
        <v>1</v>
      </c>
      <c r="J10" s="69">
        <f t="shared" si="30"/>
        <v>11.72115</v>
      </c>
      <c r="K10" s="71">
        <f t="shared" si="31"/>
        <v>126.16645859999998</v>
      </c>
      <c r="L10" s="69"/>
      <c r="M10" s="72"/>
      <c r="N10" s="72"/>
      <c r="O10" s="72">
        <f t="shared" si="3"/>
        <v>0</v>
      </c>
      <c r="P10" s="73">
        <f>Pricing!M6</f>
        <v>74455.98</v>
      </c>
      <c r="Q10" s="74">
        <f t="shared" si="32"/>
        <v>7445.598</v>
      </c>
      <c r="R10" s="74">
        <f t="shared" si="33"/>
        <v>9009.1735799999988</v>
      </c>
      <c r="S10" s="74">
        <f t="shared" si="34"/>
        <v>454.55375789999999</v>
      </c>
      <c r="T10" s="74">
        <f t="shared" si="35"/>
        <v>913.65305337899997</v>
      </c>
      <c r="U10" s="72">
        <f t="shared" si="36"/>
        <v>92278.958391278997</v>
      </c>
      <c r="V10" s="74">
        <f t="shared" si="37"/>
        <v>1384.1843758691848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35222.05575</v>
      </c>
      <c r="AE10" s="76">
        <f t="shared" si="43"/>
        <v>1150</v>
      </c>
      <c r="AF10" s="346">
        <f t="shared" si="44"/>
        <v>1178.5199999999998</v>
      </c>
      <c r="AG10" s="347"/>
      <c r="AH10" s="76">
        <f t="shared" si="45"/>
        <v>42.089999999999996</v>
      </c>
      <c r="AI10" s="76">
        <f t="shared" si="15"/>
        <v>140.29999999999998</v>
      </c>
      <c r="AJ10" s="76">
        <f>J10*Pricing!Q6</f>
        <v>6308.3229299999994</v>
      </c>
      <c r="AK10" s="76">
        <f>J10*Pricing!R6</f>
        <v>0</v>
      </c>
      <c r="AL10" s="76">
        <f t="shared" si="16"/>
        <v>12616.645859999999</v>
      </c>
      <c r="AM10" s="77">
        <f t="shared" si="17"/>
        <v>0</v>
      </c>
      <c r="AN10" s="76">
        <f t="shared" si="18"/>
        <v>10093.316687999999</v>
      </c>
      <c r="AO10" s="72">
        <f t="shared" si="19"/>
        <v>96174.052767148183</v>
      </c>
      <c r="AP10" s="74">
        <f t="shared" si="20"/>
        <v>120217.56595893523</v>
      </c>
      <c r="AQ10" s="74">
        <f t="shared" si="46"/>
        <v>0</v>
      </c>
      <c r="AR10" s="74">
        <f t="shared" si="22"/>
        <v>18461.637187996352</v>
      </c>
      <c r="AS10" s="72">
        <f t="shared" si="23"/>
        <v>280631.95995408343</v>
      </c>
      <c r="AT10" s="72">
        <f t="shared" si="24"/>
        <v>23942.357187996353</v>
      </c>
      <c r="AU10" s="78">
        <f t="shared" si="47"/>
        <v>2224.2992556666995</v>
      </c>
      <c r="AV10" s="79">
        <f t="shared" si="26"/>
        <v>7.6819938779729355E-2</v>
      </c>
      <c r="AW10" s="80">
        <f t="shared" si="27"/>
        <v>742.37752098677197</v>
      </c>
      <c r="AX10" s="81">
        <f t="shared" si="28"/>
        <v>1481.9217346799273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SD3</v>
      </c>
      <c r="E11" s="132" t="str">
        <f>Pricing!N7</f>
        <v>24MM</v>
      </c>
      <c r="F11" s="68">
        <f>Pricing!G7</f>
        <v>3202</v>
      </c>
      <c r="G11" s="68">
        <f>Pricing!H7</f>
        <v>2745</v>
      </c>
      <c r="H11" s="100">
        <f t="shared" si="0"/>
        <v>8.7894900000000007</v>
      </c>
      <c r="I11" s="70">
        <f>Pricing!I7</f>
        <v>1</v>
      </c>
      <c r="J11" s="69">
        <f t="shared" si="30"/>
        <v>8.7894900000000007</v>
      </c>
      <c r="K11" s="71">
        <f t="shared" si="31"/>
        <v>94.610070359999995</v>
      </c>
      <c r="L11" s="69"/>
      <c r="M11" s="72"/>
      <c r="N11" s="72"/>
      <c r="O11" s="72">
        <f t="shared" si="3"/>
        <v>0</v>
      </c>
      <c r="P11" s="73">
        <f>Pricing!M7</f>
        <v>45221.72</v>
      </c>
      <c r="Q11" s="74">
        <f t="shared" si="32"/>
        <v>4522.1720000000005</v>
      </c>
      <c r="R11" s="74">
        <f t="shared" si="33"/>
        <v>5471.8281200000001</v>
      </c>
      <c r="S11" s="74">
        <f t="shared" si="34"/>
        <v>276.07860060000002</v>
      </c>
      <c r="T11" s="74">
        <f t="shared" si="35"/>
        <v>554.91798720600002</v>
      </c>
      <c r="U11" s="72">
        <f t="shared" si="36"/>
        <v>56046.716707805994</v>
      </c>
      <c r="V11" s="74">
        <f t="shared" si="37"/>
        <v>840.70075061708985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26412.417450000001</v>
      </c>
      <c r="AE11" s="76">
        <f t="shared" si="43"/>
        <v>974.91803278688531</v>
      </c>
      <c r="AF11" s="346">
        <f t="shared" si="44"/>
        <v>999.09600000000012</v>
      </c>
      <c r="AG11" s="347"/>
      <c r="AH11" s="76">
        <f t="shared" si="45"/>
        <v>35.682000000000002</v>
      </c>
      <c r="AI11" s="76">
        <f t="shared" si="15"/>
        <v>118.94</v>
      </c>
      <c r="AJ11" s="76">
        <f>J11*Pricing!Q7</f>
        <v>4730.5035179999995</v>
      </c>
      <c r="AK11" s="76">
        <f>J11*Pricing!R7</f>
        <v>0</v>
      </c>
      <c r="AL11" s="76">
        <f t="shared" si="16"/>
        <v>9461.0070359999991</v>
      </c>
      <c r="AM11" s="77">
        <f t="shared" si="17"/>
        <v>0</v>
      </c>
      <c r="AN11" s="76">
        <f t="shared" si="18"/>
        <v>7568.8056287999998</v>
      </c>
      <c r="AO11" s="72">
        <f t="shared" si="19"/>
        <v>59016.053491209976</v>
      </c>
      <c r="AP11" s="74">
        <f t="shared" si="20"/>
        <v>73770.066864012464</v>
      </c>
      <c r="AQ11" s="74">
        <f t="shared" si="46"/>
        <v>0</v>
      </c>
      <c r="AR11" s="74">
        <f t="shared" si="22"/>
        <v>15107.374871036023</v>
      </c>
      <c r="AS11" s="72">
        <f t="shared" si="23"/>
        <v>180958.85398802243</v>
      </c>
      <c r="AT11" s="72">
        <f t="shared" si="24"/>
        <v>20588.094871036024</v>
      </c>
      <c r="AU11" s="78">
        <f t="shared" si="47"/>
        <v>1912.6806829279103</v>
      </c>
      <c r="AV11" s="79">
        <f t="shared" si="26"/>
        <v>5.7605958775806418E-2</v>
      </c>
      <c r="AW11" s="80">
        <f t="shared" si="27"/>
        <v>601.28289982198771</v>
      </c>
      <c r="AX11" s="81">
        <f t="shared" si="28"/>
        <v>1311.3977831059228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4 SHUTTER SLIDING DOOR WITH INTERNAL RAILING</v>
      </c>
      <c r="D12" s="131" t="str">
        <f>Pricing!B8</f>
        <v>W</v>
      </c>
      <c r="E12" s="132" t="str">
        <f>Pricing!N8</f>
        <v>24MM &amp; 12MM</v>
      </c>
      <c r="F12" s="68">
        <f>Pricing!G8</f>
        <v>5795</v>
      </c>
      <c r="G12" s="68">
        <f>Pricing!H8</f>
        <v>2286</v>
      </c>
      <c r="H12" s="100">
        <f t="shared" si="0"/>
        <v>13.24737</v>
      </c>
      <c r="I12" s="70">
        <f>Pricing!I8</f>
        <v>1</v>
      </c>
      <c r="J12" s="69">
        <f t="shared" si="30"/>
        <v>13.24737</v>
      </c>
      <c r="K12" s="71">
        <f t="shared" si="31"/>
        <v>142.59469067999999</v>
      </c>
      <c r="L12" s="69">
        <f>F12</f>
        <v>5795</v>
      </c>
      <c r="M12" s="72">
        <v>1000</v>
      </c>
      <c r="N12" s="72">
        <f>I12</f>
        <v>1</v>
      </c>
      <c r="O12" s="72">
        <f t="shared" si="3"/>
        <v>5.7949999999999999</v>
      </c>
      <c r="P12" s="73">
        <f>Pricing!M8</f>
        <v>76666.27</v>
      </c>
      <c r="Q12" s="74">
        <f t="shared" si="32"/>
        <v>7666.6270000000004</v>
      </c>
      <c r="R12" s="74">
        <f t="shared" si="33"/>
        <v>9276.6186699999998</v>
      </c>
      <c r="S12" s="74">
        <f t="shared" si="34"/>
        <v>468.04757834999998</v>
      </c>
      <c r="T12" s="74">
        <f t="shared" si="35"/>
        <v>940.77563248349998</v>
      </c>
      <c r="U12" s="72">
        <f t="shared" si="36"/>
        <v>95018.3388808335</v>
      </c>
      <c r="V12" s="74">
        <f t="shared" si="37"/>
        <v>1425.2750832125025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50760.896850000005</v>
      </c>
      <c r="AE12" s="76">
        <f t="shared" si="43"/>
        <v>1324.7540983606557</v>
      </c>
      <c r="AF12" s="346">
        <f t="shared" si="44"/>
        <v>1357.6079999999999</v>
      </c>
      <c r="AG12" s="347"/>
      <c r="AH12" s="76">
        <f t="shared" si="45"/>
        <v>48.485999999999997</v>
      </c>
      <c r="AI12" s="76">
        <f t="shared" si="15"/>
        <v>161.62</v>
      </c>
      <c r="AJ12" s="76">
        <f>J12*Pricing!Q8</f>
        <v>7129.7345339999993</v>
      </c>
      <c r="AK12" s="76">
        <f>J12*Pricing!R8</f>
        <v>0</v>
      </c>
      <c r="AL12" s="76">
        <f t="shared" si="16"/>
        <v>14259.469067999999</v>
      </c>
      <c r="AM12" s="77">
        <f t="shared" si="17"/>
        <v>0</v>
      </c>
      <c r="AN12" s="76">
        <f t="shared" si="18"/>
        <v>11407.575254399999</v>
      </c>
      <c r="AO12" s="72">
        <f t="shared" si="19"/>
        <v>99336.082062406655</v>
      </c>
      <c r="AP12" s="74">
        <f t="shared" si="20"/>
        <v>124170.10257800831</v>
      </c>
      <c r="AQ12" s="74">
        <f t="shared" si="46"/>
        <v>0</v>
      </c>
      <c r="AR12" s="74">
        <f t="shared" si="22"/>
        <v>16871.740174873576</v>
      </c>
      <c r="AS12" s="72">
        <f t="shared" si="23"/>
        <v>307063.86034681497</v>
      </c>
      <c r="AT12" s="72">
        <f t="shared" si="24"/>
        <v>23179.231828416883</v>
      </c>
      <c r="AU12" s="78">
        <f t="shared" si="47"/>
        <v>2153.4031798975179</v>
      </c>
      <c r="AV12" s="79">
        <f t="shared" si="26"/>
        <v>8.6822722377277256E-2</v>
      </c>
      <c r="AW12" s="80">
        <f t="shared" si="27"/>
        <v>676.34786052783215</v>
      </c>
      <c r="AX12" s="81">
        <f t="shared" si="28"/>
        <v>1477.055319369686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4 SHUTTER SLIDING DOOR WITH INTERNAL RAILING</v>
      </c>
      <c r="D13" s="131" t="str">
        <f>Pricing!B9</f>
        <v>W1</v>
      </c>
      <c r="E13" s="132" t="str">
        <f>Pricing!N9</f>
        <v>24MM &amp; 12MM</v>
      </c>
      <c r="F13" s="68">
        <f>Pricing!G9</f>
        <v>4880</v>
      </c>
      <c r="G13" s="68">
        <f>Pricing!H9</f>
        <v>2286</v>
      </c>
      <c r="H13" s="100">
        <f t="shared" si="0"/>
        <v>11.15568</v>
      </c>
      <c r="I13" s="70">
        <f>Pricing!I9</f>
        <v>3</v>
      </c>
      <c r="J13" s="69">
        <f t="shared" si="30"/>
        <v>33.467039999999997</v>
      </c>
      <c r="K13" s="71">
        <f t="shared" si="31"/>
        <v>360.23921855999993</v>
      </c>
      <c r="L13" s="69">
        <f t="shared" ref="L13:L14" si="49">F13</f>
        <v>4880</v>
      </c>
      <c r="M13" s="72">
        <v>1000</v>
      </c>
      <c r="N13" s="72">
        <f t="shared" ref="N13:N14" si="50">I13</f>
        <v>3</v>
      </c>
      <c r="O13" s="72">
        <f t="shared" si="3"/>
        <v>14.64</v>
      </c>
      <c r="P13" s="73">
        <f>Pricing!M9</f>
        <v>218368.02000000002</v>
      </c>
      <c r="Q13" s="74">
        <f t="shared" si="32"/>
        <v>21836.802000000003</v>
      </c>
      <c r="R13" s="74">
        <f t="shared" si="33"/>
        <v>26422.530420000003</v>
      </c>
      <c r="S13" s="74">
        <f t="shared" si="34"/>
        <v>1333.1367621000002</v>
      </c>
      <c r="T13" s="74">
        <f t="shared" si="35"/>
        <v>2679.6048918209999</v>
      </c>
      <c r="U13" s="72">
        <f t="shared" si="36"/>
        <v>270640.09407392098</v>
      </c>
      <c r="V13" s="74">
        <f t="shared" si="37"/>
        <v>4059.6014111088143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128238.0552</v>
      </c>
      <c r="AE13" s="76">
        <f t="shared" si="43"/>
        <v>3524.2622950819673</v>
      </c>
      <c r="AF13" s="346">
        <f t="shared" si="44"/>
        <v>3611.6640000000002</v>
      </c>
      <c r="AG13" s="347"/>
      <c r="AH13" s="76">
        <f t="shared" si="45"/>
        <v>128.988</v>
      </c>
      <c r="AI13" s="76">
        <f t="shared" si="15"/>
        <v>429.96000000000004</v>
      </c>
      <c r="AJ13" s="76">
        <f>J13*Pricing!Q9</f>
        <v>18011.960927999997</v>
      </c>
      <c r="AK13" s="76">
        <f>J13*Pricing!R9</f>
        <v>0</v>
      </c>
      <c r="AL13" s="76">
        <f t="shared" si="16"/>
        <v>36023.921855999994</v>
      </c>
      <c r="AM13" s="77">
        <f t="shared" si="17"/>
        <v>0</v>
      </c>
      <c r="AN13" s="76">
        <f t="shared" si="18"/>
        <v>28819.137484799994</v>
      </c>
      <c r="AO13" s="72">
        <f t="shared" si="19"/>
        <v>282394.56978011172</v>
      </c>
      <c r="AP13" s="74">
        <f t="shared" si="20"/>
        <v>352993.21222513966</v>
      </c>
      <c r="AQ13" s="74">
        <f t="shared" si="46"/>
        <v>0</v>
      </c>
      <c r="AR13" s="74">
        <f t="shared" si="22"/>
        <v>18985.478907165121</v>
      </c>
      <c r="AS13" s="72">
        <f t="shared" si="23"/>
        <v>846480.85747405142</v>
      </c>
      <c r="AT13" s="72">
        <f t="shared" si="24"/>
        <v>25292.970560708432</v>
      </c>
      <c r="AU13" s="78">
        <f t="shared" si="47"/>
        <v>2349.7742995827234</v>
      </c>
      <c r="AV13" s="79">
        <f t="shared" si="26"/>
        <v>0.21934161442680566</v>
      </c>
      <c r="AW13" s="80">
        <f t="shared" si="27"/>
        <v>762.54799958510614</v>
      </c>
      <c r="AX13" s="81">
        <f t="shared" si="28"/>
        <v>1587.2262999976172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4 SHUTTER SLIDING DOOR WITH INTERNAL RAILING</v>
      </c>
      <c r="D14" s="131" t="str">
        <f>Pricing!B10</f>
        <v>W2</v>
      </c>
      <c r="E14" s="132" t="str">
        <f>Pricing!N10</f>
        <v>24MM &amp; 12MM</v>
      </c>
      <c r="F14" s="68">
        <f>Pricing!G10</f>
        <v>3660</v>
      </c>
      <c r="G14" s="68">
        <f>Pricing!H10</f>
        <v>2286</v>
      </c>
      <c r="H14" s="100">
        <f t="shared" si="0"/>
        <v>8.3667599999999993</v>
      </c>
      <c r="I14" s="70">
        <f>Pricing!I10</f>
        <v>1</v>
      </c>
      <c r="J14" s="69">
        <f t="shared" si="30"/>
        <v>8.3667599999999993</v>
      </c>
      <c r="K14" s="71">
        <f t="shared" si="31"/>
        <v>90.059804639999982</v>
      </c>
      <c r="L14" s="69">
        <f t="shared" si="49"/>
        <v>3660</v>
      </c>
      <c r="M14" s="72">
        <v>1000</v>
      </c>
      <c r="N14" s="72">
        <f t="shared" si="50"/>
        <v>1</v>
      </c>
      <c r="O14" s="72">
        <f t="shared" si="3"/>
        <v>3.66</v>
      </c>
      <c r="P14" s="73">
        <f>Pricing!M10</f>
        <v>71369.210000000006</v>
      </c>
      <c r="Q14" s="74">
        <f t="shared" si="32"/>
        <v>7136.9210000000012</v>
      </c>
      <c r="R14" s="74">
        <f t="shared" si="33"/>
        <v>8635.6744100000014</v>
      </c>
      <c r="S14" s="74">
        <f t="shared" si="34"/>
        <v>435.70902705000009</v>
      </c>
      <c r="T14" s="74">
        <f t="shared" si="35"/>
        <v>875.77514437050024</v>
      </c>
      <c r="U14" s="72">
        <f t="shared" si="36"/>
        <v>88453.289581420526</v>
      </c>
      <c r="V14" s="74">
        <f t="shared" si="37"/>
        <v>1326.7993437213079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32059.513800000001</v>
      </c>
      <c r="AE14" s="76">
        <f t="shared" si="43"/>
        <v>974.75409836065569</v>
      </c>
      <c r="AF14" s="346">
        <f t="shared" si="44"/>
        <v>998.92800000000011</v>
      </c>
      <c r="AG14" s="347"/>
      <c r="AH14" s="76">
        <f t="shared" si="45"/>
        <v>35.676000000000002</v>
      </c>
      <c r="AI14" s="76">
        <f t="shared" si="15"/>
        <v>118.91999999999999</v>
      </c>
      <c r="AJ14" s="76">
        <f>J14*Pricing!Q10</f>
        <v>4502.9902319999992</v>
      </c>
      <c r="AK14" s="76">
        <f>J14*Pricing!R10</f>
        <v>0</v>
      </c>
      <c r="AL14" s="76">
        <f t="shared" si="16"/>
        <v>9005.9804639999984</v>
      </c>
      <c r="AM14" s="77">
        <f t="shared" si="17"/>
        <v>0</v>
      </c>
      <c r="AN14" s="76">
        <f t="shared" si="18"/>
        <v>7204.7843711999985</v>
      </c>
      <c r="AO14" s="72">
        <f t="shared" si="19"/>
        <v>91908.367023502477</v>
      </c>
      <c r="AP14" s="74">
        <f t="shared" si="20"/>
        <v>114885.4587793781</v>
      </c>
      <c r="AQ14" s="74">
        <f t="shared" si="46"/>
        <v>0</v>
      </c>
      <c r="AR14" s="74">
        <f t="shared" si="22"/>
        <v>24716.117804607828</v>
      </c>
      <c r="AS14" s="72">
        <f t="shared" si="23"/>
        <v>259567.09467008058</v>
      </c>
      <c r="AT14" s="72">
        <f t="shared" si="24"/>
        <v>31023.609458151135</v>
      </c>
      <c r="AU14" s="78">
        <f t="shared" si="47"/>
        <v>2882.163643455141</v>
      </c>
      <c r="AV14" s="79">
        <f t="shared" si="26"/>
        <v>5.4835403606701416E-2</v>
      </c>
      <c r="AW14" s="80">
        <f t="shared" si="27"/>
        <v>996.89411146319628</v>
      </c>
      <c r="AX14" s="81">
        <f t="shared" si="28"/>
        <v>1885.2695319919446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W3</v>
      </c>
      <c r="E15" s="132" t="str">
        <f>Pricing!N11</f>
        <v>24MM</v>
      </c>
      <c r="F15" s="68">
        <f>Pricing!G11</f>
        <v>1525</v>
      </c>
      <c r="G15" s="68">
        <f>Pricing!H11</f>
        <v>1830</v>
      </c>
      <c r="H15" s="100">
        <f t="shared" si="0"/>
        <v>2.7907500000000001</v>
      </c>
      <c r="I15" s="70">
        <f>Pricing!I11</f>
        <v>2</v>
      </c>
      <c r="J15" s="69">
        <f t="shared" si="30"/>
        <v>5.5815000000000001</v>
      </c>
      <c r="K15" s="71">
        <f t="shared" si="31"/>
        <v>60.079265999999997</v>
      </c>
      <c r="L15" s="69"/>
      <c r="M15" s="72"/>
      <c r="N15" s="72"/>
      <c r="O15" s="72">
        <f t="shared" si="3"/>
        <v>0</v>
      </c>
      <c r="P15" s="73">
        <f>Pricing!M11</f>
        <v>55344.399999999994</v>
      </c>
      <c r="Q15" s="74">
        <f t="shared" si="4"/>
        <v>5534.44</v>
      </c>
      <c r="R15" s="74">
        <f t="shared" si="5"/>
        <v>6696.6723999999995</v>
      </c>
      <c r="S15" s="74">
        <f t="shared" si="6"/>
        <v>337.87756199999995</v>
      </c>
      <c r="T15" s="74">
        <f t="shared" si="7"/>
        <v>679.13389961999985</v>
      </c>
      <c r="U15" s="72">
        <f t="shared" si="8"/>
        <v>68592.523861619993</v>
      </c>
      <c r="V15" s="74">
        <f t="shared" si="9"/>
        <v>1028.8878579242999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16772.407500000001</v>
      </c>
      <c r="AE15" s="76">
        <f t="shared" si="43"/>
        <v>1100</v>
      </c>
      <c r="AF15" s="346">
        <f t="shared" si="44"/>
        <v>1127.28</v>
      </c>
      <c r="AG15" s="347"/>
      <c r="AH15" s="76">
        <f t="shared" si="45"/>
        <v>40.26</v>
      </c>
      <c r="AI15" s="76">
        <f t="shared" ref="AI15:AI20" si="51">(((F15+G15)*2*I15)/1000)*2*$AI$7</f>
        <v>134.19999999999999</v>
      </c>
      <c r="AJ15" s="76">
        <f>J15*Pricing!Q11</f>
        <v>3003.9632999999999</v>
      </c>
      <c r="AK15" s="76">
        <f>J15*Pricing!R11</f>
        <v>0</v>
      </c>
      <c r="AL15" s="76">
        <f t="shared" si="16"/>
        <v>6007.9265999999998</v>
      </c>
      <c r="AM15" s="77">
        <f t="shared" si="17"/>
        <v>0</v>
      </c>
      <c r="AN15" s="76">
        <f t="shared" si="18"/>
        <v>4806.3412799999996</v>
      </c>
      <c r="AO15" s="72">
        <f t="shared" si="19"/>
        <v>72023.151719544287</v>
      </c>
      <c r="AP15" s="74">
        <f t="shared" si="20"/>
        <v>90028.939649430366</v>
      </c>
      <c r="AQ15" s="74">
        <f t="shared" si="21"/>
        <v>0</v>
      </c>
      <c r="AR15" s="74">
        <f t="shared" si="22"/>
        <v>29033.788653404041</v>
      </c>
      <c r="AS15" s="72">
        <f t="shared" si="23"/>
        <v>192642.73004897466</v>
      </c>
      <c r="AT15" s="72">
        <f t="shared" si="24"/>
        <v>34514.508653404038</v>
      </c>
      <c r="AU15" s="78">
        <f t="shared" si="25"/>
        <v>3206.476091917878</v>
      </c>
      <c r="AV15" s="79">
        <f t="shared" si="26"/>
        <v>3.6580923228442551E-2</v>
      </c>
      <c r="AW15" s="80">
        <f t="shared" si="27"/>
        <v>1158.8259370469723</v>
      </c>
      <c r="AX15" s="81">
        <f t="shared" si="28"/>
        <v>2047.6501548709061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 WITH INTERNAL RAILING</v>
      </c>
      <c r="D16" s="131" t="str">
        <f>Pricing!B12</f>
        <v>W4</v>
      </c>
      <c r="E16" s="132" t="str">
        <f>Pricing!N12</f>
        <v>24MM &amp; 12MM</v>
      </c>
      <c r="F16" s="68">
        <f>Pricing!G12</f>
        <v>1525</v>
      </c>
      <c r="G16" s="68">
        <f>Pricing!H12</f>
        <v>2286</v>
      </c>
      <c r="H16" s="100">
        <f t="shared" si="0"/>
        <v>3.4861499999999999</v>
      </c>
      <c r="I16" s="70">
        <f>Pricing!I12</f>
        <v>4</v>
      </c>
      <c r="J16" s="69">
        <f t="shared" si="30"/>
        <v>13.944599999999999</v>
      </c>
      <c r="K16" s="71">
        <f t="shared" si="31"/>
        <v>150.0996744</v>
      </c>
      <c r="L16" s="69">
        <f>F16</f>
        <v>1525</v>
      </c>
      <c r="M16" s="72">
        <v>1000</v>
      </c>
      <c r="N16" s="72">
        <f>I16</f>
        <v>4</v>
      </c>
      <c r="O16" s="72">
        <f t="shared" si="3"/>
        <v>6.1</v>
      </c>
      <c r="P16" s="73">
        <f>Pricing!M12</f>
        <v>134323.88</v>
      </c>
      <c r="Q16" s="74">
        <f t="shared" si="4"/>
        <v>13432.388000000001</v>
      </c>
      <c r="R16" s="74">
        <f t="shared" si="5"/>
        <v>16253.189480000001</v>
      </c>
      <c r="S16" s="74">
        <f t="shared" si="6"/>
        <v>820.04728740000007</v>
      </c>
      <c r="T16" s="74">
        <f t="shared" si="7"/>
        <v>1648.2950476740002</v>
      </c>
      <c r="U16" s="72">
        <f t="shared" si="8"/>
        <v>166477.79981507402</v>
      </c>
      <c r="V16" s="74">
        <f t="shared" si="9"/>
        <v>2497.1669972261102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53432.523000000001</v>
      </c>
      <c r="AE16" s="76">
        <f t="shared" si="43"/>
        <v>2499.0163934426228</v>
      </c>
      <c r="AF16" s="346">
        <f t="shared" si="44"/>
        <v>2560.9920000000002</v>
      </c>
      <c r="AG16" s="347"/>
      <c r="AH16" s="76">
        <f t="shared" si="45"/>
        <v>91.463999999999999</v>
      </c>
      <c r="AI16" s="76">
        <f t="shared" si="51"/>
        <v>304.88</v>
      </c>
      <c r="AJ16" s="76">
        <f>J16*Pricing!Q12</f>
        <v>7504.9837199999984</v>
      </c>
      <c r="AK16" s="76">
        <f>J16*Pricing!R12</f>
        <v>0</v>
      </c>
      <c r="AL16" s="76">
        <f t="shared" si="16"/>
        <v>15009.967439999997</v>
      </c>
      <c r="AM16" s="77">
        <f t="shared" si="17"/>
        <v>0</v>
      </c>
      <c r="AN16" s="76">
        <f t="shared" si="18"/>
        <v>12007.973951999998</v>
      </c>
      <c r="AO16" s="72">
        <f t="shared" si="19"/>
        <v>174431.31920574274</v>
      </c>
      <c r="AP16" s="74">
        <f t="shared" si="20"/>
        <v>218039.14900717844</v>
      </c>
      <c r="AQ16" s="74">
        <f t="shared" si="21"/>
        <v>0</v>
      </c>
      <c r="AR16" s="74">
        <f t="shared" si="22"/>
        <v>28144.978573277196</v>
      </c>
      <c r="AS16" s="72">
        <f t="shared" si="23"/>
        <v>480425.91632492113</v>
      </c>
      <c r="AT16" s="72">
        <f t="shared" si="24"/>
        <v>34452.4702268205</v>
      </c>
      <c r="AU16" s="78">
        <f t="shared" si="25"/>
        <v>3200.712581458612</v>
      </c>
      <c r="AV16" s="79">
        <f t="shared" si="26"/>
        <v>9.1392339344502374E-2</v>
      </c>
      <c r="AW16" s="80">
        <f t="shared" si="27"/>
        <v>1125.7517212329151</v>
      </c>
      <c r="AX16" s="81">
        <f t="shared" si="28"/>
        <v>2074.9608602256972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KW</v>
      </c>
      <c r="E17" s="132" t="str">
        <f>Pricing!N13</f>
        <v>24MM</v>
      </c>
      <c r="F17" s="68">
        <f>Pricing!G13</f>
        <v>1525</v>
      </c>
      <c r="G17" s="68">
        <f>Pricing!H13</f>
        <v>1525</v>
      </c>
      <c r="H17" s="100">
        <f t="shared" si="0"/>
        <v>2.3256250000000001</v>
      </c>
      <c r="I17" s="70">
        <f>Pricing!I13</f>
        <v>2</v>
      </c>
      <c r="J17" s="69">
        <f t="shared" si="30"/>
        <v>4.6512500000000001</v>
      </c>
      <c r="K17" s="71">
        <f t="shared" si="31"/>
        <v>50.066054999999999</v>
      </c>
      <c r="L17" s="69"/>
      <c r="M17" s="72"/>
      <c r="N17" s="72"/>
      <c r="O17" s="72">
        <f t="shared" si="3"/>
        <v>0</v>
      </c>
      <c r="P17" s="73">
        <f>Pricing!M13</f>
        <v>51450.04</v>
      </c>
      <c r="Q17" s="74">
        <f t="shared" si="4"/>
        <v>5145.0040000000008</v>
      </c>
      <c r="R17" s="74">
        <f t="shared" si="5"/>
        <v>6225.4548400000003</v>
      </c>
      <c r="S17" s="74">
        <f t="shared" si="6"/>
        <v>314.10249420000002</v>
      </c>
      <c r="T17" s="74">
        <f t="shared" si="7"/>
        <v>631.34601334199999</v>
      </c>
      <c r="U17" s="72">
        <f t="shared" si="8"/>
        <v>63765.947347542002</v>
      </c>
      <c r="V17" s="74">
        <f t="shared" si="9"/>
        <v>956.48921021313004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13977.00625</v>
      </c>
      <c r="AE17" s="76">
        <f t="shared" si="43"/>
        <v>1000</v>
      </c>
      <c r="AF17" s="346">
        <f t="shared" si="44"/>
        <v>1024.7999999999997</v>
      </c>
      <c r="AG17" s="347"/>
      <c r="AH17" s="76">
        <f t="shared" si="45"/>
        <v>36.599999999999994</v>
      </c>
      <c r="AI17" s="76">
        <f t="shared" si="51"/>
        <v>122</v>
      </c>
      <c r="AJ17" s="76">
        <f>J17*Pricing!Q13</f>
        <v>2503.3027499999998</v>
      </c>
      <c r="AK17" s="76">
        <f>J17*Pricing!R13</f>
        <v>0</v>
      </c>
      <c r="AL17" s="76">
        <f t="shared" si="16"/>
        <v>5006.6054999999997</v>
      </c>
      <c r="AM17" s="77">
        <f t="shared" si="17"/>
        <v>0</v>
      </c>
      <c r="AN17" s="76">
        <f t="shared" si="18"/>
        <v>4005.2843999999996</v>
      </c>
      <c r="AO17" s="72">
        <f t="shared" si="19"/>
        <v>66905.83655775513</v>
      </c>
      <c r="AP17" s="74">
        <f t="shared" si="20"/>
        <v>83632.295697193913</v>
      </c>
      <c r="AQ17" s="74">
        <f t="shared" si="21"/>
        <v>0</v>
      </c>
      <c r="AR17" s="74">
        <f t="shared" si="22"/>
        <v>32365.091589346743</v>
      </c>
      <c r="AS17" s="72">
        <f t="shared" si="23"/>
        <v>176030.33115494906</v>
      </c>
      <c r="AT17" s="72">
        <f t="shared" si="24"/>
        <v>37845.811589346747</v>
      </c>
      <c r="AU17" s="78">
        <f t="shared" si="25"/>
        <v>3515.9616861154541</v>
      </c>
      <c r="AV17" s="79">
        <f t="shared" si="26"/>
        <v>3.0484102690368792E-2</v>
      </c>
      <c r="AW17" s="80">
        <f t="shared" si="27"/>
        <v>1292.740891163786</v>
      </c>
      <c r="AX17" s="81">
        <f t="shared" si="28"/>
        <v>2223.2207949516678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SINGLE DOOR WITH INTERNAL RAILING</v>
      </c>
      <c r="D18" s="131" t="str">
        <f>Pricing!B14</f>
        <v>W5</v>
      </c>
      <c r="E18" s="132" t="str">
        <f>Pricing!N14</f>
        <v>10MM &amp; 12MM</v>
      </c>
      <c r="F18" s="68">
        <f>Pricing!G14</f>
        <v>915</v>
      </c>
      <c r="G18" s="68">
        <f>Pricing!H14</f>
        <v>2286</v>
      </c>
      <c r="H18" s="100">
        <f t="shared" si="0"/>
        <v>2.0916899999999998</v>
      </c>
      <c r="I18" s="70">
        <f>Pricing!I14</f>
        <v>3</v>
      </c>
      <c r="J18" s="69">
        <f t="shared" si="30"/>
        <v>6.2750699999999995</v>
      </c>
      <c r="K18" s="71">
        <f t="shared" si="31"/>
        <v>67.544853479999986</v>
      </c>
      <c r="L18" s="69">
        <f t="shared" ref="L18:L19" si="52">F18</f>
        <v>915</v>
      </c>
      <c r="M18" s="72">
        <v>1000</v>
      </c>
      <c r="N18" s="72">
        <f t="shared" ref="N18:N19" si="53">I18</f>
        <v>3</v>
      </c>
      <c r="O18" s="72">
        <f t="shared" si="3"/>
        <v>2.7450000000000001</v>
      </c>
      <c r="P18" s="73">
        <f>Pricing!M14</f>
        <v>61996.02</v>
      </c>
      <c r="Q18" s="74">
        <f t="shared" si="4"/>
        <v>6199.6019999999999</v>
      </c>
      <c r="R18" s="74">
        <f t="shared" si="5"/>
        <v>7501.5184200000003</v>
      </c>
      <c r="S18" s="74">
        <f t="shared" si="6"/>
        <v>378.48570210000008</v>
      </c>
      <c r="T18" s="74">
        <f t="shared" si="7"/>
        <v>760.75626122100016</v>
      </c>
      <c r="U18" s="72">
        <f t="shared" si="8"/>
        <v>76836.382383321019</v>
      </c>
      <c r="V18" s="74">
        <f t="shared" si="9"/>
        <v>1152.5457357498153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24044.635349999997</v>
      </c>
      <c r="AE18" s="76">
        <f t="shared" si="43"/>
        <v>1574.2622950819671</v>
      </c>
      <c r="AF18" s="346">
        <f t="shared" si="44"/>
        <v>1613.3039999999999</v>
      </c>
      <c r="AG18" s="347"/>
      <c r="AH18" s="76">
        <f t="shared" si="45"/>
        <v>57.617999999999995</v>
      </c>
      <c r="AI18" s="76">
        <f t="shared" si="51"/>
        <v>192.06</v>
      </c>
      <c r="AJ18" s="76">
        <f>J18*Pricing!Q14</f>
        <v>0</v>
      </c>
      <c r="AK18" s="76">
        <f>J18*Pricing!R14</f>
        <v>0</v>
      </c>
      <c r="AL18" s="76">
        <f t="shared" si="16"/>
        <v>6754.4853479999983</v>
      </c>
      <c r="AM18" s="77">
        <f t="shared" si="17"/>
        <v>0</v>
      </c>
      <c r="AN18" s="76">
        <f t="shared" si="18"/>
        <v>5403.5882783999987</v>
      </c>
      <c r="AO18" s="72">
        <f t="shared" si="19"/>
        <v>81426.172414152796</v>
      </c>
      <c r="AP18" s="74">
        <f t="shared" si="20"/>
        <v>101782.71551769099</v>
      </c>
      <c r="AQ18" s="74">
        <f t="shared" si="21"/>
        <v>0</v>
      </c>
      <c r="AR18" s="74">
        <f t="shared" si="22"/>
        <v>29196.309831100498</v>
      </c>
      <c r="AS18" s="72">
        <f t="shared" si="23"/>
        <v>219411.59690824378</v>
      </c>
      <c r="AT18" s="72">
        <f t="shared" si="24"/>
        <v>34965.601484643805</v>
      </c>
      <c r="AU18" s="78">
        <f t="shared" si="25"/>
        <v>3248.3836384841889</v>
      </c>
      <c r="AV18" s="79">
        <f t="shared" si="26"/>
        <v>4.1126552705026062E-2</v>
      </c>
      <c r="AW18" s="80">
        <f t="shared" si="27"/>
        <v>1154.6242844714043</v>
      </c>
      <c r="AX18" s="81">
        <f t="shared" si="28"/>
        <v>2093.7593540127846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SINGLE DOOR WITH INTERNAL RAILING</v>
      </c>
      <c r="D19" s="131" t="str">
        <f>Pricing!B15</f>
        <v>W6</v>
      </c>
      <c r="E19" s="132" t="str">
        <f>Pricing!N15</f>
        <v>10MM &amp; 12MM</v>
      </c>
      <c r="F19" s="68">
        <f>Pricing!G15</f>
        <v>534</v>
      </c>
      <c r="G19" s="68">
        <f>Pricing!H15</f>
        <v>2286</v>
      </c>
      <c r="H19" s="100">
        <f t="shared" si="0"/>
        <v>1.2207239999999999</v>
      </c>
      <c r="I19" s="70">
        <f>Pricing!I15</f>
        <v>2</v>
      </c>
      <c r="J19" s="69">
        <f t="shared" si="30"/>
        <v>2.4414479999999998</v>
      </c>
      <c r="K19" s="71">
        <f t="shared" si="31"/>
        <v>26.279746271999997</v>
      </c>
      <c r="L19" s="69">
        <f t="shared" si="52"/>
        <v>534</v>
      </c>
      <c r="M19" s="72">
        <v>1000</v>
      </c>
      <c r="N19" s="72">
        <f t="shared" si="53"/>
        <v>2</v>
      </c>
      <c r="O19" s="72">
        <f t="shared" si="3"/>
        <v>1.0680000000000001</v>
      </c>
      <c r="P19" s="73">
        <f>Pricing!M15</f>
        <v>37064.480000000003</v>
      </c>
      <c r="Q19" s="74">
        <f t="shared" si="4"/>
        <v>3706.4480000000003</v>
      </c>
      <c r="R19" s="74">
        <f t="shared" si="5"/>
        <v>4484.8020800000004</v>
      </c>
      <c r="S19" s="74">
        <f t="shared" si="6"/>
        <v>226.2786504</v>
      </c>
      <c r="T19" s="74">
        <f t="shared" si="7"/>
        <v>454.82008730400003</v>
      </c>
      <c r="U19" s="72">
        <f t="shared" si="8"/>
        <v>45936.828817704001</v>
      </c>
      <c r="V19" s="74">
        <f t="shared" si="9"/>
        <v>689.05243226556001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9355.0712399999993</v>
      </c>
      <c r="AE19" s="76">
        <f t="shared" si="43"/>
        <v>924.5901639344263</v>
      </c>
      <c r="AF19" s="346">
        <f t="shared" si="44"/>
        <v>947.51999999999975</v>
      </c>
      <c r="AG19" s="347"/>
      <c r="AH19" s="76">
        <f t="shared" si="45"/>
        <v>33.839999999999996</v>
      </c>
      <c r="AI19" s="76">
        <f t="shared" si="51"/>
        <v>112.8</v>
      </c>
      <c r="AJ19" s="76">
        <f>J19*Pricing!Q15</f>
        <v>0</v>
      </c>
      <c r="AK19" s="76">
        <f>J19*Pricing!R15</f>
        <v>0</v>
      </c>
      <c r="AL19" s="76">
        <f t="shared" si="16"/>
        <v>2627.9746271999993</v>
      </c>
      <c r="AM19" s="77">
        <f t="shared" si="17"/>
        <v>0</v>
      </c>
      <c r="AN19" s="76">
        <f t="shared" si="18"/>
        <v>2102.3797017599995</v>
      </c>
      <c r="AO19" s="72">
        <f t="shared" si="19"/>
        <v>48644.63141390399</v>
      </c>
      <c r="AP19" s="74">
        <f t="shared" si="20"/>
        <v>60805.789267379987</v>
      </c>
      <c r="AQ19" s="74">
        <f t="shared" si="21"/>
        <v>0</v>
      </c>
      <c r="AR19" s="74">
        <f t="shared" si="22"/>
        <v>44830.125680040692</v>
      </c>
      <c r="AS19" s="72">
        <f t="shared" si="23"/>
        <v>123535.84625024398</v>
      </c>
      <c r="AT19" s="72">
        <f t="shared" si="24"/>
        <v>50599.417333584002</v>
      </c>
      <c r="AU19" s="78">
        <f t="shared" si="25"/>
        <v>4700.8005698238576</v>
      </c>
      <c r="AV19" s="79">
        <f t="shared" si="26"/>
        <v>1.6001150560644023E-2</v>
      </c>
      <c r="AW19" s="80">
        <f t="shared" si="27"/>
        <v>1774.2135242625059</v>
      </c>
      <c r="AX19" s="81">
        <f t="shared" si="28"/>
        <v>2926.5870455613517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BOTTOM FIXED</v>
      </c>
      <c r="D20" s="131" t="str">
        <f>Pricing!B16</f>
        <v>V</v>
      </c>
      <c r="E20" s="132" t="str">
        <f>Pricing!N16</f>
        <v>6MM (F)</v>
      </c>
      <c r="F20" s="68">
        <f>Pricing!G16</f>
        <v>610</v>
      </c>
      <c r="G20" s="68">
        <f>Pricing!H16</f>
        <v>1525</v>
      </c>
      <c r="H20" s="100">
        <f t="shared" si="0"/>
        <v>0.93025000000000002</v>
      </c>
      <c r="I20" s="70">
        <f>Pricing!I16</f>
        <v>1</v>
      </c>
      <c r="J20" s="69">
        <f t="shared" si="30"/>
        <v>0.93025000000000002</v>
      </c>
      <c r="K20" s="71">
        <f t="shared" si="31"/>
        <v>10.013211</v>
      </c>
      <c r="L20" s="69"/>
      <c r="M20" s="72"/>
      <c r="N20" s="72"/>
      <c r="O20" s="72">
        <f t="shared" si="3"/>
        <v>0</v>
      </c>
      <c r="P20" s="73">
        <f>Pricing!M16</f>
        <v>33683.06</v>
      </c>
      <c r="Q20" s="74">
        <f t="shared" si="4"/>
        <v>3368.306</v>
      </c>
      <c r="R20" s="74">
        <f t="shared" si="5"/>
        <v>4075.6502599999994</v>
      </c>
      <c r="S20" s="74">
        <f t="shared" si="6"/>
        <v>205.6350813</v>
      </c>
      <c r="T20" s="74">
        <f t="shared" si="7"/>
        <v>413.32651341299999</v>
      </c>
      <c r="U20" s="72">
        <f t="shared" si="8"/>
        <v>41745.977854712997</v>
      </c>
      <c r="V20" s="74">
        <f t="shared" si="9"/>
        <v>626.18966782069492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1863.2907500000001</v>
      </c>
      <c r="AE20" s="76">
        <f t="shared" si="43"/>
        <v>350</v>
      </c>
      <c r="AF20" s="346">
        <f t="shared" si="44"/>
        <v>358.67999999999989</v>
      </c>
      <c r="AG20" s="347"/>
      <c r="AH20" s="76">
        <f t="shared" si="45"/>
        <v>12.809999999999999</v>
      </c>
      <c r="AI20" s="76">
        <f t="shared" si="51"/>
        <v>42.699999999999996</v>
      </c>
      <c r="AJ20" s="76">
        <f>J20*Pricing!Q16</f>
        <v>0</v>
      </c>
      <c r="AK20" s="76">
        <f>J20*Pricing!R16</f>
        <v>0</v>
      </c>
      <c r="AL20" s="76">
        <f t="shared" si="16"/>
        <v>1001.3210999999999</v>
      </c>
      <c r="AM20" s="77">
        <f t="shared" si="17"/>
        <v>0</v>
      </c>
      <c r="AN20" s="76">
        <f t="shared" si="18"/>
        <v>801.05687999999986</v>
      </c>
      <c r="AO20" s="72">
        <f t="shared" si="19"/>
        <v>43136.357522533697</v>
      </c>
      <c r="AP20" s="74">
        <f t="shared" si="20"/>
        <v>53920.446903167118</v>
      </c>
      <c r="AQ20" s="74">
        <f t="shared" si="21"/>
        <v>0</v>
      </c>
      <c r="AR20" s="74">
        <f t="shared" si="22"/>
        <v>104334.10849309413</v>
      </c>
      <c r="AS20" s="72">
        <f t="shared" si="23"/>
        <v>100722.47315570082</v>
      </c>
      <c r="AT20" s="72">
        <f t="shared" si="24"/>
        <v>108274.62849309413</v>
      </c>
      <c r="AU20" s="78">
        <f t="shared" si="25"/>
        <v>10058.95842559403</v>
      </c>
      <c r="AV20" s="79">
        <f t="shared" si="26"/>
        <v>6.0968205380737594E-3</v>
      </c>
      <c r="AW20" s="80">
        <f t="shared" si="27"/>
        <v>4231.6263506814839</v>
      </c>
      <c r="AX20" s="81">
        <f t="shared" si="28"/>
        <v>5827.3320749125451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4">P21*$Q$6</f>
        <v>0</v>
      </c>
      <c r="R21" s="74">
        <f t="shared" ref="R21:R26" si="55">(P21+Q21)*$R$6</f>
        <v>0</v>
      </c>
      <c r="S21" s="74">
        <f t="shared" ref="S21:S26" si="56">(P21+Q21+R21)*$S$6</f>
        <v>0</v>
      </c>
      <c r="T21" s="74">
        <f t="shared" ref="T21:T26" si="57">(P21+Q21+R21+S21)*$T$6</f>
        <v>0</v>
      </c>
      <c r="U21" s="72">
        <f t="shared" ref="U21:U26" si="58">SUM(P21:T21)</f>
        <v>0</v>
      </c>
      <c r="V21" s="74">
        <f t="shared" ref="V21:V26" si="59">U21*$V$6</f>
        <v>0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5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6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7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4"/>
        <v>0</v>
      </c>
      <c r="R22" s="74">
        <f t="shared" si="55"/>
        <v>0</v>
      </c>
      <c r="S22" s="74">
        <f t="shared" si="56"/>
        <v>0</v>
      </c>
      <c r="T22" s="74">
        <f t="shared" si="57"/>
        <v>0</v>
      </c>
      <c r="U22" s="72">
        <f t="shared" si="58"/>
        <v>0</v>
      </c>
      <c r="V22" s="74">
        <f t="shared" si="59"/>
        <v>0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5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6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7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4"/>
        <v>0</v>
      </c>
      <c r="R23" s="74">
        <f t="shared" si="55"/>
        <v>0</v>
      </c>
      <c r="S23" s="74">
        <f t="shared" si="56"/>
        <v>0</v>
      </c>
      <c r="T23" s="74">
        <f t="shared" si="57"/>
        <v>0</v>
      </c>
      <c r="U23" s="72">
        <f t="shared" si="58"/>
        <v>0</v>
      </c>
      <c r="V23" s="74">
        <f t="shared" si="59"/>
        <v>0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5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6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7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4"/>
        <v>0</v>
      </c>
      <c r="R24" s="74">
        <f t="shared" si="55"/>
        <v>0</v>
      </c>
      <c r="S24" s="74">
        <f t="shared" si="56"/>
        <v>0</v>
      </c>
      <c r="T24" s="74">
        <f t="shared" si="57"/>
        <v>0</v>
      </c>
      <c r="U24" s="72">
        <f t="shared" si="58"/>
        <v>0</v>
      </c>
      <c r="V24" s="74">
        <f t="shared" si="59"/>
        <v>0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5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6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7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5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6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7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4"/>
        <v>0</v>
      </c>
      <c r="R26" s="74">
        <f t="shared" si="55"/>
        <v>0</v>
      </c>
      <c r="S26" s="74">
        <f t="shared" si="56"/>
        <v>0</v>
      </c>
      <c r="T26" s="74">
        <f t="shared" si="57"/>
        <v>0</v>
      </c>
      <c r="U26" s="72">
        <f t="shared" si="58"/>
        <v>0</v>
      </c>
      <c r="V26" s="74">
        <f t="shared" si="59"/>
        <v>0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5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6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7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6">
        <f t="shared" ref="AF59:AF107" si="132">(((((F59*4)+(G59*4))/1000)*$AF$6*$AG$6)/300)*I59*$AF$7</f>
        <v>0</v>
      </c>
      <c r="AG59" s="347"/>
      <c r="AH59" s="76">
        <f t="shared" si="45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6">
        <f t="shared" si="132"/>
        <v>0</v>
      </c>
      <c r="AG60" s="347"/>
      <c r="AH60" s="76">
        <f t="shared" si="45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6">
        <f t="shared" si="132"/>
        <v>0</v>
      </c>
      <c r="AG61" s="347"/>
      <c r="AH61" s="76">
        <f t="shared" si="45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6">
        <f t="shared" si="132"/>
        <v>0</v>
      </c>
      <c r="AG62" s="347"/>
      <c r="AH62" s="76">
        <f t="shared" si="45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6">
        <f t="shared" si="132"/>
        <v>0</v>
      </c>
      <c r="AG63" s="347"/>
      <c r="AH63" s="76">
        <f t="shared" si="45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6">
        <f t="shared" si="132"/>
        <v>0</v>
      </c>
      <c r="AG64" s="347"/>
      <c r="AH64" s="76">
        <f t="shared" si="45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6">
        <f t="shared" si="132"/>
        <v>0</v>
      </c>
      <c r="AG65" s="347"/>
      <c r="AH65" s="76">
        <f t="shared" si="45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6">
        <f t="shared" si="132"/>
        <v>0</v>
      </c>
      <c r="AG66" s="347"/>
      <c r="AH66" s="76">
        <f t="shared" si="45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6">
        <f t="shared" si="132"/>
        <v>0</v>
      </c>
      <c r="AG67" s="347"/>
      <c r="AH67" s="76">
        <f t="shared" si="45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6">
        <f t="shared" si="132"/>
        <v>0</v>
      </c>
      <c r="AG68" s="347"/>
      <c r="AH68" s="76">
        <f t="shared" si="45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6">
        <f t="shared" si="132"/>
        <v>0</v>
      </c>
      <c r="AG69" s="347"/>
      <c r="AH69" s="76">
        <f t="shared" si="45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6">
        <f t="shared" si="132"/>
        <v>0</v>
      </c>
      <c r="AG70" s="347"/>
      <c r="AH70" s="76">
        <f t="shared" si="45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6">
        <f t="shared" si="132"/>
        <v>0</v>
      </c>
      <c r="AG71" s="347"/>
      <c r="AH71" s="76">
        <f t="shared" si="45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6">
        <f t="shared" si="132"/>
        <v>0</v>
      </c>
      <c r="AG72" s="347"/>
      <c r="AH72" s="76">
        <f t="shared" si="45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6">
        <f t="shared" si="132"/>
        <v>0</v>
      </c>
      <c r="AG73" s="347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6">
        <f t="shared" si="132"/>
        <v>0</v>
      </c>
      <c r="AG74" s="347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6">
        <f t="shared" si="132"/>
        <v>0</v>
      </c>
      <c r="AG75" s="347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6">
        <f t="shared" si="132"/>
        <v>0</v>
      </c>
      <c r="AG76" s="347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6">
        <f t="shared" si="132"/>
        <v>0</v>
      </c>
      <c r="AG77" s="347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6">
        <f t="shared" si="132"/>
        <v>0</v>
      </c>
      <c r="AG78" s="347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6">
        <f t="shared" si="132"/>
        <v>0</v>
      </c>
      <c r="AG79" s="347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6">
        <f t="shared" si="132"/>
        <v>0</v>
      </c>
      <c r="AG80" s="347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6">
        <f t="shared" si="132"/>
        <v>0</v>
      </c>
      <c r="AG81" s="347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6">
        <f t="shared" si="132"/>
        <v>0</v>
      </c>
      <c r="AG82" s="347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6">
        <f t="shared" si="132"/>
        <v>0</v>
      </c>
      <c r="AG83" s="347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6">
        <f t="shared" si="132"/>
        <v>0</v>
      </c>
      <c r="AG84" s="347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6">
        <f t="shared" si="132"/>
        <v>0</v>
      </c>
      <c r="AG85" s="347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6">
        <f t="shared" si="132"/>
        <v>0</v>
      </c>
      <c r="AG86" s="347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6">
        <f t="shared" si="132"/>
        <v>0</v>
      </c>
      <c r="AG87" s="347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6">
        <f t="shared" si="132"/>
        <v>0</v>
      </c>
      <c r="AG88" s="347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6">
        <f t="shared" si="132"/>
        <v>0</v>
      </c>
      <c r="AG89" s="347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6">
        <f t="shared" si="132"/>
        <v>0</v>
      </c>
      <c r="AG90" s="347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6">
        <f t="shared" si="132"/>
        <v>0</v>
      </c>
      <c r="AG91" s="347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6">
        <f t="shared" si="132"/>
        <v>0</v>
      </c>
      <c r="AG92" s="347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6">
        <f t="shared" si="132"/>
        <v>0</v>
      </c>
      <c r="AG93" s="347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6">
        <f t="shared" si="132"/>
        <v>0</v>
      </c>
      <c r="AG94" s="347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6">
        <f t="shared" si="132"/>
        <v>0</v>
      </c>
      <c r="AG95" s="347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6">
        <f t="shared" si="132"/>
        <v>0</v>
      </c>
      <c r="AG96" s="347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6">
        <f t="shared" si="132"/>
        <v>0</v>
      </c>
      <c r="AG97" s="347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6">
        <f t="shared" si="132"/>
        <v>0</v>
      </c>
      <c r="AG98" s="347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6">
        <f t="shared" si="132"/>
        <v>0</v>
      </c>
      <c r="AG99" s="347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6">
        <f t="shared" si="132"/>
        <v>0</v>
      </c>
      <c r="AG100" s="347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6">
        <f t="shared" si="132"/>
        <v>0</v>
      </c>
      <c r="AG101" s="347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6">
        <f t="shared" si="132"/>
        <v>0</v>
      </c>
      <c r="AG102" s="347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6">
        <f t="shared" si="132"/>
        <v>0</v>
      </c>
      <c r="AG103" s="347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6">
        <f t="shared" si="132"/>
        <v>0</v>
      </c>
      <c r="AG104" s="347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6">
        <f t="shared" si="132"/>
        <v>0</v>
      </c>
      <c r="AG105" s="347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6">
        <f t="shared" si="132"/>
        <v>0</v>
      </c>
      <c r="AG106" s="347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402">
        <f t="shared" si="132"/>
        <v>0</v>
      </c>
      <c r="AG107" s="403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94.405239000000009</v>
      </c>
      <c r="I109" s="87">
        <f>SUM(I8:I108)</f>
        <v>24</v>
      </c>
      <c r="J109" s="88">
        <f>SUM(J8:J108)</f>
        <v>152.57952800000001</v>
      </c>
      <c r="K109" s="89">
        <f>SUM(K8:K108)</f>
        <v>1642.3660393919997</v>
      </c>
      <c r="L109" s="88">
        <f>SUM(L8:L8)</f>
        <v>0</v>
      </c>
      <c r="M109" s="88"/>
      <c r="N109" s="88"/>
      <c r="O109" s="88"/>
      <c r="P109" s="87">
        <f>SUM(P8:P108)</f>
        <v>1099959.9900000002</v>
      </c>
      <c r="Q109" s="88">
        <f t="shared" ref="Q109:AE109" si="160">SUM(Q8:Q108)</f>
        <v>109995.99900000001</v>
      </c>
      <c r="R109" s="88">
        <f t="shared" si="160"/>
        <v>133095.15879000002</v>
      </c>
      <c r="S109" s="88">
        <f t="shared" si="160"/>
        <v>6715.2557389499998</v>
      </c>
      <c r="T109" s="88">
        <f t="shared" si="160"/>
        <v>13497.664035289501</v>
      </c>
      <c r="U109" s="88">
        <f t="shared" si="160"/>
        <v>1363264.0675642395</v>
      </c>
      <c r="V109" s="88">
        <f t="shared" si="160"/>
        <v>20448.961013463591</v>
      </c>
      <c r="W109" s="87">
        <f t="shared" si="160"/>
        <v>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0</v>
      </c>
      <c r="AC109" s="88">
        <f t="shared" si="160"/>
        <v>0</v>
      </c>
      <c r="AD109" s="88">
        <f t="shared" si="160"/>
        <v>521844.49114</v>
      </c>
      <c r="AE109" s="88">
        <f t="shared" si="160"/>
        <v>19246.557377049183</v>
      </c>
      <c r="AF109" s="407">
        <f>SUM(AF8:AG108)</f>
        <v>19723.872000000003</v>
      </c>
      <c r="AG109" s="408"/>
      <c r="AH109" s="88">
        <f t="shared" ref="AH109:AQ109" si="161">SUM(AH8:AH108)</f>
        <v>704.42400000000009</v>
      </c>
      <c r="AI109" s="88">
        <f t="shared" si="161"/>
        <v>2348.08</v>
      </c>
      <c r="AJ109" s="88">
        <f t="shared" ref="AJ109" si="162">SUM(AJ8:AJ108)</f>
        <v>76926.411432000008</v>
      </c>
      <c r="AK109" s="88">
        <f t="shared" si="161"/>
        <v>0</v>
      </c>
      <c r="AL109" s="88">
        <f t="shared" si="161"/>
        <v>164236.60393919999</v>
      </c>
      <c r="AM109" s="88">
        <f t="shared" si="161"/>
        <v>0</v>
      </c>
      <c r="AN109" s="88">
        <f t="shared" si="161"/>
        <v>131389.28315136</v>
      </c>
      <c r="AO109" s="88">
        <f t="shared" si="161"/>
        <v>1425735.9619547524</v>
      </c>
      <c r="AP109" s="88">
        <f t="shared" si="161"/>
        <v>1782169.9524434404</v>
      </c>
      <c r="AQ109" s="88">
        <f t="shared" si="161"/>
        <v>0</v>
      </c>
      <c r="AR109" s="88"/>
      <c r="AS109" s="87">
        <f>SUM(AS8:AS108)</f>
        <v>4102302.7040607524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19723.872000000003</v>
      </c>
      <c r="AW110" s="84"/>
    </row>
    <row r="111" spans="2:54">
      <c r="AF111" s="174"/>
      <c r="AG111" s="174"/>
      <c r="AH111" s="174">
        <f>SUM(AE109:AI109,AC109)</f>
        <v>42022.933377049187</v>
      </c>
    </row>
  </sheetData>
  <sheetProtection selectLockedCells="1" selectUnlockedCells="1"/>
  <autoFilter ref="A7:WXA107">
    <filterColumn colId="31" showButton="0"/>
  </autoFilter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71.7109375" style="122" customWidth="1"/>
    <col min="7" max="7" width="24.28515625" style="122" customWidth="1"/>
    <col min="8" max="8" width="18.28515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ABPL-DE-19.20-2179-OP-1</v>
      </c>
      <c r="N6" s="446"/>
    </row>
    <row r="7" spans="2:15" ht="24.95" customHeight="1">
      <c r="B7" s="425" t="s">
        <v>126</v>
      </c>
      <c r="C7" s="426"/>
      <c r="D7" s="426"/>
      <c r="E7" s="426"/>
      <c r="F7" s="454" t="str">
        <f>'BD Team'!E2</f>
        <v>Mr. Veeraprakash Residence</v>
      </c>
      <c r="G7" s="454"/>
      <c r="H7" s="454"/>
      <c r="I7" s="454"/>
      <c r="J7" s="455"/>
      <c r="K7" s="434" t="s">
        <v>104</v>
      </c>
      <c r="L7" s="426"/>
      <c r="M7" s="431">
        <f>'BD Team'!J3</f>
        <v>43712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Hyderabad</v>
      </c>
      <c r="G8" s="456" t="s">
        <v>179</v>
      </c>
      <c r="H8" s="457"/>
      <c r="I8" s="454" t="str">
        <f>'BD Team'!G3</f>
        <v>1.5Kpa</v>
      </c>
      <c r="J8" s="455"/>
      <c r="K8" s="434" t="s">
        <v>105</v>
      </c>
      <c r="L8" s="426"/>
      <c r="M8" s="178" t="s">
        <v>446</v>
      </c>
      <c r="N8" s="179">
        <v>43732</v>
      </c>
    </row>
    <row r="9" spans="2:15" ht="24.95" customHeight="1">
      <c r="B9" s="425" t="s">
        <v>168</v>
      </c>
      <c r="C9" s="426"/>
      <c r="D9" s="426"/>
      <c r="E9" s="426"/>
      <c r="F9" s="454" t="str">
        <f>'BD Team'!E4</f>
        <v>Ms. Prathyusha : 8008103067</v>
      </c>
      <c r="G9" s="454"/>
      <c r="H9" s="454"/>
      <c r="I9" s="454"/>
      <c r="J9" s="455"/>
      <c r="K9" s="434" t="s">
        <v>178</v>
      </c>
      <c r="L9" s="426"/>
      <c r="M9" s="447" t="str">
        <f>'BD Team'!J4</f>
        <v>Nikhil</v>
      </c>
      <c r="N9" s="448"/>
    </row>
    <row r="10" spans="2:15" ht="27.75" customHeight="1" thickBot="1">
      <c r="B10" s="427" t="s">
        <v>176</v>
      </c>
      <c r="C10" s="428"/>
      <c r="D10" s="428"/>
      <c r="E10" s="428"/>
      <c r="F10" s="217" t="str">
        <f>'BD Team'!E5</f>
        <v>Anodized</v>
      </c>
      <c r="G10" s="439" t="s">
        <v>177</v>
      </c>
      <c r="H10" s="440"/>
      <c r="I10" s="437" t="str">
        <f>'BD Team'!G5</f>
        <v>Silver</v>
      </c>
      <c r="J10" s="438"/>
      <c r="K10" s="435" t="s">
        <v>372</v>
      </c>
      <c r="L10" s="436"/>
      <c r="M10" s="429" t="str">
        <f>'BD Team'!J5</f>
        <v>Vinod Bachala</v>
      </c>
      <c r="N10" s="430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8" t="s">
        <v>169</v>
      </c>
      <c r="C13" s="459"/>
      <c r="D13" s="433" t="s">
        <v>170</v>
      </c>
      <c r="E13" s="433" t="s">
        <v>171</v>
      </c>
      <c r="F13" s="433" t="s">
        <v>37</v>
      </c>
      <c r="G13" s="441" t="s">
        <v>63</v>
      </c>
      <c r="H13" s="441" t="s">
        <v>209</v>
      </c>
      <c r="I13" s="441" t="s">
        <v>208</v>
      </c>
      <c r="J13" s="460" t="s">
        <v>172</v>
      </c>
      <c r="K13" s="460" t="s">
        <v>173</v>
      </c>
      <c r="L13" s="459" t="s">
        <v>210</v>
      </c>
      <c r="M13" s="460" t="s">
        <v>174</v>
      </c>
      <c r="N13" s="461" t="s">
        <v>175</v>
      </c>
    </row>
    <row r="14" spans="2:15" s="94" customFormat="1" ht="18" customHeight="1" thickTop="1" thickBot="1">
      <c r="B14" s="458"/>
      <c r="C14" s="459"/>
      <c r="D14" s="433"/>
      <c r="E14" s="433"/>
      <c r="F14" s="433"/>
      <c r="G14" s="441"/>
      <c r="H14" s="441"/>
      <c r="I14" s="441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3"/>
      <c r="E15" s="433"/>
      <c r="F15" s="433"/>
      <c r="G15" s="441"/>
      <c r="H15" s="441"/>
      <c r="I15" s="441"/>
      <c r="J15" s="460"/>
      <c r="K15" s="460"/>
      <c r="L15" s="459"/>
      <c r="M15" s="460"/>
      <c r="N15" s="461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</v>
      </c>
      <c r="E16" s="187" t="str">
        <f>Pricing!C4</f>
        <v>M14600</v>
      </c>
      <c r="F16" s="187" t="str">
        <f>Pricing!D4</f>
        <v>3 TRACK 4 SHUTTER SLIDING DOOR</v>
      </c>
      <c r="G16" s="187" t="str">
        <f>Pricing!N4</f>
        <v>24MM</v>
      </c>
      <c r="H16" s="187" t="str">
        <f>Pricing!F4</f>
        <v>NA</v>
      </c>
      <c r="I16" s="216" t="str">
        <f>Pricing!E4</f>
        <v>SS</v>
      </c>
      <c r="J16" s="216">
        <f>Pricing!G4</f>
        <v>4880</v>
      </c>
      <c r="K16" s="216">
        <f>Pricing!H4</f>
        <v>3050</v>
      </c>
      <c r="L16" s="216">
        <f>Pricing!I4</f>
        <v>2</v>
      </c>
      <c r="M16" s="188">
        <f t="shared" ref="M16:M24" si="0">J16*K16*L16/1000000</f>
        <v>29.768000000000001</v>
      </c>
      <c r="N16" s="189">
        <f>'Cost Calculation'!AS8</f>
        <v>635718.71999262937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SD1</v>
      </c>
      <c r="E17" s="187" t="str">
        <f>Pricing!C5</f>
        <v>M14600</v>
      </c>
      <c r="F17" s="187" t="str">
        <f>Pricing!D5</f>
        <v>3 TRACK 4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SS</v>
      </c>
      <c r="J17" s="216">
        <f>Pricing!G5</f>
        <v>4880</v>
      </c>
      <c r="K17" s="216">
        <f>Pricing!H5</f>
        <v>2745</v>
      </c>
      <c r="L17" s="216">
        <f>Pricing!I5</f>
        <v>1</v>
      </c>
      <c r="M17" s="188">
        <f t="shared" si="0"/>
        <v>13.3956</v>
      </c>
      <c r="N17" s="189">
        <f>'Cost Calculation'!AS9</f>
        <v>299112.46379203699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SD2</v>
      </c>
      <c r="E18" s="187" t="str">
        <f>Pricing!C6</f>
        <v>M14600</v>
      </c>
      <c r="F18" s="187" t="str">
        <f>Pricing!D6</f>
        <v>3 TRACK 4 SHUTTER SLIDING DOOR</v>
      </c>
      <c r="G18" s="187" t="str">
        <f>Pricing!N6</f>
        <v>24MM</v>
      </c>
      <c r="H18" s="187" t="str">
        <f>Pricing!F6</f>
        <v>NA</v>
      </c>
      <c r="I18" s="216" t="str">
        <f>Pricing!E6</f>
        <v>SS</v>
      </c>
      <c r="J18" s="216">
        <f>Pricing!G6</f>
        <v>4270</v>
      </c>
      <c r="K18" s="216">
        <f>Pricing!H6</f>
        <v>2745</v>
      </c>
      <c r="L18" s="216">
        <f>Pricing!I6</f>
        <v>1</v>
      </c>
      <c r="M18" s="188">
        <f t="shared" si="0"/>
        <v>11.72115</v>
      </c>
      <c r="N18" s="189">
        <f>'Cost Calculation'!AS10</f>
        <v>280631.95995408343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SD3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NA</v>
      </c>
      <c r="I19" s="216" t="str">
        <f>Pricing!E7</f>
        <v>SS</v>
      </c>
      <c r="J19" s="216">
        <f>Pricing!G7</f>
        <v>3202</v>
      </c>
      <c r="K19" s="216">
        <f>Pricing!H7</f>
        <v>2745</v>
      </c>
      <c r="L19" s="216">
        <f>Pricing!I7</f>
        <v>1</v>
      </c>
      <c r="M19" s="188">
        <f t="shared" si="0"/>
        <v>8.7894900000000007</v>
      </c>
      <c r="N19" s="189">
        <f>'Cost Calculation'!AS11</f>
        <v>180958.85398802243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</v>
      </c>
      <c r="E20" s="187" t="str">
        <f>Pricing!C8</f>
        <v>M14600</v>
      </c>
      <c r="F20" s="187" t="str">
        <f>Pricing!D8</f>
        <v>3 TRACK 4 SHUTTER SLIDING DOOR WITH INTERNAL RAILING</v>
      </c>
      <c r="G20" s="187" t="str">
        <f>Pricing!N8</f>
        <v>24MM &amp; 12MM</v>
      </c>
      <c r="H20" s="187" t="str">
        <f>Pricing!F8</f>
        <v>NA</v>
      </c>
      <c r="I20" s="216" t="str">
        <f>Pricing!E8</f>
        <v>SS</v>
      </c>
      <c r="J20" s="216">
        <f>Pricing!G8</f>
        <v>5795</v>
      </c>
      <c r="K20" s="216">
        <f>Pricing!H8</f>
        <v>2286</v>
      </c>
      <c r="L20" s="216">
        <f>Pricing!I8</f>
        <v>1</v>
      </c>
      <c r="M20" s="188">
        <f t="shared" si="0"/>
        <v>13.24737</v>
      </c>
      <c r="N20" s="189">
        <f>'Cost Calculation'!AS12</f>
        <v>307063.86034681497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W1</v>
      </c>
      <c r="E21" s="187" t="str">
        <f>Pricing!C9</f>
        <v>M14600</v>
      </c>
      <c r="F21" s="187" t="str">
        <f>Pricing!D9</f>
        <v>3 TRACK 4 SHUTTER SLIDING DOOR WITH INTERNAL RAILING</v>
      </c>
      <c r="G21" s="187" t="str">
        <f>Pricing!N9</f>
        <v>24MM &amp; 12MM</v>
      </c>
      <c r="H21" s="187" t="str">
        <f>Pricing!F9</f>
        <v>NA</v>
      </c>
      <c r="I21" s="216" t="str">
        <f>Pricing!E9</f>
        <v>SS</v>
      </c>
      <c r="J21" s="216">
        <f>Pricing!G9</f>
        <v>4880</v>
      </c>
      <c r="K21" s="216">
        <f>Pricing!H9</f>
        <v>2286</v>
      </c>
      <c r="L21" s="216">
        <f>Pricing!I9</f>
        <v>3</v>
      </c>
      <c r="M21" s="188">
        <f t="shared" si="0"/>
        <v>33.467039999999997</v>
      </c>
      <c r="N21" s="189">
        <f>'Cost Calculation'!AS13</f>
        <v>846480.85747405142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W2</v>
      </c>
      <c r="E22" s="187" t="str">
        <f>Pricing!C10</f>
        <v>M14600</v>
      </c>
      <c r="F22" s="187" t="str">
        <f>Pricing!D10</f>
        <v>3 TRACK 4 SHUTTER SLIDING DOOR WITH INTERNAL RAILING</v>
      </c>
      <c r="G22" s="187" t="str">
        <f>Pricing!N10</f>
        <v>24MM &amp; 12MM</v>
      </c>
      <c r="H22" s="187" t="str">
        <f>Pricing!F10</f>
        <v>NA</v>
      </c>
      <c r="I22" s="216" t="str">
        <f>Pricing!E10</f>
        <v>SS</v>
      </c>
      <c r="J22" s="216">
        <f>Pricing!G10</f>
        <v>3660</v>
      </c>
      <c r="K22" s="216">
        <f>Pricing!H10</f>
        <v>2286</v>
      </c>
      <c r="L22" s="216">
        <f>Pricing!I10</f>
        <v>1</v>
      </c>
      <c r="M22" s="188">
        <f t="shared" si="0"/>
        <v>8.3667599999999993</v>
      </c>
      <c r="N22" s="189">
        <f>'Cost Calculation'!AS14</f>
        <v>259567.09467008058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W3</v>
      </c>
      <c r="E23" s="187" t="str">
        <f>Pricing!C11</f>
        <v>M14600</v>
      </c>
      <c r="F23" s="187" t="str">
        <f>Pricing!D11</f>
        <v>3 TRACK 2 SHUTTER SLIDING WINDOW</v>
      </c>
      <c r="G23" s="187" t="str">
        <f>Pricing!N11</f>
        <v>24MM</v>
      </c>
      <c r="H23" s="187" t="str">
        <f>Pricing!F11</f>
        <v>NA</v>
      </c>
      <c r="I23" s="216" t="str">
        <f>Pricing!E11</f>
        <v>SS</v>
      </c>
      <c r="J23" s="216">
        <f>Pricing!G11</f>
        <v>1525</v>
      </c>
      <c r="K23" s="216">
        <f>Pricing!H11</f>
        <v>1830</v>
      </c>
      <c r="L23" s="216">
        <f>Pricing!I11</f>
        <v>2</v>
      </c>
      <c r="M23" s="188">
        <f t="shared" si="0"/>
        <v>5.5815000000000001</v>
      </c>
      <c r="N23" s="189">
        <f>'Cost Calculation'!AS15</f>
        <v>192642.73004897466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W4</v>
      </c>
      <c r="E24" s="187" t="str">
        <f>Pricing!C12</f>
        <v>M14600</v>
      </c>
      <c r="F24" s="187" t="str">
        <f>Pricing!D12</f>
        <v>3 TRACK 2 SHUTTER SLIDING DOOR WITH INTERNAL RAILING</v>
      </c>
      <c r="G24" s="187" t="str">
        <f>Pricing!N12</f>
        <v>24MM &amp; 12MM</v>
      </c>
      <c r="H24" s="187" t="str">
        <f>Pricing!F12</f>
        <v>NA</v>
      </c>
      <c r="I24" s="216" t="str">
        <f>Pricing!E12</f>
        <v>SS</v>
      </c>
      <c r="J24" s="216">
        <f>Pricing!G12</f>
        <v>1525</v>
      </c>
      <c r="K24" s="216">
        <f>Pricing!H12</f>
        <v>2286</v>
      </c>
      <c r="L24" s="216">
        <f>Pricing!I12</f>
        <v>4</v>
      </c>
      <c r="M24" s="188">
        <f t="shared" si="0"/>
        <v>13.944599999999999</v>
      </c>
      <c r="N24" s="189">
        <f>'Cost Calculation'!AS16</f>
        <v>480425.91632492113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KW</v>
      </c>
      <c r="E25" s="187" t="str">
        <f>Pricing!C13</f>
        <v>M14600</v>
      </c>
      <c r="F25" s="187" t="str">
        <f>Pricing!D13</f>
        <v>3 TRACK 2 SHUTTER SLIDING WINDOW</v>
      </c>
      <c r="G25" s="187" t="str">
        <f>Pricing!N13</f>
        <v>24MM</v>
      </c>
      <c r="H25" s="187" t="str">
        <f>Pricing!F13</f>
        <v>NA</v>
      </c>
      <c r="I25" s="216" t="str">
        <f>Pricing!E13</f>
        <v>SS</v>
      </c>
      <c r="J25" s="216">
        <f>Pricing!G13</f>
        <v>1525</v>
      </c>
      <c r="K25" s="216">
        <f>Pricing!H13</f>
        <v>1525</v>
      </c>
      <c r="L25" s="216">
        <f>Pricing!I13</f>
        <v>2</v>
      </c>
      <c r="M25" s="188">
        <f t="shared" ref="M25:M42" si="1">J25*K25*L25/1000000</f>
        <v>4.6512500000000001</v>
      </c>
      <c r="N25" s="189">
        <f>'Cost Calculation'!AS17</f>
        <v>176030.33115494906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W5</v>
      </c>
      <c r="E26" s="187" t="str">
        <f>Pricing!C14</f>
        <v>M15000</v>
      </c>
      <c r="F26" s="187" t="str">
        <f>Pricing!D14</f>
        <v>SINGLE DOOR WITH INTERNAL RAILING</v>
      </c>
      <c r="G26" s="187" t="str">
        <f>Pricing!N14</f>
        <v>10MM &amp; 12MM</v>
      </c>
      <c r="H26" s="187" t="str">
        <f>Pricing!F14</f>
        <v>NA</v>
      </c>
      <c r="I26" s="216" t="str">
        <f>Pricing!E14</f>
        <v>NO</v>
      </c>
      <c r="J26" s="216">
        <f>Pricing!G14</f>
        <v>915</v>
      </c>
      <c r="K26" s="216">
        <f>Pricing!H14</f>
        <v>2286</v>
      </c>
      <c r="L26" s="216">
        <f>Pricing!I14</f>
        <v>3</v>
      </c>
      <c r="M26" s="188">
        <f t="shared" si="1"/>
        <v>6.2750700000000004</v>
      </c>
      <c r="N26" s="189">
        <f>'Cost Calculation'!AS18</f>
        <v>219411.59690824378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W6</v>
      </c>
      <c r="E27" s="187" t="str">
        <f>Pricing!C15</f>
        <v>M15000</v>
      </c>
      <c r="F27" s="187" t="str">
        <f>Pricing!D15</f>
        <v>SINGLE DOOR WITH INTERNAL RAILING</v>
      </c>
      <c r="G27" s="187" t="str">
        <f>Pricing!N15</f>
        <v>10MM &amp; 12MM</v>
      </c>
      <c r="H27" s="187" t="str">
        <f>Pricing!F15</f>
        <v>NA</v>
      </c>
      <c r="I27" s="216" t="str">
        <f>Pricing!E15</f>
        <v>NO</v>
      </c>
      <c r="J27" s="216">
        <f>Pricing!G15</f>
        <v>534</v>
      </c>
      <c r="K27" s="216">
        <f>Pricing!H15</f>
        <v>2286</v>
      </c>
      <c r="L27" s="216">
        <f>Pricing!I15</f>
        <v>2</v>
      </c>
      <c r="M27" s="188">
        <f t="shared" si="1"/>
        <v>2.4414479999999998</v>
      </c>
      <c r="N27" s="189">
        <f>'Cost Calculation'!AS19</f>
        <v>123535.84625024398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V</v>
      </c>
      <c r="E28" s="187" t="str">
        <f>Pricing!C16</f>
        <v>M15000</v>
      </c>
      <c r="F28" s="187" t="str">
        <f>Pricing!D16</f>
        <v>TOP HUNG WINDOW WITH BOTTOM FIXED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610</v>
      </c>
      <c r="K28" s="216">
        <f>Pricing!H16</f>
        <v>1525</v>
      </c>
      <c r="L28" s="216">
        <f>Pricing!I16</f>
        <v>1</v>
      </c>
      <c r="M28" s="188">
        <f t="shared" si="1"/>
        <v>0.93025000000000002</v>
      </c>
      <c r="N28" s="189">
        <f>'Cost Calculation'!AS20</f>
        <v>100722.47315570082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24</v>
      </c>
      <c r="M116" s="191">
        <f>SUM(M16:M115)</f>
        <v>152.57952800000001</v>
      </c>
      <c r="N116" s="186"/>
      <c r="O116" s="95"/>
    </row>
    <row r="117" spans="2:15" s="94" customFormat="1" ht="30" customHeight="1" thickTop="1" thickBot="1">
      <c r="B117" s="419" t="s">
        <v>180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4102303</v>
      </c>
      <c r="O117" s="95">
        <f>N117/SUM(M116)</f>
        <v>26886.326453965696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738415</v>
      </c>
      <c r="O118" s="95">
        <f>N118/SUM(M116)</f>
        <v>4839.5417765350539</v>
      </c>
    </row>
    <row r="119" spans="2:15" s="94" customFormat="1" ht="30" customHeight="1" thickTop="1" thickBot="1">
      <c r="B119" s="419" t="s">
        <v>181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4840718</v>
      </c>
      <c r="O119" s="95">
        <f>N119/SUM(M116)</f>
        <v>31725.86823050075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2497.8006739098569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139" customFormat="1" ht="30" customHeight="1">
      <c r="B123" s="422" t="s">
        <v>206</v>
      </c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4"/>
      <c r="O123" s="138"/>
    </row>
    <row r="124" spans="2:15" s="93" customFormat="1" ht="24.95" customHeight="1">
      <c r="B124" s="412">
        <v>1</v>
      </c>
      <c r="C124" s="413"/>
      <c r="D124" s="410" t="s">
        <v>442</v>
      </c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</row>
    <row r="125" spans="2:15" s="93" customFormat="1" ht="24.95" customHeight="1">
      <c r="B125" s="412">
        <v>2</v>
      </c>
      <c r="C125" s="413"/>
      <c r="D125" s="410" t="s">
        <v>443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3</v>
      </c>
      <c r="C126" s="413"/>
      <c r="D126" s="410" t="s">
        <v>456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4</v>
      </c>
      <c r="C127" s="413"/>
      <c r="D127" s="410" t="s">
        <v>444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2" t="s">
        <v>140</v>
      </c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4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387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139" customFormat="1" ht="30" customHeight="1">
      <c r="B131" s="491" t="s">
        <v>141</v>
      </c>
      <c r="C131" s="492"/>
      <c r="D131" s="492"/>
      <c r="E131" s="492"/>
      <c r="F131" s="492"/>
      <c r="G131" s="492"/>
      <c r="H131" s="492"/>
      <c r="I131" s="492"/>
      <c r="J131" s="492"/>
      <c r="K131" s="492"/>
      <c r="L131" s="492"/>
      <c r="M131" s="492"/>
      <c r="N131" s="493"/>
    </row>
    <row r="132" spans="2:14" s="93" customFormat="1" ht="24.95" customHeight="1">
      <c r="B132" s="412">
        <v>1</v>
      </c>
      <c r="C132" s="413"/>
      <c r="D132" s="410" t="s">
        <v>142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4" s="93" customFormat="1" ht="24.95" customHeight="1">
      <c r="B133" s="412">
        <v>2</v>
      </c>
      <c r="C133" s="413"/>
      <c r="D133" s="410" t="s">
        <v>143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3</v>
      </c>
      <c r="C134" s="413"/>
      <c r="D134" s="410" t="s">
        <v>144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139" customFormat="1" ht="30" customHeight="1">
      <c r="B135" s="491" t="s">
        <v>145</v>
      </c>
      <c r="C135" s="492"/>
      <c r="D135" s="492"/>
      <c r="E135" s="492"/>
      <c r="F135" s="492"/>
      <c r="G135" s="492"/>
      <c r="H135" s="492"/>
      <c r="I135" s="492"/>
      <c r="J135" s="492"/>
      <c r="K135" s="492"/>
      <c r="L135" s="492"/>
      <c r="M135" s="492"/>
      <c r="N135" s="493"/>
    </row>
    <row r="136" spans="2:14" s="139" customFormat="1" ht="30" customHeight="1">
      <c r="B136" s="506" t="s">
        <v>146</v>
      </c>
      <c r="C136" s="507"/>
      <c r="D136" s="507"/>
      <c r="E136" s="507"/>
      <c r="F136" s="507"/>
      <c r="G136" s="507"/>
      <c r="H136" s="507"/>
      <c r="I136" s="507"/>
      <c r="J136" s="507"/>
      <c r="K136" s="507"/>
      <c r="L136" s="507"/>
      <c r="M136" s="507"/>
      <c r="N136" s="508"/>
    </row>
    <row r="137" spans="2:14" s="93" customFormat="1" ht="24.95" customHeight="1">
      <c r="B137" s="412">
        <v>1</v>
      </c>
      <c r="C137" s="413"/>
      <c r="D137" s="410" t="s">
        <v>147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4" s="93" customFormat="1" ht="24.95" customHeight="1">
      <c r="B138" s="412">
        <v>2</v>
      </c>
      <c r="C138" s="413"/>
      <c r="D138" s="410" t="s">
        <v>400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2">
        <v>3</v>
      </c>
      <c r="C139" s="413"/>
      <c r="D139" s="410" t="s">
        <v>148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4</v>
      </c>
      <c r="C140" s="413"/>
      <c r="D140" s="410" t="s">
        <v>149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5</v>
      </c>
      <c r="C141" s="413"/>
      <c r="D141" s="410" t="s">
        <v>150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6</v>
      </c>
      <c r="C142" s="413"/>
      <c r="D142" s="410" t="s">
        <v>151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140" customFormat="1" ht="30" customHeight="1">
      <c r="B143" s="491" t="s">
        <v>152</v>
      </c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3"/>
    </row>
    <row r="144" spans="2:14" s="93" customFormat="1" ht="24.95" customHeight="1">
      <c r="B144" s="412">
        <v>1</v>
      </c>
      <c r="C144" s="413"/>
      <c r="D144" s="410" t="s">
        <v>153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135" customHeight="1">
      <c r="B145" s="412">
        <v>2</v>
      </c>
      <c r="C145" s="413"/>
      <c r="D145" s="494" t="s">
        <v>419</v>
      </c>
      <c r="E145" s="495"/>
      <c r="F145" s="495"/>
      <c r="G145" s="495"/>
      <c r="H145" s="495"/>
      <c r="I145" s="495"/>
      <c r="J145" s="495"/>
      <c r="K145" s="495"/>
      <c r="L145" s="495"/>
      <c r="M145" s="495"/>
      <c r="N145" s="496"/>
    </row>
    <row r="146" spans="2:14" s="93" customFormat="1" ht="24.95" customHeight="1">
      <c r="B146" s="412">
        <v>3</v>
      </c>
      <c r="C146" s="413"/>
      <c r="D146" s="410" t="s">
        <v>154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24.95" customHeight="1">
      <c r="B147" s="412">
        <v>4</v>
      </c>
      <c r="C147" s="413"/>
      <c r="D147" s="410" t="s">
        <v>155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140" customFormat="1" ht="30" customHeight="1">
      <c r="B148" s="491" t="s">
        <v>156</v>
      </c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3"/>
    </row>
    <row r="149" spans="2:14" s="93" customFormat="1" ht="24.95" customHeight="1">
      <c r="B149" s="412">
        <v>1</v>
      </c>
      <c r="C149" s="413"/>
      <c r="D149" s="410" t="s">
        <v>157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55.9" customHeight="1">
      <c r="B150" s="412">
        <v>2</v>
      </c>
      <c r="C150" s="413"/>
      <c r="D150" s="494" t="s">
        <v>158</v>
      </c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140" customFormat="1" ht="30" customHeight="1">
      <c r="B151" s="491" t="s">
        <v>159</v>
      </c>
      <c r="C151" s="492"/>
      <c r="D151" s="492"/>
      <c r="E151" s="492"/>
      <c r="F151" s="492"/>
      <c r="G151" s="492"/>
      <c r="H151" s="492"/>
      <c r="I151" s="492"/>
      <c r="J151" s="492"/>
      <c r="K151" s="492"/>
      <c r="L151" s="492"/>
      <c r="M151" s="492"/>
      <c r="N151" s="493"/>
    </row>
    <row r="152" spans="2:14" s="93" customFormat="1" ht="24.95" customHeight="1">
      <c r="B152" s="412">
        <v>1</v>
      </c>
      <c r="C152" s="413"/>
      <c r="D152" s="468" t="s">
        <v>160</v>
      </c>
      <c r="E152" s="468"/>
      <c r="F152" s="468"/>
      <c r="G152" s="468"/>
      <c r="H152" s="468"/>
      <c r="I152" s="468"/>
      <c r="J152" s="468"/>
      <c r="K152" s="468"/>
      <c r="L152" s="468"/>
      <c r="M152" s="468"/>
      <c r="N152" s="469"/>
    </row>
    <row r="153" spans="2:14" s="93" customFormat="1" ht="24.95" customHeight="1">
      <c r="B153" s="412">
        <v>2</v>
      </c>
      <c r="C153" s="413"/>
      <c r="D153" s="468" t="s">
        <v>161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93" customFormat="1" ht="49.9" customHeight="1">
      <c r="B154" s="412">
        <v>3</v>
      </c>
      <c r="C154" s="413"/>
      <c r="D154" s="488" t="s">
        <v>162</v>
      </c>
      <c r="E154" s="489"/>
      <c r="F154" s="489"/>
      <c r="G154" s="489"/>
      <c r="H154" s="489"/>
      <c r="I154" s="489"/>
      <c r="J154" s="489"/>
      <c r="K154" s="489"/>
      <c r="L154" s="489"/>
      <c r="M154" s="489"/>
      <c r="N154" s="490"/>
    </row>
    <row r="155" spans="2:14" s="93" customFormat="1" ht="24.95" customHeight="1">
      <c r="B155" s="412">
        <v>4</v>
      </c>
      <c r="C155" s="413"/>
      <c r="D155" s="468" t="s">
        <v>163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140" customFormat="1" ht="30" customHeight="1">
      <c r="B156" s="491" t="s">
        <v>164</v>
      </c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3"/>
    </row>
    <row r="157" spans="2:14" s="93" customFormat="1" ht="24.95" customHeight="1">
      <c r="B157" s="412">
        <v>1</v>
      </c>
      <c r="C157" s="413"/>
      <c r="D157" s="468" t="s">
        <v>165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12">
        <v>2</v>
      </c>
      <c r="C158" s="413"/>
      <c r="D158" s="468" t="s">
        <v>166</v>
      </c>
      <c r="E158" s="468"/>
      <c r="F158" s="468"/>
      <c r="G158" s="468"/>
      <c r="H158" s="468"/>
      <c r="I158" s="468"/>
      <c r="J158" s="468"/>
      <c r="K158" s="468"/>
      <c r="L158" s="468"/>
      <c r="M158" s="468"/>
      <c r="N158" s="469"/>
    </row>
    <row r="159" spans="2:14" s="93" customFormat="1" ht="24.95" customHeight="1">
      <c r="B159" s="412">
        <v>3</v>
      </c>
      <c r="C159" s="413"/>
      <c r="D159" s="468" t="s">
        <v>167</v>
      </c>
      <c r="E159" s="468"/>
      <c r="F159" s="468"/>
      <c r="G159" s="468"/>
      <c r="H159" s="468"/>
      <c r="I159" s="468"/>
      <c r="J159" s="468"/>
      <c r="K159" s="468"/>
      <c r="L159" s="468"/>
      <c r="M159" s="468"/>
      <c r="N159" s="469"/>
    </row>
    <row r="160" spans="2:14" s="93" customFormat="1" ht="24.95" customHeight="1">
      <c r="B160" s="412">
        <v>4</v>
      </c>
      <c r="C160" s="413"/>
      <c r="D160" s="468" t="s">
        <v>399</v>
      </c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</row>
    <row r="161" spans="2:14" s="93" customFormat="1" ht="24.95" customHeight="1">
      <c r="B161" s="485" t="s">
        <v>239</v>
      </c>
      <c r="C161" s="486"/>
      <c r="D161" s="486"/>
      <c r="E161" s="486"/>
      <c r="F161" s="486"/>
      <c r="G161" s="486"/>
      <c r="H161" s="486"/>
      <c r="I161" s="486"/>
      <c r="J161" s="486"/>
      <c r="K161" s="486"/>
      <c r="L161" s="486"/>
      <c r="M161" s="486"/>
      <c r="N161" s="487"/>
    </row>
    <row r="162" spans="2:14" s="93" customFormat="1" ht="24.95" customHeight="1">
      <c r="B162" s="485" t="s">
        <v>240</v>
      </c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7"/>
    </row>
    <row r="163" spans="2:14" s="93" customFormat="1" ht="41.25" customHeight="1">
      <c r="B163" s="476"/>
      <c r="C163" s="477"/>
      <c r="D163" s="477"/>
      <c r="E163" s="477"/>
      <c r="F163" s="477"/>
      <c r="G163" s="477"/>
      <c r="H163" s="477"/>
      <c r="I163" s="477"/>
      <c r="J163" s="477"/>
      <c r="K163" s="477"/>
      <c r="L163" s="477"/>
      <c r="M163" s="477"/>
      <c r="N163" s="478"/>
    </row>
    <row r="164" spans="2:14" s="93" customFormat="1" ht="39.950000000000003" customHeight="1">
      <c r="B164" s="479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</row>
    <row r="165" spans="2:14" s="93" customFormat="1" ht="41.25" customHeight="1">
      <c r="B165" s="479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</row>
    <row r="166" spans="2:14" s="93" customFormat="1" ht="39.950000000000003" customHeight="1" thickBot="1">
      <c r="B166" s="482"/>
      <c r="C166" s="483"/>
      <c r="D166" s="483"/>
      <c r="E166" s="483"/>
      <c r="F166" s="483"/>
      <c r="G166" s="483"/>
      <c r="H166" s="483"/>
      <c r="I166" s="483"/>
      <c r="J166" s="483"/>
      <c r="K166" s="483"/>
      <c r="L166" s="483"/>
      <c r="M166" s="483"/>
      <c r="N166" s="484"/>
    </row>
    <row r="167" spans="2:14" s="93" customFormat="1" ht="30" customHeight="1" thickTop="1">
      <c r="B167" s="464" t="s">
        <v>110</v>
      </c>
      <c r="C167" s="465"/>
      <c r="D167" s="465"/>
      <c r="E167" s="470"/>
      <c r="F167" s="471"/>
      <c r="G167" s="471"/>
      <c r="H167" s="471"/>
      <c r="I167" s="471"/>
      <c r="J167" s="471"/>
      <c r="K167" s="471"/>
      <c r="L167" s="472"/>
      <c r="M167" s="465" t="s">
        <v>204</v>
      </c>
      <c r="N167" s="466"/>
    </row>
    <row r="168" spans="2:14" s="93" customFormat="1" ht="33" customHeight="1" thickBot="1">
      <c r="B168" s="467" t="s">
        <v>107</v>
      </c>
      <c r="C168" s="462"/>
      <c r="D168" s="462"/>
      <c r="E168" s="473"/>
      <c r="F168" s="474"/>
      <c r="G168" s="474"/>
      <c r="H168" s="474"/>
      <c r="I168" s="474"/>
      <c r="J168" s="474"/>
      <c r="K168" s="474"/>
      <c r="L168" s="475"/>
      <c r="M168" s="462" t="s">
        <v>108</v>
      </c>
      <c r="N168" s="463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50:C50"/>
    <mergeCell ref="B51:C51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52:C52"/>
    <mergeCell ref="B53:C5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B56:C56"/>
    <mergeCell ref="B66:C66"/>
    <mergeCell ref="D125:N125"/>
    <mergeCell ref="B124:C124"/>
    <mergeCell ref="D124:N124"/>
    <mergeCell ref="B130:C130"/>
    <mergeCell ref="D130:N130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9" sqref="K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43732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Veeraprakash Residence</v>
      </c>
      <c r="E3" s="514"/>
      <c r="F3" s="517" t="s">
        <v>245</v>
      </c>
      <c r="G3" s="518">
        <f>QUOTATION!N8</f>
        <v>43732</v>
      </c>
    </row>
    <row r="4" spans="3:13">
      <c r="C4" s="297" t="s">
        <v>242</v>
      </c>
      <c r="D4" s="515" t="str">
        <f>QUOTATION!M6</f>
        <v>ABPL-DE-19.20-2179-OP-1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Ms. Prathyusha : 8008103067</v>
      </c>
      <c r="E6" s="514"/>
      <c r="F6" s="517"/>
      <c r="G6" s="519"/>
    </row>
    <row r="7" spans="3:13">
      <c r="C7" s="297" t="s">
        <v>374</v>
      </c>
      <c r="D7" s="514" t="str">
        <f>QUOTATION!M10</f>
        <v>Vinod Bachala</v>
      </c>
      <c r="E7" s="514"/>
      <c r="F7" s="517"/>
      <c r="G7" s="519"/>
    </row>
    <row r="8" spans="3:13">
      <c r="C8" s="297" t="s">
        <v>176</v>
      </c>
      <c r="D8" s="514" t="str">
        <f>QUOTATION!F10</f>
        <v>Anodized</v>
      </c>
      <c r="E8" s="514"/>
      <c r="F8" s="517"/>
      <c r="G8" s="519"/>
    </row>
    <row r="9" spans="3:13">
      <c r="C9" s="297" t="s">
        <v>177</v>
      </c>
      <c r="D9" s="514" t="str">
        <f>QUOTATION!I10</f>
        <v>Silver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Nikhil</v>
      </c>
      <c r="E11" s="514"/>
      <c r="F11" s="517"/>
      <c r="G11" s="519"/>
    </row>
    <row r="12" spans="3:13">
      <c r="C12" s="297" t="s">
        <v>243</v>
      </c>
      <c r="D12" s="516">
        <f>QUOTATION!M7</f>
        <v>43712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13252.53</v>
      </c>
      <c r="F14" s="205"/>
      <c r="G14" s="206">
        <f>E14</f>
        <v>13252.53</v>
      </c>
    </row>
    <row r="15" spans="3:13">
      <c r="C15" s="194" t="s">
        <v>234</v>
      </c>
      <c r="D15" s="296">
        <f>'Changable Values'!D4</f>
        <v>83</v>
      </c>
      <c r="E15" s="199">
        <f>E14*D15</f>
        <v>1099959.99</v>
      </c>
      <c r="F15" s="205"/>
      <c r="G15" s="207">
        <f>E15</f>
        <v>1099959.99</v>
      </c>
    </row>
    <row r="16" spans="3:13">
      <c r="C16" s="195" t="s">
        <v>97</v>
      </c>
      <c r="D16" s="200">
        <f>'Changable Values'!D5</f>
        <v>0.1</v>
      </c>
      <c r="E16" s="199">
        <f>E15*D16</f>
        <v>109995.99900000001</v>
      </c>
      <c r="F16" s="208">
        <f>'Changable Values'!D5</f>
        <v>0.1</v>
      </c>
      <c r="G16" s="207">
        <f>G15*F16</f>
        <v>109995.99900000001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133095.15879000002</v>
      </c>
      <c r="F17" s="208">
        <f>'Changable Values'!D6</f>
        <v>0.11</v>
      </c>
      <c r="G17" s="207">
        <f>SUM(G15:G16)*F17</f>
        <v>133095.15879000002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6715.2557389500007</v>
      </c>
      <c r="F18" s="208">
        <f>'Changable Values'!D7</f>
        <v>5.0000000000000001E-3</v>
      </c>
      <c r="G18" s="207">
        <f>SUM(G15:G17)*F18</f>
        <v>6715.2557389500007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13497.664035289503</v>
      </c>
      <c r="F19" s="208">
        <f>'Changable Values'!D8</f>
        <v>0.01</v>
      </c>
      <c r="G19" s="207">
        <f>SUM(G15:G18)*F19</f>
        <v>13497.664035289503</v>
      </c>
    </row>
    <row r="20" spans="3:7">
      <c r="C20" s="195" t="s">
        <v>99</v>
      </c>
      <c r="D20" s="201"/>
      <c r="E20" s="199">
        <f>SUM(E15:E19)</f>
        <v>1363264.0675642397</v>
      </c>
      <c r="F20" s="208"/>
      <c r="G20" s="207">
        <f>SUM(G15:G19)</f>
        <v>1363264.0675642397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20448.961013463595</v>
      </c>
      <c r="F21" s="208">
        <f>'Changable Values'!D9</f>
        <v>1.4999999999999999E-2</v>
      </c>
      <c r="G21" s="207">
        <f>G20*F21</f>
        <v>20448.961013463595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521844.49114</v>
      </c>
      <c r="F23" s="209"/>
      <c r="G23" s="207">
        <f t="shared" si="0"/>
        <v>521844.49114</v>
      </c>
    </row>
    <row r="24" spans="3:7">
      <c r="C24" s="195" t="s">
        <v>229</v>
      </c>
      <c r="D24" s="198"/>
      <c r="E24" s="199">
        <f>'Cost Calculation'!AH111</f>
        <v>42022.933377049187</v>
      </c>
      <c r="F24" s="209"/>
      <c r="G24" s="207">
        <f t="shared" si="0"/>
        <v>42022.933377049187</v>
      </c>
    </row>
    <row r="25" spans="3:7">
      <c r="C25" s="196" t="s">
        <v>237</v>
      </c>
      <c r="D25" s="198"/>
      <c r="E25" s="199">
        <f>'Cost Calculation'!AJ109</f>
        <v>76926.411432000008</v>
      </c>
      <c r="F25" s="209"/>
      <c r="G25" s="207">
        <f t="shared" si="0"/>
        <v>76926.411432000008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164236.60393919999</v>
      </c>
      <c r="F27" s="209"/>
      <c r="G27" s="207">
        <f t="shared" si="0"/>
        <v>164236.60393919999</v>
      </c>
    </row>
    <row r="28" spans="3:7">
      <c r="C28" s="195" t="s">
        <v>88</v>
      </c>
      <c r="D28" s="198"/>
      <c r="E28" s="199">
        <f>'Cost Calculation'!AN109</f>
        <v>131389.28315136</v>
      </c>
      <c r="F28" s="209"/>
      <c r="G28" s="207">
        <f t="shared" si="0"/>
        <v>131389.28315136</v>
      </c>
    </row>
    <row r="29" spans="3:7">
      <c r="C29" s="293" t="s">
        <v>377</v>
      </c>
      <c r="D29" s="294"/>
      <c r="E29" s="295">
        <f>SUM(E20:E28)</f>
        <v>2320132.7516173124</v>
      </c>
      <c r="F29" s="209"/>
      <c r="G29" s="207">
        <f>SUM(G20:G21,G24)</f>
        <v>1425735.9619547524</v>
      </c>
    </row>
    <row r="30" spans="3:7">
      <c r="C30" s="293" t="s">
        <v>378</v>
      </c>
      <c r="D30" s="294"/>
      <c r="E30" s="295">
        <f>E29/E33</f>
        <v>1412.6770135092543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1782169.9524434404</v>
      </c>
      <c r="F31" s="214">
        <f>'Changable Values'!D23</f>
        <v>1.25</v>
      </c>
      <c r="G31" s="207">
        <f>G29*F31</f>
        <v>1782169.9524434404</v>
      </c>
    </row>
    <row r="32" spans="3:7">
      <c r="C32" s="290" t="s">
        <v>5</v>
      </c>
      <c r="D32" s="291"/>
      <c r="E32" s="292">
        <f>E31+E29</f>
        <v>4102302.7040607529</v>
      </c>
      <c r="F32" s="205"/>
      <c r="G32" s="207">
        <f>SUM(G25:G31,G22:G23)</f>
        <v>4102302.7040607529</v>
      </c>
    </row>
    <row r="33" spans="3:7">
      <c r="C33" s="300" t="s">
        <v>230</v>
      </c>
      <c r="D33" s="301"/>
      <c r="E33" s="308">
        <f>'Cost Calculation'!K109</f>
        <v>1642.3660393919997</v>
      </c>
      <c r="F33" s="210"/>
      <c r="G33" s="211">
        <f>E33</f>
        <v>1642.3660393919997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2497.8004937190594</v>
      </c>
      <c r="F35" s="212"/>
      <c r="G35" s="213">
        <f>G32/(G33)</f>
        <v>2497.8004937190594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2019-09-24T05:42:52Z</cp:lastPrinted>
  <dcterms:created xsi:type="dcterms:W3CDTF">2010-12-18T06:34:46Z</dcterms:created>
  <dcterms:modified xsi:type="dcterms:W3CDTF">2019-09-24T05:42:53Z</dcterms:modified>
</cp:coreProperties>
</file>