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Drawings!$C$2:$O$513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A42" i="169"/>
  <c r="B42" i="169"/>
  <c r="C42" i="169"/>
  <c r="D42" i="169"/>
  <c r="E42" i="169"/>
  <c r="F42" i="169"/>
  <c r="I42" i="169"/>
  <c r="J42" i="169"/>
  <c r="K42" i="169"/>
  <c r="L42" i="169"/>
  <c r="M42" i="169"/>
  <c r="N42" i="169"/>
  <c r="O42" i="169"/>
  <c r="P42" i="169"/>
  <c r="Q42" i="169"/>
  <c r="R42" i="169"/>
  <c r="S42" i="169"/>
  <c r="T42" i="169"/>
  <c r="U42" i="169"/>
  <c r="A43" i="169"/>
  <c r="B43" i="169"/>
  <c r="C43" i="169"/>
  <c r="D43" i="169"/>
  <c r="E43" i="169"/>
  <c r="F43" i="169"/>
  <c r="I43" i="169"/>
  <c r="J43" i="169"/>
  <c r="K43" i="169"/>
  <c r="L43" i="169"/>
  <c r="M43" i="169"/>
  <c r="N43" i="169"/>
  <c r="O43" i="169"/>
  <c r="P43" i="169"/>
  <c r="Q43" i="169"/>
  <c r="R43" i="169"/>
  <c r="S43" i="169"/>
  <c r="T43" i="169"/>
  <c r="U43" i="169"/>
  <c r="A44" i="169"/>
  <c r="B44" i="169"/>
  <c r="C44" i="169"/>
  <c r="D44" i="169"/>
  <c r="E44" i="169"/>
  <c r="F44" i="169"/>
  <c r="I44" i="169"/>
  <c r="J44" i="169"/>
  <c r="K44" i="169"/>
  <c r="L44" i="169"/>
  <c r="M44" i="169"/>
  <c r="N44" i="169"/>
  <c r="O44" i="169"/>
  <c r="P44" i="169"/>
  <c r="Q44" i="169"/>
  <c r="R44" i="169"/>
  <c r="S44" i="169"/>
  <c r="T44" i="169"/>
  <c r="U44" i="169"/>
  <c r="A45" i="169"/>
  <c r="B45" i="169"/>
  <c r="C45" i="169"/>
  <c r="D45" i="169"/>
  <c r="E45" i="169"/>
  <c r="F45" i="169"/>
  <c r="I45" i="169"/>
  <c r="J45" i="169"/>
  <c r="K45" i="169"/>
  <c r="L45" i="169"/>
  <c r="M45" i="169"/>
  <c r="N45" i="169"/>
  <c r="O45" i="169"/>
  <c r="P45" i="169"/>
  <c r="Q45" i="169"/>
  <c r="R45" i="169"/>
  <c r="S45" i="169"/>
  <c r="T45" i="169"/>
  <c r="U45" i="169"/>
  <c r="A46" i="169"/>
  <c r="B46" i="169"/>
  <c r="C46" i="169"/>
  <c r="D46" i="169"/>
  <c r="E46" i="169"/>
  <c r="F46" i="169"/>
  <c r="I46" i="169"/>
  <c r="J46" i="169"/>
  <c r="K46" i="169"/>
  <c r="L46" i="169"/>
  <c r="M46" i="169"/>
  <c r="N46" i="169"/>
  <c r="O46" i="169"/>
  <c r="P46" i="169"/>
  <c r="Q46" i="169"/>
  <c r="R46" i="169"/>
  <c r="S46" i="169"/>
  <c r="T46" i="169"/>
  <c r="U46" i="169"/>
  <c r="A47" i="169"/>
  <c r="B47" i="169"/>
  <c r="C47" i="169"/>
  <c r="D47" i="169"/>
  <c r="E47" i="169"/>
  <c r="F47" i="169"/>
  <c r="I47" i="169"/>
  <c r="J47" i="169"/>
  <c r="K47" i="169"/>
  <c r="L47" i="169"/>
  <c r="M47" i="169"/>
  <c r="N47" i="169"/>
  <c r="O47" i="169"/>
  <c r="P47" i="169"/>
  <c r="Q47" i="169"/>
  <c r="R47" i="169"/>
  <c r="S47" i="169"/>
  <c r="T47" i="169"/>
  <c r="U47" i="169"/>
  <c r="Q42" i="158" l="1"/>
  <c r="Q40" i="158"/>
  <c r="Q39" i="158"/>
  <c r="Q37" i="158"/>
  <c r="Q36" i="158"/>
  <c r="Q34" i="158"/>
  <c r="Q33" i="158"/>
  <c r="Q30" i="158"/>
  <c r="Q29" i="158"/>
  <c r="Q28" i="158"/>
  <c r="Q27" i="158"/>
  <c r="Q26" i="158"/>
  <c r="Q25" i="158"/>
  <c r="Q24" i="158"/>
  <c r="Q23" i="158"/>
  <c r="Q22" i="158"/>
  <c r="Q21" i="158"/>
  <c r="Q14" i="158"/>
  <c r="Q12" i="158"/>
  <c r="Q10" i="158"/>
  <c r="Q5" i="158"/>
  <c r="Q4" i="158"/>
  <c r="K5" i="158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33" i="161" l="1"/>
  <c r="K30" i="161"/>
  <c r="K27" i="161"/>
  <c r="K26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50" i="158" l="1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50" i="158" l="1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50" i="158" l="1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0" i="158" l="1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H44" i="158"/>
  <c r="K56" i="160" s="1"/>
  <c r="I44" i="158"/>
  <c r="E45" i="158"/>
  <c r="I57" i="160" s="1"/>
  <c r="F45" i="158"/>
  <c r="H57" i="160" s="1"/>
  <c r="G45" i="158"/>
  <c r="H45" i="158"/>
  <c r="K57" i="160" s="1"/>
  <c r="I45" i="158"/>
  <c r="E46" i="158"/>
  <c r="I58" i="160" s="1"/>
  <c r="F46" i="158"/>
  <c r="H58" i="160" s="1"/>
  <c r="G46" i="158"/>
  <c r="H46" i="158"/>
  <c r="K58" i="160" s="1"/>
  <c r="I46" i="158"/>
  <c r="E47" i="158"/>
  <c r="I59" i="160" s="1"/>
  <c r="F47" i="158"/>
  <c r="H59" i="160" s="1"/>
  <c r="G47" i="158"/>
  <c r="H47" i="158"/>
  <c r="K59" i="160" s="1"/>
  <c r="I47" i="158"/>
  <c r="E48" i="158"/>
  <c r="I60" i="160" s="1"/>
  <c r="F48" i="158"/>
  <c r="H60" i="160" s="1"/>
  <c r="G48" i="158"/>
  <c r="H48" i="158"/>
  <c r="K60" i="160" s="1"/>
  <c r="I48" i="158"/>
  <c r="E49" i="158"/>
  <c r="I61" i="160" s="1"/>
  <c r="F49" i="158"/>
  <c r="H61" i="160" s="1"/>
  <c r="G49" i="158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61" i="160" l="1"/>
  <c r="U49" i="158"/>
  <c r="Y49" i="158"/>
  <c r="V49" i="158"/>
  <c r="T49" i="158"/>
  <c r="W49" i="158" s="1"/>
  <c r="X49" i="158" s="1"/>
  <c r="J60" i="160"/>
  <c r="U48" i="158"/>
  <c r="Y48" i="158"/>
  <c r="V48" i="158"/>
  <c r="T48" i="158"/>
  <c r="W48" i="158" s="1"/>
  <c r="X48" i="158" s="1"/>
  <c r="J59" i="160"/>
  <c r="U47" i="158"/>
  <c r="Y47" i="158"/>
  <c r="V47" i="158"/>
  <c r="T47" i="158"/>
  <c r="W47" i="158" s="1"/>
  <c r="X47" i="158" s="1"/>
  <c r="J58" i="160"/>
  <c r="U46" i="158"/>
  <c r="Y46" i="158"/>
  <c r="V46" i="158"/>
  <c r="T46" i="158"/>
  <c r="W46" i="158" s="1"/>
  <c r="X46" i="158" s="1"/>
  <c r="J57" i="160"/>
  <c r="U45" i="158"/>
  <c r="Y45" i="158"/>
  <c r="V45" i="158"/>
  <c r="T45" i="158"/>
  <c r="W45" i="158" s="1"/>
  <c r="X45" i="158" s="1"/>
  <c r="J56" i="160"/>
  <c r="U44" i="158"/>
  <c r="Y44" i="158"/>
  <c r="V44" i="158"/>
  <c r="T44" i="158"/>
  <c r="W44" i="158" s="1"/>
  <c r="X44" i="158" s="1"/>
  <c r="J55" i="160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22" i="159" l="1"/>
  <c r="AH54" i="159"/>
  <c r="AH57" i="159"/>
  <c r="M25" i="160"/>
  <c r="M47" i="160"/>
  <c r="AH52" i="159"/>
  <c r="M57" i="160"/>
  <c r="M38" i="160"/>
  <c r="M45" i="160"/>
  <c r="AH48" i="159"/>
  <c r="AH51" i="159"/>
  <c r="AH55" i="159"/>
  <c r="AH49" i="159"/>
  <c r="AH16" i="159"/>
  <c r="AH42" i="159"/>
  <c r="M42" i="160"/>
  <c r="AH56" i="159"/>
  <c r="AH24" i="159"/>
  <c r="AH40" i="159"/>
  <c r="M50" i="160"/>
  <c r="M36" i="160"/>
  <c r="M53" i="160"/>
  <c r="AH53" i="159"/>
  <c r="AH50" i="159"/>
  <c r="AH47" i="159"/>
  <c r="AH46" i="159"/>
  <c r="AH45" i="159"/>
  <c r="AH44" i="159"/>
  <c r="AH43" i="159"/>
  <c r="M51" i="160"/>
  <c r="AH41" i="159"/>
  <c r="M49" i="160"/>
  <c r="AH39" i="159"/>
  <c r="AH38" i="159"/>
  <c r="AH37" i="159"/>
  <c r="AH36" i="159"/>
  <c r="AH35" i="159"/>
  <c r="M43" i="160"/>
  <c r="AH34" i="159"/>
  <c r="AH33" i="159"/>
  <c r="AH32" i="159"/>
  <c r="M40" i="160"/>
  <c r="AH31" i="159"/>
  <c r="AH30" i="159"/>
  <c r="AH29" i="159"/>
  <c r="AH28" i="159"/>
  <c r="AH27" i="159"/>
  <c r="AH26" i="159"/>
  <c r="M34" i="160"/>
  <c r="AH25" i="159"/>
  <c r="AH23" i="159"/>
  <c r="M31" i="160"/>
  <c r="M30" i="160"/>
  <c r="AH21" i="159"/>
  <c r="AH20" i="159"/>
  <c r="AH19" i="159"/>
  <c r="AH18" i="159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T48" i="159"/>
  <c r="AU48" i="159" s="1"/>
  <c r="AZ48" i="159" s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<sst xmlns="http://schemas.openxmlformats.org/spreadsheetml/2006/main" count="2196" uniqueCount="520">
  <si>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</si>
  <si>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</si>
  <si>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</si>
  <si>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</si>
  <si>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</si>
  <si>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</si>
  <si>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</si>
  <si>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</si>
  <si>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</si>
  <si>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</si>
  <si>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</si>
  <si>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</si>
  <si>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</si>
  <si>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</si>
  <si>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</si>
  <si>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</si>
  <si>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</si>
  <si>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</si>
  <si>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</si>
  <si>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</si>
  <si>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</si>
  <si>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</si>
  <si>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</si>
  <si>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</si>
  <si>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</si>
  <si>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</si>
  <si>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</si>
  <si>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</si>
  <si>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</si>
  <si>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</si>
  <si>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</si>
  <si>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</si>
  <si>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</si>
  <si>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</si>
  <si>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</si>
  <si>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</si>
  <si>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</si>
  <si>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</si>
  <si>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</si>
  <si>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</si>
  <si>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</si>
  <si>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</si>
  <si>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</si>
  <si>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</si>
  <si>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</si>
  <si>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</si>
  <si>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</si>
  <si>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</si>
  <si>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</si>
  <si>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</si>
  <si>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</si>
  <si>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</si>
  <si>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</si>
  <si>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</si>
  <si>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</si>
  <si>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</si>
  <si>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</si>
  <si>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</si>
  <si>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</si>
  <si>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</si>
  <si>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</si>
  <si>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</si>
  <si>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</si>
  <si>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</si>
  <si>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</si>
  <si>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</si>
  <si>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</si>
  <si>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</si>
  <si>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</si>
  <si>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</si>
  <si>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</si>
  <si>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</si>
  <si>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</si>
  <si>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</si>
  <si>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</si>
  <si>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</si>
  <si>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</si>
  <si>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</si>
  <si>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</si>
  <si>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</si>
  <si>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</si>
  <si>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</si>
  <si>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</si>
  <si>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</si>
  <si>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</si>
  <si>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</si>
  <si>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</si>
  <si>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</si>
  <si>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</si>
  <si>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</si>
  <si>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</si>
  <si>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</si>
  <si>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</si>
  <si>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</si>
  <si>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</si>
  <si>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</si>
  <si>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</si>
  <si>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</si>
  <si>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</si>
  <si>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</si>
  <si>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</si>
  <si>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</si>
  <si>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</si>
  <si>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</si>
  <si>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</si>
  <si>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</si>
  <si>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</si>
  <si>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</si>
  <si>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</si>
  <si>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</si>
  <si>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</si>
  <si>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</si>
  <si>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</si>
  <si>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</si>
  <si>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</si>
  <si>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</si>
  <si>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</si>
  <si>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</si>
  <si>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</si>
  <si>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</si>
  <si>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</si>
  <si>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</si>
  <si>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</si>
  <si>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</si>
  <si>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</si>
  <si>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</si>
  <si>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</si>
  <si>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</si>
  <si>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</si>
  <si>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</si>
  <si>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</si>
  <si>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</si>
  <si>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</si>
  <si>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</si>
  <si>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</si>
  <si>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</si>
  <si>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</si>
  <si>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</si>
  <si>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</si>
  <si>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</si>
  <si>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</si>
  <si>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</si>
  <si>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</si>
  <si>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</si>
  <si>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</si>
  <si>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</si>
  <si>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</si>
  <si>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</si>
  <si>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</si>
  <si>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</si>
  <si>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</si>
  <si>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</si>
  <si>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</si>
  <si>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</si>
  <si>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</si>
  <si>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</si>
  <si>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</si>
  <si>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</si>
  <si>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</si>
  <si>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</si>
  <si>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</si>
  <si>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</si>
  <si>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</si>
  <si>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</si>
  <si>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</si>
  <si>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</si>
  <si>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</si>
  <si>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</si>
  <si>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</si>
  <si>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</si>
  <si>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</si>
  <si>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</si>
  <si>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</si>
  <si>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</si>
  <si>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</si>
  <si>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</si>
  <si>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</si>
  <si>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</si>
  <si>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</si>
  <si>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</si>
  <si>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</si>
  <si>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</si>
  <si>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</si>
  <si>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</si>
  <si>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</si>
  <si>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</si>
  <si>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</si>
  <si>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</si>
  <si>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</si>
  <si>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</si>
  <si>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</si>
  <si>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</si>
  <si>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</si>
  <si>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</si>
  <si>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</si>
  <si>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</si>
  <si>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</si>
  <si>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</si>
  <si>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</si>
  <si>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</si>
  <si>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</si>
  <si>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</si>
  <si>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</si>
  <si>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</si>
  <si>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</si>
  <si>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</si>
  <si>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</si>
  <si>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</si>
  <si>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</si>
  <si>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</si>
  <si>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</si>
  <si>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</si>
  <si>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</si>
  <si>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</si>
  <si>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</si>
  <si>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</si>
  <si>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</si>
  <si>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</si>
  <si>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</si>
  <si>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</si>
  <si>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</si>
  <si>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</si>
  <si>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</si>
  <si>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</si>
  <si>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</si>
  <si>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</si>
  <si>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</si>
  <si>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</si>
  <si>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</si>
  <si>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</si>
  <si>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</si>
  <si>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</si>
  <si>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</si>
  <si>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</si>
  <si>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</si>
  <si>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</si>
  <si>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</si>
  <si>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</si>
  <si>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</si>
  <si>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</si>
  <si>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</si>
  <si>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</si>
  <si>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</si>
  <si>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</si>
  <si>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</si>
  <si>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</si>
  <si>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</si>
  <si>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</si>
  <si>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</si>
  <si>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</si>
  <si>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</si>
  <si>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</si>
  <si>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</si>
  <si>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</si>
  <si>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</si>
  <si>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</si>
  <si>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</si>
  <si>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</si>
  <si>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</si>
  <si>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</si>
  <si>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</si>
  <si>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</si>
  <si>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</si>
  <si>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</si>
  <si>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</si>
  <si>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</si>
  <si>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</si>
  <si>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</si>
  <si>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</si>
  <si>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</si>
  <si>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</si>
  <si>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</si>
  <si>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</si>
  <si>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</si>
  <si>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</si>
  <si>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</si>
  <si>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</si>
  <si>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</si>
  <si>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</si>
  <si>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</si>
  <si>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</si>
  <si>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</si>
  <si>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</si>
  <si>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</si>
  <si>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</si>
  <si>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</si>
  <si>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</si>
  <si>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</si>
  <si>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</si>
  <si>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</si>
  <si>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</si>
  <si>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</si>
  <si>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</si>
  <si>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</si>
  <si>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</si>
  <si>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</si>
  <si>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</si>
  <si>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</si>
  <si>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</si>
  <si>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</si>
  <si>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</si>
  <si>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</si>
  <si>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</si>
  <si>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</si>
  <si>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</si>
  <si>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</si>
  <si>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</si>
  <si>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</si>
  <si>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</si>
  <si>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</si>
  <si>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</si>
  <si>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</si>
  <si>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</si>
  <si>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</si>
  <si>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</si>
  <si>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</si>
  <si>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</si>
  <si>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</si>
  <si>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</si>
  <si>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</si>
  <si>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</si>
  <si>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</si>
  <si>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</si>
  <si>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</si>
  <si>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</si>
  <si>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</si>
  <si>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</si>
  <si>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</si>
  <si>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</si>
  <si>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</si>
  <si>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</si>
  <si>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</si>
  <si>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</si>
  <si>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</si>
  <si>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</si>
  <si>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</si>
  <si>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</si>
  <si>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</si>
  <si>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</si>
  <si>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</si>
  <si>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</si>
  <si>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</si>
  <si>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</si>
  <si>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</si>
  <si>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</si>
  <si>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</si>
  <si>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</si>
  <si>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</si>
  <si>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</si>
  <si>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</si>
  <si>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</si>
  <si>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</si>
  <si>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</si>
  <si>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</si>
  <si>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</si>
  <si>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</si>
  <si>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</si>
  <si>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</si>
  <si>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</si>
  <si>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</si>
  <si>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</si>
  <si>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</si>
  <si>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</si>
  <si>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</si>
  <si>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</si>
  <si>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</si>
  <si>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</si>
  <si>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</si>
  <si>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</si>
  <si>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</si>
  <si>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</si>
  <si>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</si>
  <si>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</si>
  <si>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</si>
  <si>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</si>
  <si>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</si>
  <si>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</si>
  <si>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</si>
  <si>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</si>
  <si>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</si>
  <si>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</si>
  <si>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</si>
  <si>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</si>
  <si>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</si>
  <si>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</si>
  <si>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</si>
  <si>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</si>
  <si>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</si>
  <si>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</si>
  <si>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</si>
  <si>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</si>
  <si>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</si>
  <si>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</si>
  <si>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</si>
  <si>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</si>
  <si>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</si>
  <si>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</si>
  <si>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</si>
  <si>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</si>
  <si>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</si>
  <si>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</si>
  <si>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</si>
  <si>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</si>
  <si>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</si>
  <si>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</si>
  <si>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</si>
  <si>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</si>
  <si>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</si>
  <si>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</si>
  <si>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</si>
  <si>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</si>
  <si>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</si>
  <si>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</si>
  <si>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</si>
  <si>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</si>
  <si>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</si>
  <si>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</si>
  <si>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</si>
  <si>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</si>
  <si>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</si>
  <si>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Abhimanyu</t>
  </si>
  <si>
    <t>Hyderabad</t>
  </si>
  <si>
    <t>Anodized</t>
  </si>
  <si>
    <t>1Kpa</t>
  </si>
  <si>
    <t>ABPL-DE-19.20-2193</t>
  </si>
  <si>
    <t>SD1</t>
  </si>
  <si>
    <t>M14600</t>
  </si>
  <si>
    <t>3 TRACK 4 SHUTTER SLIDING DOOR</t>
  </si>
  <si>
    <t>SS</t>
  </si>
  <si>
    <t>GF - STUDY &amp; LIVING</t>
  </si>
  <si>
    <t>SD2</t>
  </si>
  <si>
    <t>GF - GREAT ROOM</t>
  </si>
  <si>
    <t>PD1</t>
  </si>
  <si>
    <t>POCKET DOOR</t>
  </si>
  <si>
    <t>NO</t>
  </si>
  <si>
    <t>PD2</t>
  </si>
  <si>
    <t>GF - GREAT &amp; FAMILY</t>
  </si>
  <si>
    <t>M15000</t>
  </si>
  <si>
    <t>FRENCH CASEMENT WINDOW</t>
  </si>
  <si>
    <t>GF - SERVANT ROOM</t>
  </si>
  <si>
    <t>DW1-A</t>
  </si>
  <si>
    <t>DW1-B</t>
  </si>
  <si>
    <t>SINGLE DOOR</t>
  </si>
  <si>
    <t>DW2-A</t>
  </si>
  <si>
    <t>-</t>
  </si>
  <si>
    <t>GLASS LOUVERS</t>
  </si>
  <si>
    <t>6MM (A)</t>
  </si>
  <si>
    <t>GF - UTILITY</t>
  </si>
  <si>
    <t>DW2-B</t>
  </si>
  <si>
    <t>DW2-C</t>
  </si>
  <si>
    <t>DV1-A</t>
  </si>
  <si>
    <t>GF - SERVANT TOILET</t>
  </si>
  <si>
    <t>DV1-B</t>
  </si>
  <si>
    <t>W1</t>
  </si>
  <si>
    <t>GF / FF - STAIRCASE</t>
  </si>
  <si>
    <t>W2</t>
  </si>
  <si>
    <t>GF - MBR, GBR &amp; FF - BR 1 &amp; BR 2</t>
  </si>
  <si>
    <t>W3</t>
  </si>
  <si>
    <t>FIXED GLASS 3 NO'S</t>
  </si>
  <si>
    <t>FF - BR 1</t>
  </si>
  <si>
    <t>W4-A</t>
  </si>
  <si>
    <t>FF - GREAT ROOM</t>
  </si>
  <si>
    <t>W4-B</t>
  </si>
  <si>
    <t>FIXED GLASS</t>
  </si>
  <si>
    <t>W4-C</t>
  </si>
  <si>
    <t>SW1</t>
  </si>
  <si>
    <t>M900</t>
  </si>
  <si>
    <t>3 TRACK 2 SHUTTER SLIDING WINDOW</t>
  </si>
  <si>
    <t>20MM</t>
  </si>
  <si>
    <t>GF - STAFF RECEPTION ROOM</t>
  </si>
  <si>
    <t>SW3</t>
  </si>
  <si>
    <t>SW4</t>
  </si>
  <si>
    <t>3 TRACK 2 SHUTTER SLIDING DOOR</t>
  </si>
  <si>
    <t>GF - FAMILY AREA</t>
  </si>
  <si>
    <t>SW5</t>
  </si>
  <si>
    <t>GF - STUDY ROOM</t>
  </si>
  <si>
    <t>SW6</t>
  </si>
  <si>
    <t>SW7</t>
  </si>
  <si>
    <t>GF - DINING</t>
  </si>
  <si>
    <t>SW8</t>
  </si>
  <si>
    <t>GF - POOJA ROOM</t>
  </si>
  <si>
    <t>SW9</t>
  </si>
  <si>
    <t>GF - KITCHEN</t>
  </si>
  <si>
    <t>SW10</t>
  </si>
  <si>
    <t>3 TRACK 4 SHUTTER SLIDING WINDOW</t>
  </si>
  <si>
    <t>FF - FAMILY ROOM</t>
  </si>
  <si>
    <t>SW11</t>
  </si>
  <si>
    <t>FF - BAR</t>
  </si>
  <si>
    <t>SFW1</t>
  </si>
  <si>
    <t>M9800</t>
  </si>
  <si>
    <t>5 LEAF SLIDING FOLDING WINDOW</t>
  </si>
  <si>
    <t>CW1-A</t>
  </si>
  <si>
    <t>SIDE HUNG WITH FIXED GLASS</t>
  </si>
  <si>
    <t>CW1-B</t>
  </si>
  <si>
    <t>CW2-A</t>
  </si>
  <si>
    <t>GF - MBR &amp; FF - BR 1</t>
  </si>
  <si>
    <t>CW2-B</t>
  </si>
  <si>
    <t>FIXED GLASS CORNOR WINDOW</t>
  </si>
  <si>
    <t>CW2-C</t>
  </si>
  <si>
    <t>CW3-A</t>
  </si>
  <si>
    <t>GF - GBR &amp; FF - BR 2</t>
  </si>
  <si>
    <t>CW3-B</t>
  </si>
  <si>
    <t>CW3-C</t>
  </si>
  <si>
    <t>CW4-A</t>
  </si>
  <si>
    <t>CW4-B</t>
  </si>
  <si>
    <t>CW4-C</t>
  </si>
  <si>
    <t>V1</t>
  </si>
  <si>
    <t>GF - POWDER ROOM TOILET</t>
  </si>
  <si>
    <t>V2</t>
  </si>
  <si>
    <t>V3</t>
  </si>
  <si>
    <t>GF - CAR PARKING</t>
  </si>
  <si>
    <t>V4-A</t>
  </si>
  <si>
    <t>V4-B</t>
  </si>
  <si>
    <t>V5</t>
  </si>
  <si>
    <t>GF &amp; FF - WALK IN CLOSET</t>
  </si>
  <si>
    <t>V6</t>
  </si>
  <si>
    <t>24mm :- 6mm Clear Toughened Glass + 12mm Spacer with Argon Gas + 6mm Clear Toughened Glass</t>
  </si>
  <si>
    <t>10mm :- 10mm Clear Toughened Glass</t>
  </si>
  <si>
    <t>6mm (A) :- 6mm Frosted Annealed Glass</t>
  </si>
  <si>
    <t>20mm :- 5mm Clear Toughened Glass + 10mm Spacer with Argon Gas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</si>
</sst>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42" Type="http://schemas.openxmlformats.org/officeDocument/2006/relationships/image" Target="../media/image44.wmf"/><Relationship Id="rId47" Type="http://schemas.openxmlformats.org/officeDocument/2006/relationships/image" Target="../media/image49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46" Type="http://schemas.openxmlformats.org/officeDocument/2006/relationships/image" Target="../media/image48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41" Type="http://schemas.openxmlformats.org/officeDocument/2006/relationships/image" Target="../media/image43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45" Type="http://schemas.openxmlformats.org/officeDocument/2006/relationships/image" Target="../media/image47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4" Type="http://schemas.openxmlformats.org/officeDocument/2006/relationships/image" Target="../media/image46.wmf"/><Relationship Id="rId4" Type="http://schemas.openxmlformats.org/officeDocument/2006/relationships/image" Target="../media/image6.tmp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Relationship Id="rId43" Type="http://schemas.openxmlformats.org/officeDocument/2006/relationships/image" Target="../media/image45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8281</xdr:colOff>
      <xdr:row>8</xdr:row>
      <xdr:rowOff>82826</xdr:rowOff>
    </xdr:from>
    <xdr:to>
      <xdr:col>8</xdr:col>
      <xdr:colOff>311054</xdr:colOff>
      <xdr:row>16</xdr:row>
      <xdr:rowOff>231913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1" y="1557130"/>
          <a:ext cx="2936643" cy="266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41411</xdr:colOff>
      <xdr:row>19</xdr:row>
      <xdr:rowOff>41410</xdr:rowOff>
    </xdr:from>
    <xdr:to>
      <xdr:col>9</xdr:col>
      <xdr:colOff>488672</xdr:colOff>
      <xdr:row>27</xdr:row>
      <xdr:rowOff>279262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3672" y="4828758"/>
          <a:ext cx="4364935" cy="2755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505238</xdr:colOff>
      <xdr:row>30</xdr:row>
      <xdr:rowOff>74546</xdr:rowOff>
    </xdr:from>
    <xdr:to>
      <xdr:col>8</xdr:col>
      <xdr:colOff>273325</xdr:colOff>
      <xdr:row>38</xdr:row>
      <xdr:rowOff>228522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99" y="8174937"/>
          <a:ext cx="3097696" cy="26718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256761</xdr:colOff>
      <xdr:row>30</xdr:row>
      <xdr:rowOff>298173</xdr:rowOff>
    </xdr:from>
    <xdr:to>
      <xdr:col>5</xdr:col>
      <xdr:colOff>1047688</xdr:colOff>
      <xdr:row>37</xdr:row>
      <xdr:rowOff>207064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761" y="8398564"/>
          <a:ext cx="790927" cy="2112065"/>
        </a:xfrm>
        <a:prstGeom prst="rect">
          <a:avLst/>
        </a:prstGeom>
      </xdr:spPr>
    </xdr:pic>
    <xdr:clientData/>
  </xdr:twoCellAnchor>
  <xdr:twoCellAnchor>
    <xdr:from>
      <xdr:col>4</xdr:col>
      <xdr:colOff>248477</xdr:colOff>
      <xdr:row>41</xdr:row>
      <xdr:rowOff>57978</xdr:rowOff>
    </xdr:from>
    <xdr:to>
      <xdr:col>8</xdr:col>
      <xdr:colOff>115955</xdr:colOff>
      <xdr:row>49</xdr:row>
      <xdr:rowOff>241098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738" y="11471413"/>
          <a:ext cx="3197087" cy="2701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662605</xdr:colOff>
      <xdr:row>41</xdr:row>
      <xdr:rowOff>256760</xdr:rowOff>
    </xdr:from>
    <xdr:to>
      <xdr:col>5</xdr:col>
      <xdr:colOff>919370</xdr:colOff>
      <xdr:row>48</xdr:row>
      <xdr:rowOff>248478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4866" y="11670195"/>
          <a:ext cx="952504" cy="2194892"/>
        </a:xfrm>
        <a:prstGeom prst="rect">
          <a:avLst/>
        </a:prstGeom>
      </xdr:spPr>
    </xdr:pic>
    <xdr:clientData/>
  </xdr:twoCellAnchor>
  <xdr:twoCellAnchor>
    <xdr:from>
      <xdr:col>4</xdr:col>
      <xdr:colOff>586408</xdr:colOff>
      <xdr:row>53</xdr:row>
      <xdr:rowOff>151571</xdr:rowOff>
    </xdr:from>
    <xdr:to>
      <xdr:col>5</xdr:col>
      <xdr:colOff>1623391</xdr:colOff>
      <xdr:row>59</xdr:row>
      <xdr:rowOff>196793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8669" y="15192788"/>
          <a:ext cx="1732722" cy="1933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238538</xdr:colOff>
      <xdr:row>63</xdr:row>
      <xdr:rowOff>136663</xdr:rowOff>
    </xdr:from>
    <xdr:to>
      <xdr:col>5</xdr:col>
      <xdr:colOff>1418103</xdr:colOff>
      <xdr:row>71</xdr:row>
      <xdr:rowOff>132522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38" y="18176185"/>
          <a:ext cx="1179565" cy="251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230254</xdr:colOff>
      <xdr:row>74</xdr:row>
      <xdr:rowOff>135006</xdr:rowOff>
    </xdr:from>
    <xdr:to>
      <xdr:col>7</xdr:col>
      <xdr:colOff>240195</xdr:colOff>
      <xdr:row>81</xdr:row>
      <xdr:rowOff>307276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515" y="21487571"/>
          <a:ext cx="3074506" cy="2375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132522</xdr:colOff>
      <xdr:row>75</xdr:row>
      <xdr:rowOff>240196</xdr:rowOff>
    </xdr:from>
    <xdr:to>
      <xdr:col>5</xdr:col>
      <xdr:colOff>1383196</xdr:colOff>
      <xdr:row>80</xdr:row>
      <xdr:rowOff>24847</xdr:rowOff>
    </xdr:to>
    <xdr:grpSp>
      <xdr:nvGrpSpPr>
        <xdr:cNvPr id="22" name="Group 21"/>
        <xdr:cNvGrpSpPr/>
      </xdr:nvGrpSpPr>
      <xdr:grpSpPr>
        <a:xfrm>
          <a:off x="3180522" y="21907500"/>
          <a:ext cx="1250674" cy="1358347"/>
          <a:chOff x="3180522" y="21907500"/>
          <a:chExt cx="1250674" cy="1358347"/>
        </a:xfrm>
      </xdr:grpSpPr>
      <xdr:cxnSp macro="">
        <xdr:nvCxnSpPr>
          <xdr:cNvPr id="12" name="Straight Connector 11"/>
          <xdr:cNvCxnSpPr/>
        </xdr:nvCxnSpPr>
        <xdr:spPr>
          <a:xfrm>
            <a:off x="3180522" y="21907500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3180522" y="2204830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180522" y="22213956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>
            <a:off x="3180522" y="22363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>
            <a:off x="3180522" y="22528695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3180522" y="2265293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3180522" y="22802021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3180522" y="2296767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3180522" y="23125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3180522" y="23265847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198782</xdr:colOff>
      <xdr:row>85</xdr:row>
      <xdr:rowOff>66260</xdr:rowOff>
    </xdr:from>
    <xdr:to>
      <xdr:col>5</xdr:col>
      <xdr:colOff>1441174</xdr:colOff>
      <xdr:row>93</xdr:row>
      <xdr:rowOff>235154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2" y="24731869"/>
          <a:ext cx="1242392" cy="26868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412473</xdr:colOff>
      <xdr:row>96</xdr:row>
      <xdr:rowOff>248892</xdr:rowOff>
    </xdr:from>
    <xdr:to>
      <xdr:col>7</xdr:col>
      <xdr:colOff>49695</xdr:colOff>
      <xdr:row>103</xdr:row>
      <xdr:rowOff>296246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734" y="28227544"/>
          <a:ext cx="2701787" cy="2250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337929</xdr:colOff>
      <xdr:row>98</xdr:row>
      <xdr:rowOff>16979</xdr:rowOff>
    </xdr:from>
    <xdr:to>
      <xdr:col>5</xdr:col>
      <xdr:colOff>1118152</xdr:colOff>
      <xdr:row>102</xdr:row>
      <xdr:rowOff>298174</xdr:rowOff>
    </xdr:to>
    <xdr:grpSp>
      <xdr:nvGrpSpPr>
        <xdr:cNvPr id="25" name="Group 24"/>
        <xdr:cNvGrpSpPr/>
      </xdr:nvGrpSpPr>
      <xdr:grpSpPr>
        <a:xfrm>
          <a:off x="3385929" y="28625109"/>
          <a:ext cx="780223" cy="1540152"/>
          <a:chOff x="3180522" y="21907500"/>
          <a:chExt cx="1250674" cy="1358347"/>
        </a:xfrm>
      </xdr:grpSpPr>
      <xdr:cxnSp macro="">
        <xdr:nvCxnSpPr>
          <xdr:cNvPr id="26" name="Straight Connector 25"/>
          <xdr:cNvCxnSpPr/>
        </xdr:nvCxnSpPr>
        <xdr:spPr>
          <a:xfrm>
            <a:off x="3180522" y="21907500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3180522" y="2204830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3180522" y="22213956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>
            <a:off x="3180522" y="22363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3180522" y="22528695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3180522" y="2265293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3180522" y="22802021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Straight Connector 32"/>
          <xdr:cNvCxnSpPr/>
        </xdr:nvCxnSpPr>
        <xdr:spPr>
          <a:xfrm>
            <a:off x="3180522" y="2296767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Straight Connector 33"/>
          <xdr:cNvCxnSpPr/>
        </xdr:nvCxnSpPr>
        <xdr:spPr>
          <a:xfrm>
            <a:off x="3180522" y="23125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>
            <a:off x="3180522" y="23265847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207065</xdr:colOff>
      <xdr:row>107</xdr:row>
      <xdr:rowOff>74541</xdr:rowOff>
    </xdr:from>
    <xdr:to>
      <xdr:col>5</xdr:col>
      <xdr:colOff>1457739</xdr:colOff>
      <xdr:row>115</xdr:row>
      <xdr:rowOff>261345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5" y="31366237"/>
          <a:ext cx="1250674" cy="2704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139146</xdr:colOff>
      <xdr:row>119</xdr:row>
      <xdr:rowOff>180147</xdr:rowOff>
    </xdr:from>
    <xdr:to>
      <xdr:col>7</xdr:col>
      <xdr:colOff>149086</xdr:colOff>
      <xdr:row>125</xdr:row>
      <xdr:rowOff>22684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407" y="35099625"/>
          <a:ext cx="3074505" cy="1730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89450</xdr:colOff>
      <xdr:row>120</xdr:row>
      <xdr:rowOff>254689</xdr:rowOff>
    </xdr:from>
    <xdr:to>
      <xdr:col>5</xdr:col>
      <xdr:colOff>1159565</xdr:colOff>
      <xdr:row>124</xdr:row>
      <xdr:rowOff>24846</xdr:rowOff>
    </xdr:to>
    <xdr:grpSp>
      <xdr:nvGrpSpPr>
        <xdr:cNvPr id="38" name="Group 37"/>
        <xdr:cNvGrpSpPr/>
      </xdr:nvGrpSpPr>
      <xdr:grpSpPr>
        <a:xfrm>
          <a:off x="3137450" y="35488906"/>
          <a:ext cx="1070115" cy="1029114"/>
          <a:chOff x="3180522" y="21907500"/>
          <a:chExt cx="1250674" cy="1358347"/>
        </a:xfrm>
      </xdr:grpSpPr>
      <xdr:cxnSp macro="">
        <xdr:nvCxnSpPr>
          <xdr:cNvPr id="39" name="Straight Connector 38"/>
          <xdr:cNvCxnSpPr/>
        </xdr:nvCxnSpPr>
        <xdr:spPr>
          <a:xfrm>
            <a:off x="3180522" y="21907500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Straight Connector 39"/>
          <xdr:cNvCxnSpPr/>
        </xdr:nvCxnSpPr>
        <xdr:spPr>
          <a:xfrm>
            <a:off x="3180522" y="2204830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Straight Connector 40"/>
          <xdr:cNvCxnSpPr/>
        </xdr:nvCxnSpPr>
        <xdr:spPr>
          <a:xfrm>
            <a:off x="3180522" y="22213956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Straight Connector 41"/>
          <xdr:cNvCxnSpPr/>
        </xdr:nvCxnSpPr>
        <xdr:spPr>
          <a:xfrm>
            <a:off x="3180522" y="22363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Straight Connector 42"/>
          <xdr:cNvCxnSpPr/>
        </xdr:nvCxnSpPr>
        <xdr:spPr>
          <a:xfrm>
            <a:off x="3180522" y="22528695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Connector 43"/>
          <xdr:cNvCxnSpPr/>
        </xdr:nvCxnSpPr>
        <xdr:spPr>
          <a:xfrm>
            <a:off x="3180522" y="22652934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Straight Connector 44"/>
          <xdr:cNvCxnSpPr/>
        </xdr:nvCxnSpPr>
        <xdr:spPr>
          <a:xfrm>
            <a:off x="3180522" y="22802021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>
            <a:off x="3180522" y="2296767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Straight Connector 46"/>
          <xdr:cNvCxnSpPr/>
        </xdr:nvCxnSpPr>
        <xdr:spPr>
          <a:xfrm>
            <a:off x="3180522" y="23125043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/>
        </xdr:nvCxnSpPr>
        <xdr:spPr>
          <a:xfrm>
            <a:off x="3180522" y="23265847"/>
            <a:ext cx="1250674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304800</xdr:colOff>
      <xdr:row>129</xdr:row>
      <xdr:rowOff>163167</xdr:rowOff>
    </xdr:from>
    <xdr:to>
      <xdr:col>5</xdr:col>
      <xdr:colOff>1416327</xdr:colOff>
      <xdr:row>137</xdr:row>
      <xdr:rowOff>171343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38080950"/>
          <a:ext cx="1111527" cy="25260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155712</xdr:colOff>
      <xdr:row>140</xdr:row>
      <xdr:rowOff>197125</xdr:rowOff>
    </xdr:from>
    <xdr:to>
      <xdr:col>5</xdr:col>
      <xdr:colOff>1383195</xdr:colOff>
      <xdr:row>147</xdr:row>
      <xdr:rowOff>295320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3712" y="41427951"/>
          <a:ext cx="1227483" cy="2301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230255</xdr:colOff>
      <xdr:row>152</xdr:row>
      <xdr:rowOff>189258</xdr:rowOff>
    </xdr:from>
    <xdr:to>
      <xdr:col>8</xdr:col>
      <xdr:colOff>546702</xdr:colOff>
      <xdr:row>157</xdr:row>
      <xdr:rowOff>306457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451" y="45047867"/>
          <a:ext cx="4234121" cy="1690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122583</xdr:colOff>
      <xdr:row>165</xdr:row>
      <xdr:rowOff>233156</xdr:rowOff>
    </xdr:from>
    <xdr:to>
      <xdr:col>10</xdr:col>
      <xdr:colOff>488674</xdr:colOff>
      <xdr:row>167</xdr:row>
      <xdr:rowOff>250600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713" y="49034286"/>
          <a:ext cx="6047961" cy="646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147431</xdr:colOff>
      <xdr:row>175</xdr:row>
      <xdr:rowOff>54665</xdr:rowOff>
    </xdr:from>
    <xdr:to>
      <xdr:col>8</xdr:col>
      <xdr:colOff>422414</xdr:colOff>
      <xdr:row>177</xdr:row>
      <xdr:rowOff>252666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692" y="51854100"/>
          <a:ext cx="3604592" cy="827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702365</xdr:colOff>
      <xdr:row>184</xdr:row>
      <xdr:rowOff>90279</xdr:rowOff>
    </xdr:from>
    <xdr:to>
      <xdr:col>5</xdr:col>
      <xdr:colOff>1341783</xdr:colOff>
      <xdr:row>192</xdr:row>
      <xdr:rowOff>173339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365" y="54573279"/>
          <a:ext cx="639418" cy="26009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273324</xdr:colOff>
      <xdr:row>195</xdr:row>
      <xdr:rowOff>140804</xdr:rowOff>
    </xdr:from>
    <xdr:to>
      <xdr:col>5</xdr:col>
      <xdr:colOff>1946411</xdr:colOff>
      <xdr:row>203</xdr:row>
      <xdr:rowOff>87917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4" y="57936847"/>
          <a:ext cx="1673087" cy="24650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296517</xdr:colOff>
      <xdr:row>206</xdr:row>
      <xdr:rowOff>291134</xdr:rowOff>
    </xdr:from>
    <xdr:to>
      <xdr:col>6</xdr:col>
      <xdr:colOff>289892</xdr:colOff>
      <xdr:row>213</xdr:row>
      <xdr:rowOff>256522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778" y="61400221"/>
          <a:ext cx="2668657" cy="2168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296517</xdr:colOff>
      <xdr:row>217</xdr:row>
      <xdr:rowOff>125068</xdr:rowOff>
    </xdr:from>
    <xdr:to>
      <xdr:col>6</xdr:col>
      <xdr:colOff>365764</xdr:colOff>
      <xdr:row>225</xdr:row>
      <xdr:rowOff>115958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8778" y="64547198"/>
          <a:ext cx="2744529" cy="2508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31474</xdr:colOff>
      <xdr:row>229</xdr:row>
      <xdr:rowOff>43484</xdr:rowOff>
    </xdr:from>
    <xdr:to>
      <xdr:col>8</xdr:col>
      <xdr:colOff>99392</xdr:colOff>
      <xdr:row>235</xdr:row>
      <xdr:rowOff>219017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735" y="68093397"/>
          <a:ext cx="3397527" cy="20639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81169</xdr:colOff>
      <xdr:row>239</xdr:row>
      <xdr:rowOff>266285</xdr:rowOff>
    </xdr:from>
    <xdr:to>
      <xdr:col>5</xdr:col>
      <xdr:colOff>1780761</xdr:colOff>
      <xdr:row>246</xdr:row>
      <xdr:rowOff>293589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9169" y="71314502"/>
          <a:ext cx="1699592" cy="2230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544994</xdr:colOff>
      <xdr:row>250</xdr:row>
      <xdr:rowOff>63361</xdr:rowOff>
    </xdr:from>
    <xdr:to>
      <xdr:col>8</xdr:col>
      <xdr:colOff>339587</xdr:colOff>
      <xdr:row>258</xdr:row>
      <xdr:rowOff>191991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190" y="74424622"/>
          <a:ext cx="3712267" cy="2646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321365</xdr:colOff>
      <xdr:row>261</xdr:row>
      <xdr:rowOff>91938</xdr:rowOff>
    </xdr:from>
    <xdr:to>
      <xdr:col>5</xdr:col>
      <xdr:colOff>1780761</xdr:colOff>
      <xdr:row>269</xdr:row>
      <xdr:rowOff>220158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9365" y="77766242"/>
          <a:ext cx="1459396" cy="2646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611256</xdr:colOff>
      <xdr:row>272</xdr:row>
      <xdr:rowOff>200853</xdr:rowOff>
    </xdr:from>
    <xdr:to>
      <xdr:col>6</xdr:col>
      <xdr:colOff>298174</xdr:colOff>
      <xdr:row>280</xdr:row>
      <xdr:rowOff>118362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517" y="81188201"/>
          <a:ext cx="2362200" cy="24354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404190</xdr:colOff>
      <xdr:row>283</xdr:row>
      <xdr:rowOff>165237</xdr:rowOff>
    </xdr:from>
    <xdr:to>
      <xdr:col>9</xdr:col>
      <xdr:colOff>99391</xdr:colOff>
      <xdr:row>291</xdr:row>
      <xdr:rowOff>179949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8386" y="84465628"/>
          <a:ext cx="4200940" cy="253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263387</xdr:colOff>
      <xdr:row>294</xdr:row>
      <xdr:rowOff>158611</xdr:rowOff>
    </xdr:from>
    <xdr:to>
      <xdr:col>8</xdr:col>
      <xdr:colOff>273326</xdr:colOff>
      <xdr:row>302</xdr:row>
      <xdr:rowOff>145901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5648" y="87772046"/>
          <a:ext cx="3339548" cy="2505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314248</xdr:colOff>
      <xdr:row>306</xdr:row>
      <xdr:rowOff>33132</xdr:rowOff>
    </xdr:from>
    <xdr:to>
      <xdr:col>10</xdr:col>
      <xdr:colOff>24182</xdr:colOff>
      <xdr:row>313</xdr:row>
      <xdr:rowOff>82826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444" y="91274349"/>
          <a:ext cx="4803738" cy="2252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</xdr:colOff>
      <xdr:row>317</xdr:row>
      <xdr:rowOff>74543</xdr:rowOff>
    </xdr:from>
    <xdr:to>
      <xdr:col>6</xdr:col>
      <xdr:colOff>381000</xdr:colOff>
      <xdr:row>324</xdr:row>
      <xdr:rowOff>28028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7" y="94628804"/>
          <a:ext cx="2335696" cy="2156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511863</xdr:colOff>
      <xdr:row>327</xdr:row>
      <xdr:rowOff>258417</xdr:rowOff>
    </xdr:from>
    <xdr:to>
      <xdr:col>6</xdr:col>
      <xdr:colOff>182216</xdr:colOff>
      <xdr:row>334</xdr:row>
      <xdr:rowOff>273602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4124" y="97810982"/>
          <a:ext cx="2345635" cy="2218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660952</xdr:colOff>
      <xdr:row>338</xdr:row>
      <xdr:rowOff>69161</xdr:rowOff>
    </xdr:from>
    <xdr:to>
      <xdr:col>5</xdr:col>
      <xdr:colOff>1874364</xdr:colOff>
      <xdr:row>346</xdr:row>
      <xdr:rowOff>215348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3213" y="100934770"/>
          <a:ext cx="1909151" cy="266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230256</xdr:colOff>
      <xdr:row>350</xdr:row>
      <xdr:rowOff>7454</xdr:rowOff>
    </xdr:from>
    <xdr:to>
      <xdr:col>8</xdr:col>
      <xdr:colOff>57978</xdr:colOff>
      <xdr:row>357</xdr:row>
      <xdr:rowOff>80362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2517" y="104500845"/>
          <a:ext cx="3157331" cy="22760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114300</xdr:colOff>
      <xdr:row>360</xdr:row>
      <xdr:rowOff>233156</xdr:rowOff>
    </xdr:from>
    <xdr:to>
      <xdr:col>6</xdr:col>
      <xdr:colOff>190501</xdr:colOff>
      <xdr:row>368</xdr:row>
      <xdr:rowOff>145581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107724852"/>
          <a:ext cx="2055744" cy="24303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371</xdr:row>
      <xdr:rowOff>273326</xdr:rowOff>
    </xdr:from>
    <xdr:to>
      <xdr:col>5</xdr:col>
      <xdr:colOff>1954696</xdr:colOff>
      <xdr:row>379</xdr:row>
      <xdr:rowOff>96016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078065"/>
          <a:ext cx="1954696" cy="2340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238538</xdr:colOff>
      <xdr:row>382</xdr:row>
      <xdr:rowOff>226116</xdr:rowOff>
    </xdr:from>
    <xdr:to>
      <xdr:col>7</xdr:col>
      <xdr:colOff>182217</xdr:colOff>
      <xdr:row>390</xdr:row>
      <xdr:rowOff>79516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799" y="114343899"/>
          <a:ext cx="3008244" cy="2371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72886</xdr:colOff>
      <xdr:row>393</xdr:row>
      <xdr:rowOff>186358</xdr:rowOff>
    </xdr:from>
    <xdr:to>
      <xdr:col>6</xdr:col>
      <xdr:colOff>124239</xdr:colOff>
      <xdr:row>401</xdr:row>
      <xdr:rowOff>70528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0886" y="117617184"/>
          <a:ext cx="2030896" cy="2402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279950</xdr:colOff>
      <xdr:row>404</xdr:row>
      <xdr:rowOff>157787</xdr:rowOff>
    </xdr:from>
    <xdr:to>
      <xdr:col>7</xdr:col>
      <xdr:colOff>132520</xdr:colOff>
      <xdr:row>412</xdr:row>
      <xdr:rowOff>98944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2211" y="120901657"/>
          <a:ext cx="2917135" cy="2459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246821</xdr:colOff>
      <xdr:row>415</xdr:row>
      <xdr:rowOff>224873</xdr:rowOff>
    </xdr:from>
    <xdr:to>
      <xdr:col>6</xdr:col>
      <xdr:colOff>314739</xdr:colOff>
      <xdr:row>423</xdr:row>
      <xdr:rowOff>209065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9082" y="124281786"/>
          <a:ext cx="2743200" cy="2502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496956</xdr:colOff>
      <xdr:row>426</xdr:row>
      <xdr:rowOff>115956</xdr:rowOff>
    </xdr:from>
    <xdr:to>
      <xdr:col>5</xdr:col>
      <xdr:colOff>1946413</xdr:colOff>
      <xdr:row>434</xdr:row>
      <xdr:rowOff>166756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7" y="127485913"/>
          <a:ext cx="2145196" cy="2568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139147</xdr:colOff>
      <xdr:row>438</xdr:row>
      <xdr:rowOff>234812</xdr:rowOff>
    </xdr:from>
    <xdr:to>
      <xdr:col>6</xdr:col>
      <xdr:colOff>163063</xdr:colOff>
      <xdr:row>442</xdr:row>
      <xdr:rowOff>298173</xdr:rowOff>
    </xdr:to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408" y="131232551"/>
          <a:ext cx="2699198" cy="1322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346212</xdr:colOff>
      <xdr:row>449</xdr:row>
      <xdr:rowOff>50522</xdr:rowOff>
    </xdr:from>
    <xdr:to>
      <xdr:col>7</xdr:col>
      <xdr:colOff>89769</xdr:colOff>
      <xdr:row>455</xdr:row>
      <xdr:rowOff>16566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408" y="134361305"/>
          <a:ext cx="3396187" cy="1854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271669</xdr:colOff>
      <xdr:row>460</xdr:row>
      <xdr:rowOff>248893</xdr:rowOff>
    </xdr:from>
    <xdr:to>
      <xdr:col>10</xdr:col>
      <xdr:colOff>158701</xdr:colOff>
      <xdr:row>465</xdr:row>
      <xdr:rowOff>8283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799" y="137872719"/>
          <a:ext cx="5568902" cy="1333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487017</xdr:colOff>
      <xdr:row>472</xdr:row>
      <xdr:rowOff>16150</xdr:rowOff>
    </xdr:from>
    <xdr:to>
      <xdr:col>10</xdr:col>
      <xdr:colOff>61477</xdr:colOff>
      <xdr:row>476</xdr:row>
      <xdr:rowOff>190500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147" y="141267759"/>
          <a:ext cx="5256330" cy="14333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496957</xdr:colOff>
      <xdr:row>483</xdr:row>
      <xdr:rowOff>66261</xdr:rowOff>
    </xdr:from>
    <xdr:to>
      <xdr:col>10</xdr:col>
      <xdr:colOff>6625</xdr:colOff>
      <xdr:row>487</xdr:row>
      <xdr:rowOff>207065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3087" y="144630913"/>
          <a:ext cx="5191538" cy="1399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6625</xdr:colOff>
      <xdr:row>494</xdr:row>
      <xdr:rowOff>8696</xdr:rowOff>
    </xdr:from>
    <xdr:to>
      <xdr:col>9</xdr:col>
      <xdr:colOff>422580</xdr:colOff>
      <xdr:row>498</xdr:row>
      <xdr:rowOff>74544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0821" y="147886392"/>
          <a:ext cx="4921694" cy="1324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279952</xdr:colOff>
      <xdr:row>504</xdr:row>
      <xdr:rowOff>258419</xdr:rowOff>
    </xdr:from>
    <xdr:to>
      <xdr:col>10</xdr:col>
      <xdr:colOff>198782</xdr:colOff>
      <xdr:row>508</xdr:row>
      <xdr:rowOff>288908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082" y="151134419"/>
          <a:ext cx="5600700" cy="1289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440</xdr:row>
      <xdr:rowOff>41413</xdr:rowOff>
    </xdr:from>
    <xdr:to>
      <xdr:col>5</xdr:col>
      <xdr:colOff>836543</xdr:colOff>
      <xdr:row>441</xdr:row>
      <xdr:rowOff>248477</xdr:rowOff>
    </xdr:to>
    <xdr:grpSp>
      <xdr:nvGrpSpPr>
        <xdr:cNvPr id="90" name="Group 89"/>
        <xdr:cNvGrpSpPr/>
      </xdr:nvGrpSpPr>
      <xdr:grpSpPr>
        <a:xfrm>
          <a:off x="3130826" y="131668630"/>
          <a:ext cx="753717" cy="521804"/>
          <a:chOff x="3130826" y="131668630"/>
          <a:chExt cx="753717" cy="521804"/>
        </a:xfrm>
      </xdr:grpSpPr>
      <xdr:cxnSp macro="">
        <xdr:nvCxnSpPr>
          <xdr:cNvPr id="85" name="Straight Connector 84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6" name="Straight Connector 85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Straight Connector 86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Straight Connector 87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Straight Connector 88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445604</xdr:colOff>
      <xdr:row>450</xdr:row>
      <xdr:rowOff>158192</xdr:rowOff>
    </xdr:from>
    <xdr:to>
      <xdr:col>5</xdr:col>
      <xdr:colOff>985630</xdr:colOff>
      <xdr:row>452</xdr:row>
      <xdr:rowOff>50518</xdr:rowOff>
    </xdr:to>
    <xdr:grpSp>
      <xdr:nvGrpSpPr>
        <xdr:cNvPr id="91" name="Group 90"/>
        <xdr:cNvGrpSpPr/>
      </xdr:nvGrpSpPr>
      <xdr:grpSpPr>
        <a:xfrm>
          <a:off x="2797865" y="134783714"/>
          <a:ext cx="1235765" cy="521804"/>
          <a:chOff x="3130826" y="131668630"/>
          <a:chExt cx="753717" cy="521804"/>
        </a:xfrm>
      </xdr:grpSpPr>
      <xdr:cxnSp macro="">
        <xdr:nvCxnSpPr>
          <xdr:cNvPr id="92" name="Straight Connector 91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Straight Connector 92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Straight Connector 93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Straight Connector 94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Straight Connector 95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445604</xdr:colOff>
      <xdr:row>452</xdr:row>
      <xdr:rowOff>116779</xdr:rowOff>
    </xdr:from>
    <xdr:to>
      <xdr:col>5</xdr:col>
      <xdr:colOff>985630</xdr:colOff>
      <xdr:row>454</xdr:row>
      <xdr:rowOff>9105</xdr:rowOff>
    </xdr:to>
    <xdr:grpSp>
      <xdr:nvGrpSpPr>
        <xdr:cNvPr id="97" name="Group 96"/>
        <xdr:cNvGrpSpPr/>
      </xdr:nvGrpSpPr>
      <xdr:grpSpPr>
        <a:xfrm>
          <a:off x="2797865" y="135371779"/>
          <a:ext cx="1235765" cy="521804"/>
          <a:chOff x="3130826" y="131668630"/>
          <a:chExt cx="753717" cy="521804"/>
        </a:xfrm>
      </xdr:grpSpPr>
      <xdr:cxnSp macro="">
        <xdr:nvCxnSpPr>
          <xdr:cNvPr id="98" name="Straight Connector 97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9" name="Straight Connector 98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Straight Connector 99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Straight Connector 100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Straight Connector 101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221973</xdr:colOff>
      <xdr:row>461</xdr:row>
      <xdr:rowOff>290306</xdr:rowOff>
    </xdr:from>
    <xdr:to>
      <xdr:col>8</xdr:col>
      <xdr:colOff>182217</xdr:colOff>
      <xdr:row>463</xdr:row>
      <xdr:rowOff>223631</xdr:rowOff>
    </xdr:to>
    <xdr:grpSp>
      <xdr:nvGrpSpPr>
        <xdr:cNvPr id="103" name="Group 102"/>
        <xdr:cNvGrpSpPr/>
      </xdr:nvGrpSpPr>
      <xdr:grpSpPr>
        <a:xfrm>
          <a:off x="1986169" y="138228871"/>
          <a:ext cx="3877918" cy="562803"/>
          <a:chOff x="3130826" y="131668630"/>
          <a:chExt cx="753717" cy="521804"/>
        </a:xfrm>
      </xdr:grpSpPr>
      <xdr:cxnSp macro="">
        <xdr:nvCxnSpPr>
          <xdr:cNvPr id="104" name="Straight Connector 103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Straight Connector 104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Straight Connector 105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Straight Connector 106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Straight Connector 107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478733</xdr:colOff>
      <xdr:row>473</xdr:row>
      <xdr:rowOff>65846</xdr:rowOff>
    </xdr:from>
    <xdr:to>
      <xdr:col>8</xdr:col>
      <xdr:colOff>16565</xdr:colOff>
      <xdr:row>474</xdr:row>
      <xdr:rowOff>313910</xdr:rowOff>
    </xdr:to>
    <xdr:grpSp>
      <xdr:nvGrpSpPr>
        <xdr:cNvPr id="109" name="Group 108"/>
        <xdr:cNvGrpSpPr/>
      </xdr:nvGrpSpPr>
      <xdr:grpSpPr>
        <a:xfrm>
          <a:off x="2242929" y="141632194"/>
          <a:ext cx="3455506" cy="562803"/>
          <a:chOff x="3130826" y="131668630"/>
          <a:chExt cx="753717" cy="521804"/>
        </a:xfrm>
      </xdr:grpSpPr>
      <xdr:cxnSp macro="">
        <xdr:nvCxnSpPr>
          <xdr:cNvPr id="110" name="Straight Connector 109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1" name="Straight Connector 110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Straight Connector 111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Straight Connector 112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Straight Connector 113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480391</xdr:colOff>
      <xdr:row>484</xdr:row>
      <xdr:rowOff>107674</xdr:rowOff>
    </xdr:from>
    <xdr:to>
      <xdr:col>8</xdr:col>
      <xdr:colOff>0</xdr:colOff>
      <xdr:row>486</xdr:row>
      <xdr:rowOff>40998</xdr:rowOff>
    </xdr:to>
    <xdr:grpSp>
      <xdr:nvGrpSpPr>
        <xdr:cNvPr id="115" name="Group 114"/>
        <xdr:cNvGrpSpPr/>
      </xdr:nvGrpSpPr>
      <xdr:grpSpPr>
        <a:xfrm>
          <a:off x="2244587" y="144987065"/>
          <a:ext cx="3437283" cy="562803"/>
          <a:chOff x="3130826" y="131668630"/>
          <a:chExt cx="753717" cy="521804"/>
        </a:xfrm>
      </xdr:grpSpPr>
      <xdr:cxnSp macro="">
        <xdr:nvCxnSpPr>
          <xdr:cNvPr id="116" name="Straight Connector 115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7" name="Straight Connector 116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8" name="Straight Connector 117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9" name="Straight Connector 118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Straight Connector 119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23190</xdr:colOff>
      <xdr:row>495</xdr:row>
      <xdr:rowOff>58393</xdr:rowOff>
    </xdr:from>
    <xdr:to>
      <xdr:col>6</xdr:col>
      <xdr:colOff>381000</xdr:colOff>
      <xdr:row>496</xdr:row>
      <xdr:rowOff>240196</xdr:rowOff>
    </xdr:to>
    <xdr:grpSp>
      <xdr:nvGrpSpPr>
        <xdr:cNvPr id="121" name="Group 120"/>
        <xdr:cNvGrpSpPr/>
      </xdr:nvGrpSpPr>
      <xdr:grpSpPr>
        <a:xfrm>
          <a:off x="2375451" y="148250828"/>
          <a:ext cx="3033092" cy="496542"/>
          <a:chOff x="3130826" y="131668630"/>
          <a:chExt cx="753717" cy="521804"/>
        </a:xfrm>
      </xdr:grpSpPr>
      <xdr:cxnSp macro="">
        <xdr:nvCxnSpPr>
          <xdr:cNvPr id="122" name="Straight Connector 121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" name="Straight Connector 122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" name="Straight Connector 123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" name="Straight Connector 124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" name="Straight Connector 125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221972</xdr:colOff>
      <xdr:row>505</xdr:row>
      <xdr:rowOff>274984</xdr:rowOff>
    </xdr:from>
    <xdr:to>
      <xdr:col>8</xdr:col>
      <xdr:colOff>281607</xdr:colOff>
      <xdr:row>507</xdr:row>
      <xdr:rowOff>142048</xdr:rowOff>
    </xdr:to>
    <xdr:grpSp>
      <xdr:nvGrpSpPr>
        <xdr:cNvPr id="127" name="Group 126"/>
        <xdr:cNvGrpSpPr/>
      </xdr:nvGrpSpPr>
      <xdr:grpSpPr>
        <a:xfrm>
          <a:off x="1986168" y="151465723"/>
          <a:ext cx="3977309" cy="496542"/>
          <a:chOff x="3130826" y="131668630"/>
          <a:chExt cx="753717" cy="521804"/>
        </a:xfrm>
      </xdr:grpSpPr>
      <xdr:cxnSp macro="">
        <xdr:nvCxnSpPr>
          <xdr:cNvPr id="128" name="Straight Connector 127"/>
          <xdr:cNvCxnSpPr/>
        </xdr:nvCxnSpPr>
        <xdr:spPr>
          <a:xfrm>
            <a:off x="3130826" y="13166863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" name="Straight Connector 128"/>
          <xdr:cNvCxnSpPr/>
        </xdr:nvCxnSpPr>
        <xdr:spPr>
          <a:xfrm>
            <a:off x="3130826" y="131792869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Straight Connector 129"/>
          <xdr:cNvCxnSpPr/>
        </xdr:nvCxnSpPr>
        <xdr:spPr>
          <a:xfrm>
            <a:off x="3130826" y="131925390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Straight Connector 130"/>
          <xdr:cNvCxnSpPr/>
        </xdr:nvCxnSpPr>
        <xdr:spPr>
          <a:xfrm>
            <a:off x="3130826" y="132057912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Straight Connector 131"/>
          <xdr:cNvCxnSpPr/>
        </xdr:nvCxnSpPr>
        <xdr:spPr>
          <a:xfrm>
            <a:off x="3130826" y="132190434"/>
            <a:ext cx="75371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11" sqref="P1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ABPL-DE-19.20-2193</v>
      </c>
      <c r="O2" s="539"/>
      <c r="P2" s="219" t="s">
        <v>255</v>
      </c>
    </row>
    <row r="3" spans="2:16">
      <c r="B3" s="218"/>
      <c r="C3" s="537" t="s">
        <v>126</v>
      </c>
      <c r="D3" s="537"/>
      <c r="E3" s="537"/>
      <c r="F3" s="539" t="str">
        <f>QUOTATION!F7</f>
        <v>Mr. Abhimanyu</v>
      </c>
      <c r="G3" s="539"/>
      <c r="H3" s="539"/>
      <c r="I3" s="539"/>
      <c r="J3" s="539"/>
      <c r="K3" s="539"/>
      <c r="L3" s="539"/>
      <c r="M3" s="284" t="s">
        <v>104</v>
      </c>
      <c r="N3" s="544">
        <f>QUOTATION!M7</f>
        <v>43724</v>
      </c>
      <c r="O3" s="545"/>
      <c r="P3" s="219" t="s">
        <v>255</v>
      </c>
    </row>
    <row r="4" spans="2:16">
      <c r="B4" s="218"/>
      <c r="C4" s="537" t="s">
        <v>127</v>
      </c>
      <c r="D4" s="537"/>
      <c r="E4" s="537"/>
      <c r="F4" s="285" t="str">
        <f>QUOTATION!F8</f>
        <v>Hyderabad</v>
      </c>
      <c r="G4" s="537"/>
      <c r="H4" s="537"/>
      <c r="I4" s="540" t="s">
        <v>179</v>
      </c>
      <c r="J4" s="540"/>
      <c r="K4" s="539" t="str">
        <f>QUOTATION!I8</f>
        <v>1Kpa</v>
      </c>
      <c r="L4" s="539"/>
      <c r="M4" s="284" t="s">
        <v>105</v>
      </c>
      <c r="N4" s="286" t="str">
        <f>QUOTATION!M8</f>
        <v>R0</v>
      </c>
      <c r="O4" s="287">
        <f>QUOTATION!N8</f>
        <v>43724</v>
      </c>
    </row>
    <row r="5" spans="2:16">
      <c r="B5" s="218"/>
      <c r="C5" s="537" t="s">
        <v>168</v>
      </c>
      <c r="D5" s="537"/>
      <c r="E5" s="537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178</v>
      </c>
      <c r="N5" s="539" t="str">
        <f>QUOTATION!M9</f>
        <v>Bal Kumari</v>
      </c>
      <c r="O5" s="539"/>
    </row>
    <row r="6" spans="2:16">
      <c r="B6" s="218"/>
      <c r="C6" s="537" t="s">
        <v>176</v>
      </c>
      <c r="D6" s="537"/>
      <c r="E6" s="537"/>
      <c r="F6" s="285" t="str">
        <f>QUOTATION!F10</f>
        <v>Anodized</v>
      </c>
      <c r="G6" s="537"/>
      <c r="H6" s="537"/>
      <c r="I6" s="540" t="s">
        <v>177</v>
      </c>
      <c r="J6" s="540"/>
      <c r="K6" s="539" t="str">
        <f>QUOTATION!I10</f>
        <v>Silver</v>
      </c>
      <c r="L6" s="539"/>
      <c r="M6" s="320" t="s">
        <v>372</v>
      </c>
      <c r="N6" s="546">
        <f>'BD Team'!J5</f>
        <v>0</v>
      </c>
      <c r="O6" s="547"/>
    </row>
    <row r="7" spans="2:16">
      <c r="C7" s="535"/>
      <c r="D7" s="535"/>
      <c r="E7" s="535"/>
      <c r="F7" s="535"/>
      <c r="G7" s="535"/>
      <c r="H7" s="535"/>
      <c r="I7" s="535"/>
      <c r="J7" s="535"/>
      <c r="K7" s="535"/>
      <c r="L7" s="535"/>
      <c r="M7" s="535"/>
      <c r="N7" s="535"/>
      <c r="O7" s="535"/>
    </row>
    <row r="8" spans="2:16" ht="25.15" customHeight="1">
      <c r="C8" s="536" t="s">
        <v>253</v>
      </c>
      <c r="D8" s="537"/>
      <c r="E8" s="286" t="str">
        <f>'BD Team'!B9</f>
        <v>SD1</v>
      </c>
      <c r="F8" s="288" t="s">
        <v>254</v>
      </c>
      <c r="G8" s="539" t="str">
        <f>'BD Team'!D9</f>
        <v>3 TRACK 4 SHUTTER SLIDING DOOR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6" t="s">
        <v>127</v>
      </c>
      <c r="M9" s="537"/>
      <c r="N9" s="542" t="str">
        <f>'BD Team'!G9</f>
        <v>GF - STUDY &amp; LIVING</v>
      </c>
      <c r="O9" s="542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6" t="s">
        <v>246</v>
      </c>
      <c r="M10" s="537"/>
      <c r="N10" s="539" t="str">
        <f>$F$6</f>
        <v>Anodized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6" t="s">
        <v>177</v>
      </c>
      <c r="M11" s="537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6" t="s">
        <v>247</v>
      </c>
      <c r="M12" s="537"/>
      <c r="N12" s="548" t="s">
        <v>255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6" t="s">
        <v>248</v>
      </c>
      <c r="M13" s="537"/>
      <c r="N13" s="539" t="str">
        <f>CONCATENATE('BD Team'!H9," X ",'BD Team'!I9)</f>
        <v>3354 X 2440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6" t="s">
        <v>249</v>
      </c>
      <c r="M14" s="537"/>
      <c r="N14" s="538">
        <f>'BD Team'!J9</f>
        <v>1</v>
      </c>
      <c r="O14" s="538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6" t="s">
        <v>250</v>
      </c>
      <c r="M15" s="537"/>
      <c r="N15" s="539" t="str">
        <f>'BD Team'!C9</f>
        <v>M14600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6" t="s">
        <v>251</v>
      </c>
      <c r="M16" s="537"/>
      <c r="N16" s="539" t="str">
        <f>'BD Team'!E9</f>
        <v>24MM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6" t="s">
        <v>252</v>
      </c>
      <c r="M17" s="537"/>
      <c r="N17" s="539" t="str">
        <f>'BD Team'!F9</f>
        <v>SS</v>
      </c>
      <c r="O17" s="539"/>
    </row>
    <row r="18" spans="3:15">
      <c r="C18" s="535"/>
      <c r="D18" s="535"/>
      <c r="E18" s="535"/>
      <c r="F18" s="535"/>
      <c r="G18" s="535"/>
      <c r="H18" s="535"/>
      <c r="I18" s="535"/>
      <c r="J18" s="535"/>
      <c r="K18" s="535"/>
      <c r="L18" s="535"/>
      <c r="M18" s="535"/>
      <c r="N18" s="535"/>
      <c r="O18" s="535"/>
    </row>
    <row r="19" spans="3:15" ht="25.15" customHeight="1">
      <c r="C19" s="536" t="s">
        <v>253</v>
      </c>
      <c r="D19" s="537"/>
      <c r="E19" s="286" t="str">
        <f>'BD Team'!B10</f>
        <v>SD2</v>
      </c>
      <c r="F19" s="288" t="s">
        <v>254</v>
      </c>
      <c r="G19" s="539" t="str">
        <f>'BD Team'!D10</f>
        <v>3 TRACK 4 SHUTTER SLIDING DOOR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6" t="s">
        <v>127</v>
      </c>
      <c r="M20" s="537"/>
      <c r="N20" s="542" t="str">
        <f>'BD Team'!G10</f>
        <v>GF - GREAT ROOM</v>
      </c>
      <c r="O20" s="542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6" t="s">
        <v>246</v>
      </c>
      <c r="M21" s="537"/>
      <c r="N21" s="539" t="str">
        <f>$F$6</f>
        <v>Anodized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6" t="s">
        <v>177</v>
      </c>
      <c r="M22" s="537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6" t="s">
        <v>247</v>
      </c>
      <c r="M23" s="537"/>
      <c r="N23" s="542" t="s">
        <v>255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6" t="s">
        <v>248</v>
      </c>
      <c r="M24" s="537"/>
      <c r="N24" s="539" t="str">
        <f>CONCATENATE('BD Team'!H10," X ",'BD Team'!I10)</f>
        <v>5386 X 2744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6" t="s">
        <v>249</v>
      </c>
      <c r="M25" s="537"/>
      <c r="N25" s="538">
        <f>'BD Team'!J10</f>
        <v>2</v>
      </c>
      <c r="O25" s="538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6" t="s">
        <v>250</v>
      </c>
      <c r="M26" s="537"/>
      <c r="N26" s="539" t="str">
        <f>'BD Team'!C10</f>
        <v>M14600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6" t="s">
        <v>251</v>
      </c>
      <c r="M27" s="537"/>
      <c r="N27" s="539" t="str">
        <f>'BD Team'!E10</f>
        <v>24MM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6" t="s">
        <v>252</v>
      </c>
      <c r="M28" s="537"/>
      <c r="N28" s="539" t="str">
        <f>'BD Team'!F10</f>
        <v>SS</v>
      </c>
      <c r="O28" s="539"/>
    </row>
    <row r="29" spans="3:15"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35"/>
    </row>
    <row r="30" spans="3:15" ht="25.15" customHeight="1">
      <c r="C30" s="536" t="s">
        <v>253</v>
      </c>
      <c r="D30" s="537"/>
      <c r="E30" s="286" t="str">
        <f>'BD Team'!B11</f>
        <v>PD1</v>
      </c>
      <c r="F30" s="288" t="s">
        <v>254</v>
      </c>
      <c r="G30" s="539" t="str">
        <f>'BD Team'!D11</f>
        <v>POCKET DOOR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6" t="s">
        <v>127</v>
      </c>
      <c r="M31" s="537"/>
      <c r="N31" s="542" t="str">
        <f>'BD Team'!G11</f>
        <v>GF - STUDY &amp; LIVING</v>
      </c>
      <c r="O31" s="542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6" t="s">
        <v>246</v>
      </c>
      <c r="M32" s="537"/>
      <c r="N32" s="539" t="str">
        <f>$F$6</f>
        <v>Anodized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6" t="s">
        <v>177</v>
      </c>
      <c r="M33" s="537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6" t="s">
        <v>247</v>
      </c>
      <c r="M34" s="537"/>
      <c r="N34" s="542" t="s">
        <v>255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6" t="s">
        <v>248</v>
      </c>
      <c r="M35" s="537"/>
      <c r="N35" s="539" t="str">
        <f>CONCATENATE('BD Team'!H11," X ",'BD Team'!I11)</f>
        <v>1983 X 2440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6" t="s">
        <v>249</v>
      </c>
      <c r="M36" s="537"/>
      <c r="N36" s="538">
        <f>'BD Team'!J11</f>
        <v>1</v>
      </c>
      <c r="O36" s="538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6" t="s">
        <v>250</v>
      </c>
      <c r="M37" s="537"/>
      <c r="N37" s="539" t="str">
        <f>'BD Team'!C11</f>
        <v>M14600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6" t="s">
        <v>251</v>
      </c>
      <c r="M38" s="537"/>
      <c r="N38" s="539" t="str">
        <f>'BD Team'!E11</f>
        <v>24MM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6" t="s">
        <v>252</v>
      </c>
      <c r="M39" s="537"/>
      <c r="N39" s="539" t="str">
        <f>'BD Team'!F11</f>
        <v>NO</v>
      </c>
      <c r="O39" s="539"/>
    </row>
    <row r="40" spans="3:15">
      <c r="C40" s="535"/>
      <c r="D40" s="535"/>
      <c r="E40" s="535"/>
      <c r="F40" s="535"/>
      <c r="G40" s="535"/>
      <c r="H40" s="535"/>
      <c r="I40" s="535"/>
      <c r="J40" s="535"/>
      <c r="K40" s="535"/>
      <c r="L40" s="535"/>
      <c r="M40" s="535"/>
      <c r="N40" s="535"/>
      <c r="O40" s="535"/>
    </row>
    <row r="41" spans="3:15" ht="25.15" customHeight="1">
      <c r="C41" s="536" t="s">
        <v>253</v>
      </c>
      <c r="D41" s="537"/>
      <c r="E41" s="286" t="str">
        <f>'BD Team'!B12</f>
        <v>PD2</v>
      </c>
      <c r="F41" s="288" t="s">
        <v>254</v>
      </c>
      <c r="G41" s="539" t="str">
        <f>'BD Team'!D12</f>
        <v>POCKET DOOR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6" t="s">
        <v>127</v>
      </c>
      <c r="M42" s="537"/>
      <c r="N42" s="542" t="str">
        <f>'BD Team'!G12</f>
        <v>GF - GREAT &amp; FAMILY</v>
      </c>
      <c r="O42" s="542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6" t="s">
        <v>246</v>
      </c>
      <c r="M43" s="537"/>
      <c r="N43" s="539" t="str">
        <f>$F$6</f>
        <v>Anodized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6" t="s">
        <v>177</v>
      </c>
      <c r="M44" s="537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6" t="s">
        <v>247</v>
      </c>
      <c r="M45" s="537"/>
      <c r="N45" s="542" t="s">
        <v>255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6" t="s">
        <v>248</v>
      </c>
      <c r="M46" s="537"/>
      <c r="N46" s="539" t="str">
        <f>CONCATENATE('BD Team'!H12," X ",'BD Team'!I12)</f>
        <v>2450 X 2744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6" t="s">
        <v>249</v>
      </c>
      <c r="M47" s="537"/>
      <c r="N47" s="538">
        <f>'BD Team'!J12</f>
        <v>2</v>
      </c>
      <c r="O47" s="538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6" t="s">
        <v>250</v>
      </c>
      <c r="M48" s="537"/>
      <c r="N48" s="539" t="str">
        <f>'BD Team'!C12</f>
        <v>M14600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6" t="s">
        <v>251</v>
      </c>
      <c r="M49" s="537"/>
      <c r="N49" s="539" t="str">
        <f>'BD Team'!E12</f>
        <v>24MM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6" t="s">
        <v>252</v>
      </c>
      <c r="M50" s="537"/>
      <c r="N50" s="539" t="str">
        <f>'BD Team'!F12</f>
        <v>NO</v>
      </c>
      <c r="O50" s="539"/>
    </row>
    <row r="51" spans="3:15">
      <c r="C51" s="535"/>
      <c r="D51" s="535"/>
      <c r="E51" s="535"/>
      <c r="F51" s="535"/>
      <c r="G51" s="535"/>
      <c r="H51" s="535"/>
      <c r="I51" s="535"/>
      <c r="J51" s="535"/>
      <c r="K51" s="535"/>
      <c r="L51" s="535"/>
      <c r="M51" s="535"/>
      <c r="N51" s="535"/>
      <c r="O51" s="535"/>
    </row>
    <row r="52" spans="3:15" ht="25.15" customHeight="1">
      <c r="C52" s="536" t="s">
        <v>253</v>
      </c>
      <c r="D52" s="537"/>
      <c r="E52" s="286" t="str">
        <f>'BD Team'!B13</f>
        <v>DW1-A</v>
      </c>
      <c r="F52" s="288" t="s">
        <v>254</v>
      </c>
      <c r="G52" s="539" t="str">
        <f>'BD Team'!D13</f>
        <v>FRENCH CASEMENT WINDOW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6" t="s">
        <v>127</v>
      </c>
      <c r="M53" s="537"/>
      <c r="N53" s="542" t="str">
        <f>'BD Team'!G13</f>
        <v>GF - SERVANT ROOM</v>
      </c>
      <c r="O53" s="542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6" t="s">
        <v>246</v>
      </c>
      <c r="M54" s="537"/>
      <c r="N54" s="539" t="str">
        <f>$F$6</f>
        <v>Anodized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6" t="s">
        <v>177</v>
      </c>
      <c r="M55" s="537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6" t="s">
        <v>247</v>
      </c>
      <c r="M56" s="537"/>
      <c r="N56" s="542" t="s">
        <v>255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6" t="s">
        <v>248</v>
      </c>
      <c r="M57" s="537"/>
      <c r="N57" s="539" t="str">
        <f>CONCATENATE('BD Team'!H13," X ",'BD Team'!I13)</f>
        <v>1220 X 1372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6" t="s">
        <v>249</v>
      </c>
      <c r="M58" s="537"/>
      <c r="N58" s="538">
        <f>'BD Team'!J13</f>
        <v>1</v>
      </c>
      <c r="O58" s="538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6" t="s">
        <v>250</v>
      </c>
      <c r="M59" s="537"/>
      <c r="N59" s="539" t="str">
        <f>'BD Team'!C13</f>
        <v>M15000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6" t="s">
        <v>251</v>
      </c>
      <c r="M60" s="537"/>
      <c r="N60" s="539" t="str">
        <f>'BD Team'!E13</f>
        <v>24MM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6" t="s">
        <v>252</v>
      </c>
      <c r="M61" s="537"/>
      <c r="N61" s="539" t="str">
        <f>'BD Team'!F13</f>
        <v>NO</v>
      </c>
      <c r="O61" s="539"/>
    </row>
    <row r="62" spans="3:15"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35"/>
    </row>
    <row r="63" spans="3:15" ht="25.15" customHeight="1">
      <c r="C63" s="536" t="s">
        <v>253</v>
      </c>
      <c r="D63" s="537"/>
      <c r="E63" s="286" t="str">
        <f>'BD Team'!B14</f>
        <v>DW1-B</v>
      </c>
      <c r="F63" s="288" t="s">
        <v>254</v>
      </c>
      <c r="G63" s="539" t="str">
        <f>'BD Team'!D14</f>
        <v>SINGLE DOOR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6" t="s">
        <v>127</v>
      </c>
      <c r="M64" s="537"/>
      <c r="N64" s="542" t="str">
        <f>'BD Team'!G14</f>
        <v>GF - SERVANT ROOM</v>
      </c>
      <c r="O64" s="542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6" t="s">
        <v>246</v>
      </c>
      <c r="M65" s="537"/>
      <c r="N65" s="539" t="str">
        <f>$F$6</f>
        <v>Anodized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6" t="s">
        <v>177</v>
      </c>
      <c r="M66" s="537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6" t="s">
        <v>247</v>
      </c>
      <c r="M67" s="537"/>
      <c r="N67" s="542" t="s">
        <v>255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6" t="s">
        <v>248</v>
      </c>
      <c r="M68" s="537"/>
      <c r="N68" s="539" t="str">
        <f>CONCATENATE('BD Team'!H14," X ",'BD Team'!I14)</f>
        <v>916 X 2440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6" t="s">
        <v>249</v>
      </c>
      <c r="M69" s="537"/>
      <c r="N69" s="538">
        <f>'BD Team'!J14</f>
        <v>1</v>
      </c>
      <c r="O69" s="538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6" t="s">
        <v>250</v>
      </c>
      <c r="M70" s="537"/>
      <c r="N70" s="539" t="str">
        <f>'BD Team'!C14</f>
        <v>M15000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6" t="s">
        <v>251</v>
      </c>
      <c r="M71" s="537"/>
      <c r="N71" s="539" t="str">
        <f>'BD Team'!E14</f>
        <v>24MM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6" t="s">
        <v>252</v>
      </c>
      <c r="M72" s="537"/>
      <c r="N72" s="539" t="str">
        <f>'BD Team'!F14</f>
        <v>NO</v>
      </c>
      <c r="O72" s="539"/>
    </row>
    <row r="73" spans="3:15">
      <c r="C73" s="535"/>
      <c r="D73" s="535"/>
      <c r="E73" s="535"/>
      <c r="F73" s="535"/>
      <c r="G73" s="535"/>
      <c r="H73" s="535"/>
      <c r="I73" s="535"/>
      <c r="J73" s="535"/>
      <c r="K73" s="535"/>
      <c r="L73" s="535"/>
      <c r="M73" s="535"/>
      <c r="N73" s="535"/>
      <c r="O73" s="535"/>
    </row>
    <row r="74" spans="3:15" ht="25.15" customHeight="1">
      <c r="C74" s="536" t="s">
        <v>253</v>
      </c>
      <c r="D74" s="537"/>
      <c r="E74" s="286" t="str">
        <f>'BD Team'!B15</f>
        <v>DW2-A</v>
      </c>
      <c r="F74" s="288" t="s">
        <v>254</v>
      </c>
      <c r="G74" s="539" t="str">
        <f>'BD Team'!D15</f>
        <v>GLASS LOUVERS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6" t="s">
        <v>127</v>
      </c>
      <c r="M75" s="537"/>
      <c r="N75" s="542" t="str">
        <f>'BD Team'!G15</f>
        <v>GF - UTILITY</v>
      </c>
      <c r="O75" s="542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6" t="s">
        <v>246</v>
      </c>
      <c r="M76" s="537"/>
      <c r="N76" s="539" t="str">
        <f>$F$6</f>
        <v>Anodized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6" t="s">
        <v>177</v>
      </c>
      <c r="M77" s="537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6" t="s">
        <v>247</v>
      </c>
      <c r="M78" s="537"/>
      <c r="N78" s="542" t="s">
        <v>255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6" t="s">
        <v>248</v>
      </c>
      <c r="M79" s="537"/>
      <c r="N79" s="539" t="str">
        <f>CONCATENATE('BD Team'!H15," X ",'BD Team'!I15)</f>
        <v>1068 X 1372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6" t="s">
        <v>249</v>
      </c>
      <c r="M80" s="537"/>
      <c r="N80" s="538">
        <f>'BD Team'!J15</f>
        <v>1</v>
      </c>
      <c r="O80" s="538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6" t="s">
        <v>250</v>
      </c>
      <c r="M81" s="537"/>
      <c r="N81" s="539" t="str">
        <f>'BD Team'!C15</f>
        <v>-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6" t="s">
        <v>251</v>
      </c>
      <c r="M82" s="537"/>
      <c r="N82" s="539" t="str">
        <f>'BD Team'!E15</f>
        <v>6MM (A)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6" t="s">
        <v>252</v>
      </c>
      <c r="M83" s="537"/>
      <c r="N83" s="539" t="str">
        <f>'BD Team'!F15</f>
        <v>SS</v>
      </c>
      <c r="O83" s="539"/>
    </row>
    <row r="84" spans="3:15">
      <c r="C84" s="535"/>
      <c r="D84" s="535"/>
      <c r="E84" s="535"/>
      <c r="F84" s="535"/>
      <c r="G84" s="535"/>
      <c r="H84" s="535"/>
      <c r="I84" s="535"/>
      <c r="J84" s="535"/>
      <c r="K84" s="535"/>
      <c r="L84" s="535"/>
      <c r="M84" s="535"/>
      <c r="N84" s="535"/>
      <c r="O84" s="535"/>
    </row>
    <row r="85" spans="3:15" ht="25.15" customHeight="1">
      <c r="C85" s="536" t="s">
        <v>253</v>
      </c>
      <c r="D85" s="537"/>
      <c r="E85" s="286" t="str">
        <f>'BD Team'!B16</f>
        <v>DW2-B</v>
      </c>
      <c r="F85" s="288" t="s">
        <v>254</v>
      </c>
      <c r="G85" s="539" t="str">
        <f>'BD Team'!D16</f>
        <v>SINGLE DOOR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6" t="s">
        <v>127</v>
      </c>
      <c r="M86" s="537"/>
      <c r="N86" s="542" t="str">
        <f>'BD Team'!G16</f>
        <v>GF - UTILITY</v>
      </c>
      <c r="O86" s="542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6" t="s">
        <v>246</v>
      </c>
      <c r="M87" s="537"/>
      <c r="N87" s="539" t="str">
        <f>$F$6</f>
        <v>Anodized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6" t="s">
        <v>177</v>
      </c>
      <c r="M88" s="537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6" t="s">
        <v>247</v>
      </c>
      <c r="M89" s="537"/>
      <c r="N89" s="542" t="s">
        <v>255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6" t="s">
        <v>248</v>
      </c>
      <c r="M90" s="537"/>
      <c r="N90" s="539" t="str">
        <f>CONCATENATE('BD Team'!H16," X ",'BD Team'!I16)</f>
        <v>916 X 2440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6" t="s">
        <v>249</v>
      </c>
      <c r="M91" s="537"/>
      <c r="N91" s="538">
        <f>'BD Team'!J16</f>
        <v>1</v>
      </c>
      <c r="O91" s="538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6" t="s">
        <v>250</v>
      </c>
      <c r="M92" s="537"/>
      <c r="N92" s="539" t="str">
        <f>'BD Team'!C16</f>
        <v>M15000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6" t="s">
        <v>251</v>
      </c>
      <c r="M93" s="537"/>
      <c r="N93" s="539" t="str">
        <f>'BD Team'!E16</f>
        <v>24MM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6" t="s">
        <v>252</v>
      </c>
      <c r="M94" s="537"/>
      <c r="N94" s="539" t="str">
        <f>'BD Team'!F16</f>
        <v>NO</v>
      </c>
      <c r="O94" s="539"/>
    </row>
    <row r="95" spans="3:15">
      <c r="C95" s="535"/>
      <c r="D95" s="535"/>
      <c r="E95" s="535"/>
      <c r="F95" s="535"/>
      <c r="G95" s="535"/>
      <c r="H95" s="535"/>
      <c r="I95" s="535"/>
      <c r="J95" s="535"/>
      <c r="K95" s="535"/>
      <c r="L95" s="535"/>
      <c r="M95" s="535"/>
      <c r="N95" s="535"/>
      <c r="O95" s="535"/>
    </row>
    <row r="96" spans="3:15" ht="25.15" customHeight="1">
      <c r="C96" s="536" t="s">
        <v>253</v>
      </c>
      <c r="D96" s="537"/>
      <c r="E96" s="286" t="str">
        <f>'BD Team'!B17</f>
        <v>DW2-C</v>
      </c>
      <c r="F96" s="288" t="s">
        <v>254</v>
      </c>
      <c r="G96" s="539" t="str">
        <f>'BD Team'!D17</f>
        <v>GLASS LOUVERS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6" t="s">
        <v>127</v>
      </c>
      <c r="M97" s="537"/>
      <c r="N97" s="542" t="str">
        <f>'BD Team'!G17</f>
        <v>GF - UTILITY</v>
      </c>
      <c r="O97" s="542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6" t="s">
        <v>246</v>
      </c>
      <c r="M98" s="537"/>
      <c r="N98" s="539" t="str">
        <f>$F$6</f>
        <v>Anodized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6" t="s">
        <v>177</v>
      </c>
      <c r="M99" s="537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6" t="s">
        <v>247</v>
      </c>
      <c r="M100" s="537"/>
      <c r="N100" s="542" t="s">
        <v>255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6" t="s">
        <v>248</v>
      </c>
      <c r="M101" s="537"/>
      <c r="N101" s="539" t="str">
        <f>CONCATENATE('BD Team'!H17," X ",'BD Team'!I17)</f>
        <v>610 X 1372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6" t="s">
        <v>249</v>
      </c>
      <c r="M102" s="537"/>
      <c r="N102" s="538">
        <f>'BD Team'!J17</f>
        <v>1</v>
      </c>
      <c r="O102" s="538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6" t="s">
        <v>250</v>
      </c>
      <c r="M103" s="537"/>
      <c r="N103" s="539" t="str">
        <f>'BD Team'!C17</f>
        <v>-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6" t="s">
        <v>251</v>
      </c>
      <c r="M104" s="537"/>
      <c r="N104" s="539" t="str">
        <f>'BD Team'!E17</f>
        <v>6MM (A)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6" t="s">
        <v>252</v>
      </c>
      <c r="M105" s="537"/>
      <c r="N105" s="539" t="str">
        <f>'BD Team'!F17</f>
        <v>SS</v>
      </c>
      <c r="O105" s="539"/>
    </row>
    <row r="106" spans="3:15">
      <c r="C106" s="535"/>
      <c r="D106" s="535"/>
      <c r="E106" s="535"/>
      <c r="F106" s="535"/>
      <c r="G106" s="535"/>
      <c r="H106" s="535"/>
      <c r="I106" s="535"/>
      <c r="J106" s="535"/>
      <c r="K106" s="535"/>
      <c r="L106" s="535"/>
      <c r="M106" s="535"/>
      <c r="N106" s="535"/>
      <c r="O106" s="535"/>
    </row>
    <row r="107" spans="3:15" ht="25.15" customHeight="1">
      <c r="C107" s="536" t="s">
        <v>253</v>
      </c>
      <c r="D107" s="537"/>
      <c r="E107" s="286" t="str">
        <f>'BD Team'!B18</f>
        <v>DV1-A</v>
      </c>
      <c r="F107" s="288" t="s">
        <v>254</v>
      </c>
      <c r="G107" s="539" t="str">
        <f>'BD Team'!D18</f>
        <v>SINGLE DOOR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6" t="s">
        <v>127</v>
      </c>
      <c r="M108" s="537"/>
      <c r="N108" s="542" t="str">
        <f>'BD Team'!G18</f>
        <v>GF - SERVANT TOILET</v>
      </c>
      <c r="O108" s="542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6" t="s">
        <v>246</v>
      </c>
      <c r="M109" s="537"/>
      <c r="N109" s="539" t="str">
        <f>$F$6</f>
        <v>Anodized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6" t="s">
        <v>177</v>
      </c>
      <c r="M110" s="537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6" t="s">
        <v>247</v>
      </c>
      <c r="M111" s="537"/>
      <c r="N111" s="542" t="s">
        <v>255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6" t="s">
        <v>248</v>
      </c>
      <c r="M112" s="537"/>
      <c r="N112" s="539" t="str">
        <f>CONCATENATE('BD Team'!H18," X ",'BD Team'!I18)</f>
        <v>916 X 2440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6" t="s">
        <v>249</v>
      </c>
      <c r="M113" s="537"/>
      <c r="N113" s="538">
        <f>'BD Team'!J18</f>
        <v>1</v>
      </c>
      <c r="O113" s="538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6" t="s">
        <v>250</v>
      </c>
      <c r="M114" s="537"/>
      <c r="N114" s="539" t="str">
        <f>'BD Team'!C18</f>
        <v>M15000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6" t="s">
        <v>251</v>
      </c>
      <c r="M115" s="537"/>
      <c r="N115" s="539" t="str">
        <f>'BD Team'!E18</f>
        <v>24MM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6" t="s">
        <v>252</v>
      </c>
      <c r="M116" s="537"/>
      <c r="N116" s="539" t="str">
        <f>'BD Team'!F18</f>
        <v>NO</v>
      </c>
      <c r="O116" s="539"/>
    </row>
    <row r="117" spans="3:15">
      <c r="C117" s="535"/>
      <c r="D117" s="535"/>
      <c r="E117" s="535"/>
      <c r="F117" s="535"/>
      <c r="G117" s="535"/>
      <c r="H117" s="535"/>
      <c r="I117" s="535"/>
      <c r="J117" s="535"/>
      <c r="K117" s="535"/>
      <c r="L117" s="535"/>
      <c r="M117" s="535"/>
      <c r="N117" s="535"/>
      <c r="O117" s="535"/>
    </row>
    <row r="118" spans="3:15" ht="25.15" customHeight="1">
      <c r="C118" s="536" t="s">
        <v>253</v>
      </c>
      <c r="D118" s="537"/>
      <c r="E118" s="286" t="str">
        <f>'BD Team'!B19</f>
        <v>DV1-B</v>
      </c>
      <c r="F118" s="288" t="s">
        <v>254</v>
      </c>
      <c r="G118" s="539" t="str">
        <f>'BD Team'!D19</f>
        <v>GLASS LOUVERS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6" t="s">
        <v>127</v>
      </c>
      <c r="M119" s="537"/>
      <c r="N119" s="542" t="str">
        <f>'BD Team'!G19</f>
        <v>GF - SERVANT TOILET</v>
      </c>
      <c r="O119" s="542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6" t="s">
        <v>246</v>
      </c>
      <c r="M120" s="537"/>
      <c r="N120" s="539" t="str">
        <f>$F$6</f>
        <v>Anodized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6" t="s">
        <v>177</v>
      </c>
      <c r="M121" s="537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6" t="s">
        <v>247</v>
      </c>
      <c r="M122" s="537"/>
      <c r="N122" s="542" t="s">
        <v>255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6" t="s">
        <v>248</v>
      </c>
      <c r="M123" s="537"/>
      <c r="N123" s="539" t="str">
        <f>CONCATENATE('BD Team'!H19," X ",'BD Team'!I19)</f>
        <v>864 X 916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6" t="s">
        <v>249</v>
      </c>
      <c r="M124" s="537"/>
      <c r="N124" s="538">
        <f>'BD Team'!J19</f>
        <v>1</v>
      </c>
      <c r="O124" s="538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6" t="s">
        <v>250</v>
      </c>
      <c r="M125" s="537"/>
      <c r="N125" s="539" t="str">
        <f>'BD Team'!C19</f>
        <v>-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6" t="s">
        <v>251</v>
      </c>
      <c r="M126" s="537"/>
      <c r="N126" s="539" t="str">
        <f>'BD Team'!E19</f>
        <v>6MM (A)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6" t="s">
        <v>252</v>
      </c>
      <c r="M127" s="537"/>
      <c r="N127" s="539" t="str">
        <f>'BD Team'!F19</f>
        <v>SS</v>
      </c>
      <c r="O127" s="539"/>
    </row>
    <row r="128" spans="3:15">
      <c r="C128" s="535"/>
      <c r="D128" s="535"/>
      <c r="E128" s="535"/>
      <c r="F128" s="535"/>
      <c r="G128" s="535"/>
      <c r="H128" s="535"/>
      <c r="I128" s="535"/>
      <c r="J128" s="535"/>
      <c r="K128" s="535"/>
      <c r="L128" s="535"/>
      <c r="M128" s="535"/>
      <c r="N128" s="535"/>
      <c r="O128" s="535"/>
    </row>
    <row r="129" spans="3:15" ht="25.15" customHeight="1">
      <c r="C129" s="536" t="s">
        <v>253</v>
      </c>
      <c r="D129" s="537"/>
      <c r="E129" s="286" t="str">
        <f>'BD Team'!B20</f>
        <v>W1</v>
      </c>
      <c r="F129" s="288" t="s">
        <v>254</v>
      </c>
      <c r="G129" s="539" t="str">
        <f>'BD Team'!D20</f>
        <v>SINGLE DOOR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6" t="s">
        <v>127</v>
      </c>
      <c r="M130" s="537"/>
      <c r="N130" s="542" t="str">
        <f>'BD Team'!G20</f>
        <v>GF / FF - STAIRCASE</v>
      </c>
      <c r="O130" s="542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6" t="s">
        <v>246</v>
      </c>
      <c r="M131" s="537"/>
      <c r="N131" s="539" t="str">
        <f>$F$6</f>
        <v>Anodized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6" t="s">
        <v>177</v>
      </c>
      <c r="M132" s="537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6" t="s">
        <v>247</v>
      </c>
      <c r="M133" s="537"/>
      <c r="N133" s="542" t="s">
        <v>255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6" t="s">
        <v>248</v>
      </c>
      <c r="M134" s="537"/>
      <c r="N134" s="539" t="str">
        <f>CONCATENATE('BD Team'!H20," X ",'BD Team'!I20)</f>
        <v>712 X 2134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6" t="s">
        <v>249</v>
      </c>
      <c r="M135" s="537"/>
      <c r="N135" s="538">
        <f>'BD Team'!J20</f>
        <v>2</v>
      </c>
      <c r="O135" s="538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6" t="s">
        <v>250</v>
      </c>
      <c r="M136" s="537"/>
      <c r="N136" s="539" t="str">
        <f>'BD Team'!C20</f>
        <v>M15000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6" t="s">
        <v>251</v>
      </c>
      <c r="M137" s="537"/>
      <c r="N137" s="539" t="str">
        <f>'BD Team'!E20</f>
        <v>24MM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6" t="s">
        <v>252</v>
      </c>
      <c r="M138" s="537"/>
      <c r="N138" s="539" t="str">
        <f>'BD Team'!F20</f>
        <v>NO</v>
      </c>
      <c r="O138" s="539"/>
    </row>
    <row r="139" spans="3:15">
      <c r="C139" s="535"/>
      <c r="D139" s="535"/>
      <c r="E139" s="535"/>
      <c r="F139" s="535"/>
      <c r="G139" s="535"/>
      <c r="H139" s="535"/>
      <c r="I139" s="535"/>
      <c r="J139" s="535"/>
      <c r="K139" s="535"/>
      <c r="L139" s="535"/>
      <c r="M139" s="535"/>
      <c r="N139" s="535"/>
      <c r="O139" s="535"/>
    </row>
    <row r="140" spans="3:15" ht="25.15" customHeight="1">
      <c r="C140" s="536" t="s">
        <v>253</v>
      </c>
      <c r="D140" s="537"/>
      <c r="E140" s="286" t="str">
        <f>'BD Team'!B21</f>
        <v>W2</v>
      </c>
      <c r="F140" s="288" t="s">
        <v>254</v>
      </c>
      <c r="G140" s="539" t="str">
        <f>'BD Team'!D21</f>
        <v>SINGLE DOOR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6" t="s">
        <v>127</v>
      </c>
      <c r="M141" s="537"/>
      <c r="N141" s="542" t="str">
        <f>'BD Team'!G21</f>
        <v>GF - MBR, GBR &amp; FF - BR 1 &amp; BR 2</v>
      </c>
      <c r="O141" s="542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6" t="s">
        <v>246</v>
      </c>
      <c r="M142" s="537"/>
      <c r="N142" s="539" t="str">
        <f>$F$6</f>
        <v>Anodized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6" t="s">
        <v>177</v>
      </c>
      <c r="M143" s="537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6" t="s">
        <v>247</v>
      </c>
      <c r="M144" s="537"/>
      <c r="N144" s="542" t="s">
        <v>255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6" t="s">
        <v>248</v>
      </c>
      <c r="M145" s="537"/>
      <c r="N145" s="539" t="str">
        <f>CONCATENATE('BD Team'!H21," X ",'BD Team'!I21)</f>
        <v>712 X 1678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6" t="s">
        <v>249</v>
      </c>
      <c r="M146" s="537"/>
      <c r="N146" s="538">
        <f>'BD Team'!J21</f>
        <v>8</v>
      </c>
      <c r="O146" s="538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6" t="s">
        <v>250</v>
      </c>
      <c r="M147" s="537"/>
      <c r="N147" s="539" t="str">
        <f>'BD Team'!C21</f>
        <v>M15000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6" t="s">
        <v>251</v>
      </c>
      <c r="M148" s="537"/>
      <c r="N148" s="539" t="str">
        <f>'BD Team'!E21</f>
        <v>24MM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6" t="s">
        <v>252</v>
      </c>
      <c r="M149" s="537"/>
      <c r="N149" s="539" t="str">
        <f>'BD Team'!F21</f>
        <v>NO</v>
      </c>
      <c r="O149" s="539"/>
    </row>
    <row r="150" spans="3:15">
      <c r="C150" s="535"/>
      <c r="D150" s="535"/>
      <c r="E150" s="535"/>
      <c r="F150" s="535"/>
      <c r="G150" s="535"/>
      <c r="H150" s="535"/>
      <c r="I150" s="535"/>
      <c r="J150" s="535"/>
      <c r="K150" s="535"/>
      <c r="L150" s="535"/>
      <c r="M150" s="535"/>
      <c r="N150" s="535"/>
      <c r="O150" s="535"/>
    </row>
    <row r="151" spans="3:15" ht="25.15" customHeight="1">
      <c r="C151" s="536" t="s">
        <v>253</v>
      </c>
      <c r="D151" s="537"/>
      <c r="E151" s="286" t="str">
        <f>'BD Team'!B22</f>
        <v>W3</v>
      </c>
      <c r="F151" s="288" t="s">
        <v>254</v>
      </c>
      <c r="G151" s="539" t="str">
        <f>'BD Team'!D22</f>
        <v>FIXED GLASS 3 NO'S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6" t="s">
        <v>127</v>
      </c>
      <c r="M152" s="537"/>
      <c r="N152" s="542" t="str">
        <f>'BD Team'!G22</f>
        <v>FF - BR 1</v>
      </c>
      <c r="O152" s="542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6" t="s">
        <v>246</v>
      </c>
      <c r="M153" s="537"/>
      <c r="N153" s="539" t="str">
        <f>$F$6</f>
        <v>Anodized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6" t="s">
        <v>177</v>
      </c>
      <c r="M154" s="537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6" t="s">
        <v>247</v>
      </c>
      <c r="M155" s="537"/>
      <c r="N155" s="542" t="s">
        <v>255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6" t="s">
        <v>248</v>
      </c>
      <c r="M156" s="537"/>
      <c r="N156" s="539" t="str">
        <f>CONCATENATE('BD Team'!H22," X ",'BD Team'!I22)</f>
        <v>3864 X 1220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6" t="s">
        <v>249</v>
      </c>
      <c r="M157" s="537"/>
      <c r="N157" s="538">
        <f>'BD Team'!J22</f>
        <v>1</v>
      </c>
      <c r="O157" s="538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6" t="s">
        <v>250</v>
      </c>
      <c r="M158" s="537"/>
      <c r="N158" s="539" t="str">
        <f>'BD Team'!C22</f>
        <v>M15000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6" t="s">
        <v>251</v>
      </c>
      <c r="M159" s="537"/>
      <c r="N159" s="539" t="str">
        <f>'BD Team'!E22</f>
        <v>24MM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6" t="s">
        <v>252</v>
      </c>
      <c r="M160" s="537"/>
      <c r="N160" s="539" t="str">
        <f>'BD Team'!F22</f>
        <v>NO</v>
      </c>
      <c r="O160" s="539"/>
    </row>
    <row r="161" spans="3:15">
      <c r="C161" s="535"/>
      <c r="D161" s="535"/>
      <c r="E161" s="535"/>
      <c r="F161" s="535"/>
      <c r="G161" s="535"/>
      <c r="H161" s="535"/>
      <c r="I161" s="535"/>
      <c r="J161" s="535"/>
      <c r="K161" s="535"/>
      <c r="L161" s="535"/>
      <c r="M161" s="535"/>
      <c r="N161" s="535"/>
      <c r="O161" s="535"/>
    </row>
    <row r="162" spans="3:15" ht="25.15" customHeight="1">
      <c r="C162" s="536" t="s">
        <v>253</v>
      </c>
      <c r="D162" s="537"/>
      <c r="E162" s="286" t="str">
        <f>'BD Team'!B23</f>
        <v>W4-A</v>
      </c>
      <c r="F162" s="288" t="s">
        <v>254</v>
      </c>
      <c r="G162" s="539" t="str">
        <f>'BD Team'!D23</f>
        <v>FIXED GLASS 3 NO'S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6" t="s">
        <v>127</v>
      </c>
      <c r="M163" s="537"/>
      <c r="N163" s="542" t="str">
        <f>'BD Team'!G23</f>
        <v>FF - GREAT ROOM</v>
      </c>
      <c r="O163" s="542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6" t="s">
        <v>246</v>
      </c>
      <c r="M164" s="537"/>
      <c r="N164" s="539" t="str">
        <f>$F$6</f>
        <v>Anodized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6" t="s">
        <v>177</v>
      </c>
      <c r="M165" s="537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6" t="s">
        <v>247</v>
      </c>
      <c r="M166" s="537"/>
      <c r="N166" s="542" t="s">
        <v>255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6" t="s">
        <v>248</v>
      </c>
      <c r="M167" s="537"/>
      <c r="N167" s="539" t="str">
        <f>CONCATENATE('BD Team'!H23," X ",'BD Team'!I23)</f>
        <v>6808 X 306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6" t="s">
        <v>249</v>
      </c>
      <c r="M168" s="537"/>
      <c r="N168" s="538">
        <f>'BD Team'!J23</f>
        <v>1</v>
      </c>
      <c r="O168" s="538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6" t="s">
        <v>250</v>
      </c>
      <c r="M169" s="537"/>
      <c r="N169" s="539" t="str">
        <f>'BD Team'!C23</f>
        <v>M15000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6" t="s">
        <v>251</v>
      </c>
      <c r="M170" s="537"/>
      <c r="N170" s="539" t="str">
        <f>'BD Team'!E23</f>
        <v>10MM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6" t="s">
        <v>252</v>
      </c>
      <c r="M171" s="537"/>
      <c r="N171" s="539" t="str">
        <f>'BD Team'!F23</f>
        <v>NO</v>
      </c>
      <c r="O171" s="539"/>
    </row>
    <row r="172" spans="3:15">
      <c r="C172" s="535"/>
      <c r="D172" s="535"/>
      <c r="E172" s="535"/>
      <c r="F172" s="535"/>
      <c r="G172" s="535"/>
      <c r="H172" s="535"/>
      <c r="I172" s="535"/>
      <c r="J172" s="535"/>
      <c r="K172" s="535"/>
      <c r="L172" s="535"/>
      <c r="M172" s="535"/>
      <c r="N172" s="535"/>
      <c r="O172" s="535"/>
    </row>
    <row r="173" spans="3:15" ht="25.15" customHeight="1">
      <c r="C173" s="536" t="s">
        <v>253</v>
      </c>
      <c r="D173" s="537"/>
      <c r="E173" s="286" t="str">
        <f>'BD Team'!B24</f>
        <v>W4-B</v>
      </c>
      <c r="F173" s="288" t="s">
        <v>254</v>
      </c>
      <c r="G173" s="539" t="str">
        <f>'BD Team'!D24</f>
        <v>FIXED GLASS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6" t="s">
        <v>127</v>
      </c>
      <c r="M174" s="537"/>
      <c r="N174" s="542" t="str">
        <f>'BD Team'!G24</f>
        <v>FF - GREAT ROOM</v>
      </c>
      <c r="O174" s="542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6" t="s">
        <v>246</v>
      </c>
      <c r="M175" s="537"/>
      <c r="N175" s="539" t="str">
        <f>$F$6</f>
        <v>Anodized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6" t="s">
        <v>177</v>
      </c>
      <c r="M176" s="537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6" t="s">
        <v>247</v>
      </c>
      <c r="M177" s="537"/>
      <c r="N177" s="542" t="s">
        <v>255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6" t="s">
        <v>248</v>
      </c>
      <c r="M178" s="537"/>
      <c r="N178" s="539" t="str">
        <f>CONCATENATE('BD Team'!H24," X ",'BD Team'!I24)</f>
        <v>2186 X 306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6" t="s">
        <v>249</v>
      </c>
      <c r="M179" s="537"/>
      <c r="N179" s="538">
        <f>'BD Team'!J24</f>
        <v>1</v>
      </c>
      <c r="O179" s="538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6" t="s">
        <v>250</v>
      </c>
      <c r="M180" s="537"/>
      <c r="N180" s="539" t="str">
        <f>'BD Team'!C24</f>
        <v>M15000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6" t="s">
        <v>251</v>
      </c>
      <c r="M181" s="537"/>
      <c r="N181" s="539" t="str">
        <f>'BD Team'!E24</f>
        <v>10MM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6" t="s">
        <v>252</v>
      </c>
      <c r="M182" s="537"/>
      <c r="N182" s="539" t="str">
        <f>'BD Team'!F24</f>
        <v>NO</v>
      </c>
      <c r="O182" s="539"/>
    </row>
    <row r="183" spans="3:15">
      <c r="C183" s="535"/>
      <c r="D183" s="535"/>
      <c r="E183" s="535"/>
      <c r="F183" s="535"/>
      <c r="G183" s="535"/>
      <c r="H183" s="535"/>
      <c r="I183" s="535"/>
      <c r="J183" s="535"/>
      <c r="K183" s="535"/>
      <c r="L183" s="535"/>
      <c r="M183" s="535"/>
      <c r="N183" s="535"/>
      <c r="O183" s="535"/>
    </row>
    <row r="184" spans="3:15" ht="25.15" customHeight="1">
      <c r="C184" s="536" t="s">
        <v>253</v>
      </c>
      <c r="D184" s="537"/>
      <c r="E184" s="286" t="str">
        <f>'BD Team'!B25</f>
        <v>W4-C</v>
      </c>
      <c r="F184" s="288" t="s">
        <v>254</v>
      </c>
      <c r="G184" s="539" t="str">
        <f>'BD Team'!D25</f>
        <v>FIXED GLASS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6" t="s">
        <v>127</v>
      </c>
      <c r="M185" s="537"/>
      <c r="N185" s="542" t="str">
        <f>'BD Team'!G25</f>
        <v>FF - GREAT ROOM</v>
      </c>
      <c r="O185" s="542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6" t="s">
        <v>246</v>
      </c>
      <c r="M186" s="537"/>
      <c r="N186" s="539" t="str">
        <f>$F$6</f>
        <v>Anodized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6" t="s">
        <v>177</v>
      </c>
      <c r="M187" s="537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6" t="s">
        <v>247</v>
      </c>
      <c r="M188" s="537"/>
      <c r="N188" s="542" t="s">
        <v>255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6" t="s">
        <v>248</v>
      </c>
      <c r="M189" s="537"/>
      <c r="N189" s="539" t="str">
        <f>CONCATENATE('BD Team'!H25," X ",'BD Team'!I25)</f>
        <v>610 X 3272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6" t="s">
        <v>249</v>
      </c>
      <c r="M190" s="537"/>
      <c r="N190" s="538">
        <f>'BD Team'!J25</f>
        <v>1</v>
      </c>
      <c r="O190" s="538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6" t="s">
        <v>250</v>
      </c>
      <c r="M191" s="537"/>
      <c r="N191" s="539" t="str">
        <f>'BD Team'!C25</f>
        <v>M15000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6" t="s">
        <v>251</v>
      </c>
      <c r="M192" s="537"/>
      <c r="N192" s="539" t="str">
        <f>'BD Team'!E25</f>
        <v>10MM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6" t="s">
        <v>252</v>
      </c>
      <c r="M193" s="537"/>
      <c r="N193" s="539" t="str">
        <f>'BD Team'!F25</f>
        <v>NO</v>
      </c>
      <c r="O193" s="539"/>
    </row>
    <row r="194" spans="3:15">
      <c r="C194" s="535"/>
      <c r="D194" s="535"/>
      <c r="E194" s="535"/>
      <c r="F194" s="535"/>
      <c r="G194" s="535"/>
      <c r="H194" s="535"/>
      <c r="I194" s="535"/>
      <c r="J194" s="535"/>
      <c r="K194" s="535"/>
      <c r="L194" s="535"/>
      <c r="M194" s="535"/>
      <c r="N194" s="535"/>
      <c r="O194" s="535"/>
    </row>
    <row r="195" spans="3:15" ht="25.15" customHeight="1">
      <c r="C195" s="536" t="s">
        <v>253</v>
      </c>
      <c r="D195" s="537"/>
      <c r="E195" s="286" t="str">
        <f>'BD Team'!B26</f>
        <v>SW1</v>
      </c>
      <c r="F195" s="288" t="s">
        <v>254</v>
      </c>
      <c r="G195" s="539" t="str">
        <f>'BD Team'!D26</f>
        <v>3 TRACK 2 SHUTTER SLIDING WINDOW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6" t="s">
        <v>127</v>
      </c>
      <c r="M196" s="537"/>
      <c r="N196" s="542" t="str">
        <f>'BD Team'!G26</f>
        <v>GF - STAFF RECEPTION ROOM</v>
      </c>
      <c r="O196" s="542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6" t="s">
        <v>246</v>
      </c>
      <c r="M197" s="537"/>
      <c r="N197" s="539" t="str">
        <f>$F$6</f>
        <v>Anodized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6" t="s">
        <v>177</v>
      </c>
      <c r="M198" s="537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6" t="s">
        <v>247</v>
      </c>
      <c r="M199" s="537"/>
      <c r="N199" s="542" t="s">
        <v>255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6" t="s">
        <v>248</v>
      </c>
      <c r="M200" s="537"/>
      <c r="N200" s="539" t="str">
        <f>CONCATENATE('BD Team'!H26," X ",'BD Team'!I26)</f>
        <v>1170 X 1372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6" t="s">
        <v>249</v>
      </c>
      <c r="M201" s="537"/>
      <c r="N201" s="538">
        <f>'BD Team'!J26</f>
        <v>1</v>
      </c>
      <c r="O201" s="538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6" t="s">
        <v>250</v>
      </c>
      <c r="M202" s="537"/>
      <c r="N202" s="539" t="str">
        <f>'BD Team'!C26</f>
        <v>M900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6" t="s">
        <v>251</v>
      </c>
      <c r="M203" s="537"/>
      <c r="N203" s="539" t="str">
        <f>'BD Team'!E26</f>
        <v>20MM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6" t="s">
        <v>252</v>
      </c>
      <c r="M204" s="537"/>
      <c r="N204" s="539" t="str">
        <f>'BD Team'!F26</f>
        <v>SS</v>
      </c>
      <c r="O204" s="539"/>
    </row>
    <row r="205" spans="3:15">
      <c r="C205" s="535"/>
      <c r="D205" s="535"/>
      <c r="E205" s="535"/>
      <c r="F205" s="535"/>
      <c r="G205" s="535"/>
      <c r="H205" s="535"/>
      <c r="I205" s="535"/>
      <c r="J205" s="535"/>
      <c r="K205" s="535"/>
      <c r="L205" s="535"/>
      <c r="M205" s="535"/>
      <c r="N205" s="535"/>
      <c r="O205" s="535"/>
    </row>
    <row r="206" spans="3:15" ht="25.15" customHeight="1">
      <c r="C206" s="536" t="s">
        <v>253</v>
      </c>
      <c r="D206" s="537"/>
      <c r="E206" s="286" t="str">
        <f>'BD Team'!B27</f>
        <v>SW3</v>
      </c>
      <c r="F206" s="288" t="s">
        <v>254</v>
      </c>
      <c r="G206" s="539" t="str">
        <f>'BD Team'!D27</f>
        <v>3 TRACK 2 SHUTTER SLIDING WINDOW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6" t="s">
        <v>127</v>
      </c>
      <c r="M207" s="537"/>
      <c r="N207" s="542" t="str">
        <f>'BD Team'!G27</f>
        <v>GF - STUDY &amp; LIVING</v>
      </c>
      <c r="O207" s="542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6" t="s">
        <v>246</v>
      </c>
      <c r="M208" s="537"/>
      <c r="N208" s="539" t="str">
        <f>$F$6</f>
        <v>Anodized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6" t="s">
        <v>177</v>
      </c>
      <c r="M209" s="537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6" t="s">
        <v>247</v>
      </c>
      <c r="M210" s="537"/>
      <c r="N210" s="542" t="s">
        <v>255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6" t="s">
        <v>248</v>
      </c>
      <c r="M211" s="537"/>
      <c r="N211" s="539" t="str">
        <f>CONCATENATE('BD Team'!H27," X ",'BD Team'!I27)</f>
        <v>2490 X 1524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6" t="s">
        <v>249</v>
      </c>
      <c r="M212" s="537"/>
      <c r="N212" s="538">
        <f>'BD Team'!J27</f>
        <v>1</v>
      </c>
      <c r="O212" s="538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6" t="s">
        <v>250</v>
      </c>
      <c r="M213" s="537"/>
      <c r="N213" s="539" t="str">
        <f>'BD Team'!C27</f>
        <v>M900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6" t="s">
        <v>251</v>
      </c>
      <c r="M214" s="537"/>
      <c r="N214" s="539" t="str">
        <f>'BD Team'!E27</f>
        <v>20MM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6" t="s">
        <v>252</v>
      </c>
      <c r="M215" s="537"/>
      <c r="N215" s="539" t="str">
        <f>'BD Team'!F27</f>
        <v>SS</v>
      </c>
      <c r="O215" s="539"/>
    </row>
    <row r="216" spans="3:15">
      <c r="C216" s="535"/>
      <c r="D216" s="535"/>
      <c r="E216" s="535"/>
      <c r="F216" s="535"/>
      <c r="G216" s="535"/>
      <c r="H216" s="535"/>
      <c r="I216" s="535"/>
      <c r="J216" s="535"/>
      <c r="K216" s="535"/>
      <c r="L216" s="535"/>
      <c r="M216" s="535"/>
      <c r="N216" s="535"/>
      <c r="O216" s="535"/>
    </row>
    <row r="217" spans="3:15" ht="25.15" customHeight="1">
      <c r="C217" s="536" t="s">
        <v>253</v>
      </c>
      <c r="D217" s="537"/>
      <c r="E217" s="286" t="str">
        <f>'BD Team'!B28</f>
        <v>SW4</v>
      </c>
      <c r="F217" s="288" t="s">
        <v>254</v>
      </c>
      <c r="G217" s="539" t="str">
        <f>'BD Team'!D28</f>
        <v>3 TRACK 2 SHUTTER SLIDING DOOR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6" t="s">
        <v>127</v>
      </c>
      <c r="M218" s="537"/>
      <c r="N218" s="542" t="str">
        <f>'BD Team'!G28</f>
        <v>GF - FAMILY AREA</v>
      </c>
      <c r="O218" s="542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6" t="s">
        <v>246</v>
      </c>
      <c r="M219" s="537"/>
      <c r="N219" s="539" t="str">
        <f>$F$6</f>
        <v>Anodized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6" t="s">
        <v>177</v>
      </c>
      <c r="M220" s="537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6" t="s">
        <v>247</v>
      </c>
      <c r="M221" s="537"/>
      <c r="N221" s="542" t="s">
        <v>255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6" t="s">
        <v>248</v>
      </c>
      <c r="M222" s="537"/>
      <c r="N222" s="539" t="str">
        <f>CONCATENATE('BD Team'!H28," X ",'BD Team'!I28)</f>
        <v>2948 X 2134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6" t="s">
        <v>249</v>
      </c>
      <c r="M223" s="537"/>
      <c r="N223" s="538">
        <f>'BD Team'!J28</f>
        <v>1</v>
      </c>
      <c r="O223" s="538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6" t="s">
        <v>250</v>
      </c>
      <c r="M224" s="537"/>
      <c r="N224" s="539" t="str">
        <f>'BD Team'!C28</f>
        <v>M14600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6" t="s">
        <v>251</v>
      </c>
      <c r="M225" s="537"/>
      <c r="N225" s="539" t="str">
        <f>'BD Team'!E28</f>
        <v>24MM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6" t="s">
        <v>252</v>
      </c>
      <c r="M226" s="537"/>
      <c r="N226" s="539" t="str">
        <f>'BD Team'!F28</f>
        <v>SS</v>
      </c>
      <c r="O226" s="539"/>
    </row>
    <row r="227" spans="3:15">
      <c r="C227" s="535"/>
      <c r="D227" s="535"/>
      <c r="E227" s="535"/>
      <c r="F227" s="535"/>
      <c r="G227" s="535"/>
      <c r="H227" s="535"/>
      <c r="I227" s="535"/>
      <c r="J227" s="535"/>
      <c r="K227" s="535"/>
      <c r="L227" s="535"/>
      <c r="M227" s="535"/>
      <c r="N227" s="535"/>
      <c r="O227" s="535"/>
    </row>
    <row r="228" spans="3:15" ht="25.15" customHeight="1">
      <c r="C228" s="536" t="s">
        <v>253</v>
      </c>
      <c r="D228" s="537"/>
      <c r="E228" s="286" t="str">
        <f>'BD Team'!B29</f>
        <v>SW5</v>
      </c>
      <c r="F228" s="288" t="s">
        <v>254</v>
      </c>
      <c r="G228" s="539" t="str">
        <f>'BD Team'!D29</f>
        <v>3 TRACK 2 SHUTTER SLIDING WINDOW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6" t="s">
        <v>127</v>
      </c>
      <c r="M229" s="537"/>
      <c r="N229" s="542" t="str">
        <f>'BD Team'!G29</f>
        <v>GF - STUDY ROOM</v>
      </c>
      <c r="O229" s="542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6" t="s">
        <v>246</v>
      </c>
      <c r="M230" s="537"/>
      <c r="N230" s="539" t="str">
        <f>$F$6</f>
        <v>Anodized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6" t="s">
        <v>177</v>
      </c>
      <c r="M231" s="537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6" t="s">
        <v>247</v>
      </c>
      <c r="M232" s="537"/>
      <c r="N232" s="542" t="s">
        <v>255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6" t="s">
        <v>248</v>
      </c>
      <c r="M233" s="537"/>
      <c r="N233" s="539" t="str">
        <f>CONCATENATE('BD Team'!H29," X ",'BD Team'!I29)</f>
        <v>3302 X 1372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6" t="s">
        <v>249</v>
      </c>
      <c r="M234" s="537"/>
      <c r="N234" s="538">
        <f>'BD Team'!J29</f>
        <v>1</v>
      </c>
      <c r="O234" s="538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6" t="s">
        <v>250</v>
      </c>
      <c r="M235" s="537"/>
      <c r="N235" s="539" t="str">
        <f>'BD Team'!C29</f>
        <v>M14600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6" t="s">
        <v>251</v>
      </c>
      <c r="M236" s="537"/>
      <c r="N236" s="539" t="str">
        <f>'BD Team'!E29</f>
        <v>24MM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6" t="s">
        <v>252</v>
      </c>
      <c r="M237" s="537"/>
      <c r="N237" s="539" t="str">
        <f>'BD Team'!F29</f>
        <v>SS</v>
      </c>
      <c r="O237" s="539"/>
    </row>
    <row r="238" spans="3:15">
      <c r="C238" s="535"/>
      <c r="D238" s="535"/>
      <c r="E238" s="535"/>
      <c r="F238" s="535"/>
      <c r="G238" s="535"/>
      <c r="H238" s="535"/>
      <c r="I238" s="535"/>
      <c r="J238" s="535"/>
      <c r="K238" s="535"/>
      <c r="L238" s="535"/>
      <c r="M238" s="535"/>
      <c r="N238" s="535"/>
      <c r="O238" s="535"/>
    </row>
    <row r="239" spans="3:15" ht="25.15" customHeight="1">
      <c r="C239" s="536" t="s">
        <v>253</v>
      </c>
      <c r="D239" s="537"/>
      <c r="E239" s="286" t="str">
        <f>'BD Team'!B30</f>
        <v>SW6</v>
      </c>
      <c r="F239" s="288" t="s">
        <v>254</v>
      </c>
      <c r="G239" s="539" t="str">
        <f>'BD Team'!D30</f>
        <v>3 TRACK 2 SHUTTER SLIDING WINDOW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6" t="s">
        <v>127</v>
      </c>
      <c r="M240" s="537"/>
      <c r="N240" s="542" t="str">
        <f>'BD Team'!G30</f>
        <v>GF - STAFF RECEPTION ROOM</v>
      </c>
      <c r="O240" s="542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6" t="s">
        <v>246</v>
      </c>
      <c r="M241" s="537"/>
      <c r="N241" s="539" t="str">
        <f>$F$6</f>
        <v>Anodized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6" t="s">
        <v>177</v>
      </c>
      <c r="M242" s="537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6" t="s">
        <v>247</v>
      </c>
      <c r="M243" s="537"/>
      <c r="N243" s="542" t="s">
        <v>255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6" t="s">
        <v>248</v>
      </c>
      <c r="M244" s="537"/>
      <c r="N244" s="539" t="str">
        <f>CONCATENATE('BD Team'!H30," X ",'BD Team'!I30)</f>
        <v>1322 X 1372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6" t="s">
        <v>249</v>
      </c>
      <c r="M245" s="537"/>
      <c r="N245" s="538">
        <f>'BD Team'!J30</f>
        <v>1</v>
      </c>
      <c r="O245" s="538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6" t="s">
        <v>250</v>
      </c>
      <c r="M246" s="537"/>
      <c r="N246" s="539" t="str">
        <f>'BD Team'!C30</f>
        <v>M900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6" t="s">
        <v>251</v>
      </c>
      <c r="M247" s="537"/>
      <c r="N247" s="539" t="str">
        <f>'BD Team'!E30</f>
        <v>20MM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6" t="s">
        <v>252</v>
      </c>
      <c r="M248" s="537"/>
      <c r="N248" s="539" t="str">
        <f>'BD Team'!F30</f>
        <v>SS</v>
      </c>
      <c r="O248" s="539"/>
    </row>
    <row r="249" spans="3:15">
      <c r="C249" s="535"/>
      <c r="D249" s="535"/>
      <c r="E249" s="535"/>
      <c r="F249" s="535"/>
      <c r="G249" s="535"/>
      <c r="H249" s="535"/>
      <c r="I249" s="535"/>
      <c r="J249" s="535"/>
      <c r="K249" s="535"/>
      <c r="L249" s="535"/>
      <c r="M249" s="535"/>
      <c r="N249" s="535"/>
      <c r="O249" s="535"/>
    </row>
    <row r="250" spans="3:15" ht="25.15" customHeight="1">
      <c r="C250" s="536" t="s">
        <v>253</v>
      </c>
      <c r="D250" s="537"/>
      <c r="E250" s="286" t="str">
        <f>'BD Team'!B31</f>
        <v>SW7</v>
      </c>
      <c r="F250" s="288" t="s">
        <v>254</v>
      </c>
      <c r="G250" s="539" t="str">
        <f>'BD Team'!D31</f>
        <v>3 TRACK 4 SHUTTER SLIDING DOOR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6" t="s">
        <v>127</v>
      </c>
      <c r="M251" s="537"/>
      <c r="N251" s="542" t="str">
        <f>'BD Team'!G31</f>
        <v>GF - DINING</v>
      </c>
      <c r="O251" s="542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6" t="s">
        <v>246</v>
      </c>
      <c r="M252" s="537"/>
      <c r="N252" s="539" t="str">
        <f>$F$6</f>
        <v>Anodized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6" t="s">
        <v>177</v>
      </c>
      <c r="M253" s="537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6" t="s">
        <v>247</v>
      </c>
      <c r="M254" s="537"/>
      <c r="N254" s="542" t="s">
        <v>255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6" t="s">
        <v>248</v>
      </c>
      <c r="M255" s="537"/>
      <c r="N255" s="539" t="str">
        <f>CONCATENATE('BD Team'!H31," X ",'BD Team'!I31)</f>
        <v>3862 X 2134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6" t="s">
        <v>249</v>
      </c>
      <c r="M256" s="537"/>
      <c r="N256" s="538">
        <f>'BD Team'!J31</f>
        <v>1</v>
      </c>
      <c r="O256" s="538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6" t="s">
        <v>250</v>
      </c>
      <c r="M257" s="537"/>
      <c r="N257" s="539" t="str">
        <f>'BD Team'!C31</f>
        <v>M14600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6" t="s">
        <v>251</v>
      </c>
      <c r="M258" s="537"/>
      <c r="N258" s="539" t="str">
        <f>'BD Team'!E31</f>
        <v>24MM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6" t="s">
        <v>252</v>
      </c>
      <c r="M259" s="537"/>
      <c r="N259" s="539" t="str">
        <f>'BD Team'!F31</f>
        <v>SS</v>
      </c>
      <c r="O259" s="539"/>
    </row>
    <row r="260" spans="3:15">
      <c r="C260" s="535"/>
      <c r="D260" s="535"/>
      <c r="E260" s="535"/>
      <c r="F260" s="535"/>
      <c r="G260" s="535"/>
      <c r="H260" s="535"/>
      <c r="I260" s="535"/>
      <c r="J260" s="535"/>
      <c r="K260" s="535"/>
      <c r="L260" s="535"/>
      <c r="M260" s="535"/>
      <c r="N260" s="535"/>
      <c r="O260" s="535"/>
    </row>
    <row r="261" spans="3:15" ht="25.15" customHeight="1">
      <c r="C261" s="536" t="s">
        <v>253</v>
      </c>
      <c r="D261" s="537"/>
      <c r="E261" s="286" t="str">
        <f>'BD Team'!B32</f>
        <v>SW8</v>
      </c>
      <c r="F261" s="288" t="s">
        <v>254</v>
      </c>
      <c r="G261" s="539" t="str">
        <f>'BD Team'!D32</f>
        <v>3 TRACK 2 SHUTTER SLIDING DOOR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6" t="s">
        <v>127</v>
      </c>
      <c r="M262" s="537"/>
      <c r="N262" s="542" t="str">
        <f>'BD Team'!G32</f>
        <v>GF - POOJA ROOM</v>
      </c>
      <c r="O262" s="542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6" t="s">
        <v>246</v>
      </c>
      <c r="M263" s="537"/>
      <c r="N263" s="539" t="str">
        <f>$F$6</f>
        <v>Anodized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6" t="s">
        <v>177</v>
      </c>
      <c r="M264" s="537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6" t="s">
        <v>247</v>
      </c>
      <c r="M265" s="537"/>
      <c r="N265" s="542" t="s">
        <v>255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6" t="s">
        <v>248</v>
      </c>
      <c r="M266" s="537"/>
      <c r="N266" s="539" t="str">
        <f>CONCATENATE('BD Team'!H32," X ",'BD Team'!I32)</f>
        <v>1372 X 2134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6" t="s">
        <v>249</v>
      </c>
      <c r="M267" s="537"/>
      <c r="N267" s="538">
        <f>'BD Team'!J32</f>
        <v>1</v>
      </c>
      <c r="O267" s="538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6" t="s">
        <v>250</v>
      </c>
      <c r="M268" s="537"/>
      <c r="N268" s="539" t="str">
        <f>'BD Team'!C32</f>
        <v>M14600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6" t="s">
        <v>251</v>
      </c>
      <c r="M269" s="537"/>
      <c r="N269" s="539" t="str">
        <f>'BD Team'!E32</f>
        <v>24MM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6" t="s">
        <v>252</v>
      </c>
      <c r="M270" s="537"/>
      <c r="N270" s="539" t="str">
        <f>'BD Team'!F32</f>
        <v>SS</v>
      </c>
      <c r="O270" s="539"/>
    </row>
    <row r="271" spans="3:15">
      <c r="C271" s="535"/>
      <c r="D271" s="535"/>
      <c r="E271" s="535"/>
      <c r="F271" s="535"/>
      <c r="G271" s="535"/>
      <c r="H271" s="535"/>
      <c r="I271" s="535"/>
      <c r="J271" s="535"/>
      <c r="K271" s="535"/>
      <c r="L271" s="535"/>
      <c r="M271" s="535"/>
      <c r="N271" s="535"/>
      <c r="O271" s="535"/>
    </row>
    <row r="272" spans="3:15" ht="25.15" customHeight="1">
      <c r="C272" s="536" t="s">
        <v>253</v>
      </c>
      <c r="D272" s="537"/>
      <c r="E272" s="286" t="str">
        <f>'BD Team'!B33</f>
        <v>SW9</v>
      </c>
      <c r="F272" s="288" t="s">
        <v>254</v>
      </c>
      <c r="G272" s="539" t="str">
        <f>'BD Team'!D33</f>
        <v>3 TRACK 2 SHUTTER SLIDING WINDOW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6" t="s">
        <v>127</v>
      </c>
      <c r="M273" s="537"/>
      <c r="N273" s="542" t="str">
        <f>'BD Team'!G33</f>
        <v>GF - KITCHEN</v>
      </c>
      <c r="O273" s="542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6" t="s">
        <v>246</v>
      </c>
      <c r="M274" s="537"/>
      <c r="N274" s="539" t="str">
        <f>$F$6</f>
        <v>Anodized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6" t="s">
        <v>177</v>
      </c>
      <c r="M275" s="537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6" t="s">
        <v>247</v>
      </c>
      <c r="M276" s="537"/>
      <c r="N276" s="542" t="s">
        <v>255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6" t="s">
        <v>248</v>
      </c>
      <c r="M277" s="537"/>
      <c r="N277" s="539" t="str">
        <f>CONCATENATE('BD Team'!H33," X ",'BD Team'!I33)</f>
        <v>1778 X 1372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6" t="s">
        <v>249</v>
      </c>
      <c r="M278" s="537"/>
      <c r="N278" s="538">
        <f>'BD Team'!J33</f>
        <v>1</v>
      </c>
      <c r="O278" s="538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6" t="s">
        <v>250</v>
      </c>
      <c r="M279" s="537"/>
      <c r="N279" s="539" t="str">
        <f>'BD Team'!C33</f>
        <v>M900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6" t="s">
        <v>251</v>
      </c>
      <c r="M280" s="537"/>
      <c r="N280" s="539" t="str">
        <f>'BD Team'!E33</f>
        <v>20MM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6" t="s">
        <v>252</v>
      </c>
      <c r="M281" s="537"/>
      <c r="N281" s="539" t="str">
        <f>'BD Team'!F33</f>
        <v>SS</v>
      </c>
      <c r="O281" s="539"/>
    </row>
    <row r="282" spans="3:15">
      <c r="C282" s="535"/>
      <c r="D282" s="535"/>
      <c r="E282" s="535"/>
      <c r="F282" s="535"/>
      <c r="G282" s="535"/>
      <c r="H282" s="535"/>
      <c r="I282" s="535"/>
      <c r="J282" s="535"/>
      <c r="K282" s="535"/>
      <c r="L282" s="535"/>
      <c r="M282" s="535"/>
      <c r="N282" s="535"/>
      <c r="O282" s="535"/>
    </row>
    <row r="283" spans="3:15" ht="25.15" customHeight="1">
      <c r="C283" s="536" t="s">
        <v>253</v>
      </c>
      <c r="D283" s="537"/>
      <c r="E283" s="286" t="str">
        <f>'BD Team'!B34</f>
        <v>SW10</v>
      </c>
      <c r="F283" s="288" t="s">
        <v>254</v>
      </c>
      <c r="G283" s="539" t="str">
        <f>'BD Team'!D34</f>
        <v>3 TRACK 4 SHUTTER SLIDING WINDOW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6" t="s">
        <v>127</v>
      </c>
      <c r="M284" s="537"/>
      <c r="N284" s="542" t="str">
        <f>'BD Team'!G34</f>
        <v>FF - FAMILY ROOM</v>
      </c>
      <c r="O284" s="542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6" t="s">
        <v>246</v>
      </c>
      <c r="M285" s="537"/>
      <c r="N285" s="539" t="str">
        <f>$F$6</f>
        <v>Anodized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6" t="s">
        <v>177</v>
      </c>
      <c r="M286" s="537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6" t="s">
        <v>247</v>
      </c>
      <c r="M287" s="537"/>
      <c r="N287" s="542" t="s">
        <v>255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6" t="s">
        <v>248</v>
      </c>
      <c r="M288" s="537"/>
      <c r="N288" s="539" t="str">
        <f>CONCATENATE('BD Team'!H34," X ",'BD Team'!I34)</f>
        <v>3862 X 1678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6" t="s">
        <v>249</v>
      </c>
      <c r="M289" s="537"/>
      <c r="N289" s="538">
        <f>'BD Team'!J34</f>
        <v>1</v>
      </c>
      <c r="O289" s="538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6" t="s">
        <v>250</v>
      </c>
      <c r="M290" s="537"/>
      <c r="N290" s="539" t="str">
        <f>'BD Team'!C34</f>
        <v>M14600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6" t="s">
        <v>251</v>
      </c>
      <c r="M291" s="537"/>
      <c r="N291" s="539" t="str">
        <f>'BD Team'!E34</f>
        <v>24MM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6" t="s">
        <v>252</v>
      </c>
      <c r="M292" s="537"/>
      <c r="N292" s="539" t="str">
        <f>'BD Team'!F34</f>
        <v>SS</v>
      </c>
      <c r="O292" s="539"/>
    </row>
    <row r="293" spans="3:15">
      <c r="C293" s="535"/>
      <c r="D293" s="535"/>
      <c r="E293" s="535"/>
      <c r="F293" s="535"/>
      <c r="G293" s="535"/>
      <c r="H293" s="535"/>
      <c r="I293" s="535"/>
      <c r="J293" s="535"/>
      <c r="K293" s="535"/>
      <c r="L293" s="535"/>
      <c r="M293" s="535"/>
      <c r="N293" s="535"/>
      <c r="O293" s="535"/>
    </row>
    <row r="294" spans="3:15" ht="25.15" customHeight="1">
      <c r="C294" s="536" t="s">
        <v>253</v>
      </c>
      <c r="D294" s="537"/>
      <c r="E294" s="286" t="str">
        <f>'BD Team'!B35</f>
        <v>SW11</v>
      </c>
      <c r="F294" s="288" t="s">
        <v>254</v>
      </c>
      <c r="G294" s="539" t="str">
        <f>'BD Team'!D35</f>
        <v>3 TRACK 2 SHUTTER SLIDING WINDOW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6" t="s">
        <v>127</v>
      </c>
      <c r="M295" s="537"/>
      <c r="N295" s="542" t="str">
        <f>'BD Team'!G35</f>
        <v>FF - BAR</v>
      </c>
      <c r="O295" s="542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6" t="s">
        <v>246</v>
      </c>
      <c r="M296" s="537"/>
      <c r="N296" s="539" t="str">
        <f>$F$6</f>
        <v>Anodized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6" t="s">
        <v>177</v>
      </c>
      <c r="M297" s="537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6" t="s">
        <v>247</v>
      </c>
      <c r="M298" s="537"/>
      <c r="N298" s="542" t="s">
        <v>255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6" t="s">
        <v>248</v>
      </c>
      <c r="M299" s="537"/>
      <c r="N299" s="539" t="str">
        <f>CONCATENATE('BD Team'!H35," X ",'BD Team'!I35)</f>
        <v>3302 X 1830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6" t="s">
        <v>249</v>
      </c>
      <c r="M300" s="537"/>
      <c r="N300" s="538">
        <f>'BD Team'!J35</f>
        <v>1</v>
      </c>
      <c r="O300" s="538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6" t="s">
        <v>250</v>
      </c>
      <c r="M301" s="537"/>
      <c r="N301" s="539" t="str">
        <f>'BD Team'!C35</f>
        <v>M14600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6" t="s">
        <v>251</v>
      </c>
      <c r="M302" s="537"/>
      <c r="N302" s="539" t="str">
        <f>'BD Team'!E35</f>
        <v>24MM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6" t="s">
        <v>252</v>
      </c>
      <c r="M303" s="537"/>
      <c r="N303" s="539" t="str">
        <f>'BD Team'!F35</f>
        <v>SS</v>
      </c>
      <c r="O303" s="539"/>
    </row>
    <row r="304" spans="3:15">
      <c r="C304" s="535"/>
      <c r="D304" s="535"/>
      <c r="E304" s="535"/>
      <c r="F304" s="535"/>
      <c r="G304" s="535"/>
      <c r="H304" s="535"/>
      <c r="I304" s="535"/>
      <c r="J304" s="535"/>
      <c r="K304" s="535"/>
      <c r="L304" s="535"/>
      <c r="M304" s="535"/>
      <c r="N304" s="535"/>
      <c r="O304" s="535"/>
    </row>
    <row r="305" spans="3:15" ht="25.15" customHeight="1">
      <c r="C305" s="536" t="s">
        <v>253</v>
      </c>
      <c r="D305" s="537"/>
      <c r="E305" s="286" t="str">
        <f>'BD Team'!B36</f>
        <v>SFW1</v>
      </c>
      <c r="F305" s="288" t="s">
        <v>254</v>
      </c>
      <c r="G305" s="539" t="str">
        <f>'BD Team'!D36</f>
        <v>5 LEAF SLIDING FOLDING WINDOW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6" t="s">
        <v>127</v>
      </c>
      <c r="M306" s="537"/>
      <c r="N306" s="542" t="str">
        <f>'BD Team'!G36</f>
        <v>FF - FAMILY ROOM</v>
      </c>
      <c r="O306" s="542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6" t="s">
        <v>246</v>
      </c>
      <c r="M307" s="537"/>
      <c r="N307" s="539" t="str">
        <f>$F$6</f>
        <v>Anodized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6" t="s">
        <v>177</v>
      </c>
      <c r="M308" s="537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6" t="s">
        <v>247</v>
      </c>
      <c r="M309" s="537"/>
      <c r="N309" s="542" t="s">
        <v>255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6" t="s">
        <v>248</v>
      </c>
      <c r="M310" s="537"/>
      <c r="N310" s="539" t="str">
        <f>CONCATENATE('BD Team'!H36," X ",'BD Team'!I36)</f>
        <v>4572 X 1830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6" t="s">
        <v>249</v>
      </c>
      <c r="M311" s="537"/>
      <c r="N311" s="538">
        <f>'BD Team'!J36</f>
        <v>1</v>
      </c>
      <c r="O311" s="538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6" t="s">
        <v>250</v>
      </c>
      <c r="M312" s="537"/>
      <c r="N312" s="539" t="str">
        <f>'BD Team'!C36</f>
        <v>M9800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6" t="s">
        <v>251</v>
      </c>
      <c r="M313" s="537"/>
      <c r="N313" s="539" t="str">
        <f>'BD Team'!E36</f>
        <v>24MM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6" t="s">
        <v>252</v>
      </c>
      <c r="M314" s="537"/>
      <c r="N314" s="539" t="str">
        <f>'BD Team'!F36</f>
        <v>NO</v>
      </c>
      <c r="O314" s="539"/>
    </row>
    <row r="315" spans="3:15">
      <c r="C315" s="535"/>
      <c r="D315" s="535"/>
      <c r="E315" s="535"/>
      <c r="F315" s="535"/>
      <c r="G315" s="535"/>
      <c r="H315" s="535"/>
      <c r="I315" s="535"/>
      <c r="J315" s="535"/>
      <c r="K315" s="535"/>
      <c r="L315" s="535"/>
      <c r="M315" s="535"/>
      <c r="N315" s="535"/>
      <c r="O315" s="535"/>
    </row>
    <row r="316" spans="3:15" ht="25.15" customHeight="1">
      <c r="C316" s="536" t="s">
        <v>253</v>
      </c>
      <c r="D316" s="537"/>
      <c r="E316" s="286" t="str">
        <f>'BD Team'!B37</f>
        <v>CW1-A</v>
      </c>
      <c r="F316" s="288" t="s">
        <v>254</v>
      </c>
      <c r="G316" s="539" t="str">
        <f>'BD Team'!D37</f>
        <v>SIDE HUNG WITH FIXED GLASS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6" t="s">
        <v>127</v>
      </c>
      <c r="M317" s="537"/>
      <c r="N317" s="542" t="str">
        <f>'BD Team'!G37</f>
        <v>GF - KITCHEN</v>
      </c>
      <c r="O317" s="542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6" t="s">
        <v>246</v>
      </c>
      <c r="M318" s="537"/>
      <c r="N318" s="539" t="str">
        <f>$F$6</f>
        <v>Anodized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6" t="s">
        <v>177</v>
      </c>
      <c r="M319" s="537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6" t="s">
        <v>247</v>
      </c>
      <c r="M320" s="537"/>
      <c r="N320" s="542" t="s">
        <v>255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6" t="s">
        <v>248</v>
      </c>
      <c r="M321" s="537"/>
      <c r="N321" s="539" t="str">
        <f>CONCATENATE('BD Team'!H37," X ",'BD Team'!I37)</f>
        <v>1728 X 1372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6" t="s">
        <v>249</v>
      </c>
      <c r="M322" s="537"/>
      <c r="N322" s="538">
        <f>'BD Team'!J37</f>
        <v>1</v>
      </c>
      <c r="O322" s="538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6" t="s">
        <v>250</v>
      </c>
      <c r="M323" s="537"/>
      <c r="N323" s="539" t="str">
        <f>'BD Team'!C37</f>
        <v>M15000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6" t="s">
        <v>251</v>
      </c>
      <c r="M324" s="537"/>
      <c r="N324" s="539" t="str">
        <f>'BD Team'!E37</f>
        <v>24MM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6" t="s">
        <v>252</v>
      </c>
      <c r="M325" s="537"/>
      <c r="N325" s="539" t="str">
        <f>'BD Team'!F37</f>
        <v>NO</v>
      </c>
      <c r="O325" s="539"/>
    </row>
    <row r="326" spans="3:15">
      <c r="C326" s="535"/>
      <c r="D326" s="535"/>
      <c r="E326" s="535"/>
      <c r="F326" s="535"/>
      <c r="G326" s="535"/>
      <c r="H326" s="535"/>
      <c r="I326" s="535"/>
      <c r="J326" s="535"/>
      <c r="K326" s="535"/>
      <c r="L326" s="535"/>
      <c r="M326" s="535"/>
      <c r="N326" s="535"/>
      <c r="O326" s="535"/>
    </row>
    <row r="327" spans="3:15" ht="25.15" customHeight="1">
      <c r="C327" s="536" t="s">
        <v>253</v>
      </c>
      <c r="D327" s="537"/>
      <c r="E327" s="286" t="str">
        <f>'BD Team'!B38</f>
        <v>CW1-B</v>
      </c>
      <c r="F327" s="288" t="s">
        <v>254</v>
      </c>
      <c r="G327" s="539" t="str">
        <f>'BD Team'!D38</f>
        <v>3 TRACK 2 SHUTTER SLIDING WINDOW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6" t="s">
        <v>127</v>
      </c>
      <c r="M328" s="537"/>
      <c r="N328" s="542" t="str">
        <f>'BD Team'!G38</f>
        <v>GF - KITCHEN</v>
      </c>
      <c r="O328" s="542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6" t="s">
        <v>246</v>
      </c>
      <c r="M329" s="537"/>
      <c r="N329" s="539" t="str">
        <f>$F$6</f>
        <v>Anodized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6" t="s">
        <v>177</v>
      </c>
      <c r="M330" s="537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6" t="s">
        <v>247</v>
      </c>
      <c r="M331" s="537"/>
      <c r="N331" s="542" t="s">
        <v>255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6" t="s">
        <v>248</v>
      </c>
      <c r="M332" s="537"/>
      <c r="N332" s="539" t="str">
        <f>CONCATENATE('BD Team'!H38," X ",'BD Team'!I38)</f>
        <v>2032 X 1372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6" t="s">
        <v>249</v>
      </c>
      <c r="M333" s="537"/>
      <c r="N333" s="538">
        <f>'BD Team'!J38</f>
        <v>1</v>
      </c>
      <c r="O333" s="538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6" t="s">
        <v>250</v>
      </c>
      <c r="M334" s="537"/>
      <c r="N334" s="539" t="str">
        <f>'BD Team'!C38</f>
        <v>M14600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6" t="s">
        <v>251</v>
      </c>
      <c r="M335" s="537"/>
      <c r="N335" s="539" t="str">
        <f>'BD Team'!E38</f>
        <v>24MM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6" t="s">
        <v>252</v>
      </c>
      <c r="M336" s="537"/>
      <c r="N336" s="539" t="str">
        <f>'BD Team'!F38</f>
        <v>SS</v>
      </c>
      <c r="O336" s="539"/>
    </row>
    <row r="337" spans="3:15">
      <c r="C337" s="535"/>
      <c r="D337" s="535"/>
      <c r="E337" s="535"/>
      <c r="F337" s="535"/>
      <c r="G337" s="535"/>
      <c r="H337" s="535"/>
      <c r="I337" s="535"/>
      <c r="J337" s="535"/>
      <c r="K337" s="535"/>
      <c r="L337" s="535"/>
      <c r="M337" s="535"/>
      <c r="N337" s="535"/>
      <c r="O337" s="535"/>
    </row>
    <row r="338" spans="3:15" ht="25.15" customHeight="1">
      <c r="C338" s="536" t="s">
        <v>253</v>
      </c>
      <c r="D338" s="537"/>
      <c r="E338" s="286" t="str">
        <f>'BD Team'!B39</f>
        <v>CW2-A</v>
      </c>
      <c r="F338" s="288" t="s">
        <v>254</v>
      </c>
      <c r="G338" s="539" t="str">
        <f>'BD Team'!D39</f>
        <v>3 TRACK 2 SHUTTER SLIDING WINDOW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6" t="s">
        <v>127</v>
      </c>
      <c r="M339" s="537"/>
      <c r="N339" s="542" t="str">
        <f>'BD Team'!G39</f>
        <v>GF - MBR &amp; FF - BR 1</v>
      </c>
      <c r="O339" s="542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6" t="s">
        <v>246</v>
      </c>
      <c r="M340" s="537"/>
      <c r="N340" s="539" t="str">
        <f>$F$6</f>
        <v>Anodized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6" t="s">
        <v>177</v>
      </c>
      <c r="M341" s="537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6" t="s">
        <v>247</v>
      </c>
      <c r="M342" s="537"/>
      <c r="N342" s="542" t="s">
        <v>255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6" t="s">
        <v>248</v>
      </c>
      <c r="M343" s="537"/>
      <c r="N343" s="539" t="str">
        <f>CONCATENATE('BD Team'!H39," X ",'BD Team'!I39)</f>
        <v>1524 X 1678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6" t="s">
        <v>249</v>
      </c>
      <c r="M344" s="537"/>
      <c r="N344" s="538">
        <f>'BD Team'!J39</f>
        <v>2</v>
      </c>
      <c r="O344" s="538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6" t="s">
        <v>250</v>
      </c>
      <c r="M345" s="537"/>
      <c r="N345" s="539" t="str">
        <f>'BD Team'!C39</f>
        <v>M14600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6" t="s">
        <v>251</v>
      </c>
      <c r="M346" s="537"/>
      <c r="N346" s="539" t="str">
        <f>'BD Team'!E39</f>
        <v>24MM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6" t="s">
        <v>252</v>
      </c>
      <c r="M347" s="537"/>
      <c r="N347" s="539" t="str">
        <f>'BD Team'!F39</f>
        <v>SS</v>
      </c>
      <c r="O347" s="539"/>
    </row>
    <row r="348" spans="3:15">
      <c r="C348" s="535"/>
      <c r="D348" s="535"/>
      <c r="E348" s="535"/>
      <c r="F348" s="535"/>
      <c r="G348" s="535"/>
      <c r="H348" s="535"/>
      <c r="I348" s="535"/>
      <c r="J348" s="535"/>
      <c r="K348" s="535"/>
      <c r="L348" s="535"/>
      <c r="M348" s="535"/>
      <c r="N348" s="535"/>
      <c r="O348" s="535"/>
    </row>
    <row r="349" spans="3:15" ht="25.15" customHeight="1">
      <c r="C349" s="536" t="s">
        <v>253</v>
      </c>
      <c r="D349" s="537"/>
      <c r="E349" s="286" t="str">
        <f>'BD Team'!B40</f>
        <v>CW2-B</v>
      </c>
      <c r="F349" s="288" t="s">
        <v>254</v>
      </c>
      <c r="G349" s="539" t="str">
        <f>'BD Team'!D40</f>
        <v>FIXED GLASS CORNOR WINDOW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6" t="s">
        <v>127</v>
      </c>
      <c r="M350" s="537"/>
      <c r="N350" s="542" t="str">
        <f>'BD Team'!G40</f>
        <v>GF - MBR &amp; FF - BR 1</v>
      </c>
      <c r="O350" s="542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6" t="s">
        <v>246</v>
      </c>
      <c r="M351" s="537"/>
      <c r="N351" s="539" t="str">
        <f>$F$6</f>
        <v>Anodized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6" t="s">
        <v>177</v>
      </c>
      <c r="M352" s="537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6" t="s">
        <v>247</v>
      </c>
      <c r="M353" s="537"/>
      <c r="N353" s="542" t="s">
        <v>255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6" t="s">
        <v>248</v>
      </c>
      <c r="M354" s="537"/>
      <c r="N354" s="539" t="str">
        <f>CONCATENATE('BD Team'!H40," X ",'BD Team'!I40)</f>
        <v>2924 X 1678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6" t="s">
        <v>249</v>
      </c>
      <c r="M355" s="537"/>
      <c r="N355" s="538">
        <f>'BD Team'!J40</f>
        <v>2</v>
      </c>
      <c r="O355" s="538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6" t="s">
        <v>250</v>
      </c>
      <c r="M356" s="537"/>
      <c r="N356" s="539" t="str">
        <f>'BD Team'!C40</f>
        <v>M15000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6" t="s">
        <v>251</v>
      </c>
      <c r="M357" s="537"/>
      <c r="N357" s="539" t="str">
        <f>'BD Team'!E40</f>
        <v>24MM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6" t="s">
        <v>252</v>
      </c>
      <c r="M358" s="537"/>
      <c r="N358" s="539" t="str">
        <f>'BD Team'!F40</f>
        <v>NO</v>
      </c>
      <c r="O358" s="539"/>
    </row>
    <row r="359" spans="3:15">
      <c r="C359" s="535"/>
      <c r="D359" s="535"/>
      <c r="E359" s="535"/>
      <c r="F359" s="535"/>
      <c r="G359" s="535"/>
      <c r="H359" s="535"/>
      <c r="I359" s="535"/>
      <c r="J359" s="535"/>
      <c r="K359" s="535"/>
      <c r="L359" s="535"/>
      <c r="M359" s="535"/>
      <c r="N359" s="535"/>
      <c r="O359" s="535"/>
    </row>
    <row r="360" spans="3:15" ht="25.15" customHeight="1">
      <c r="C360" s="536" t="s">
        <v>253</v>
      </c>
      <c r="D360" s="537"/>
      <c r="E360" s="286" t="str">
        <f>'BD Team'!B41</f>
        <v>CW2-C</v>
      </c>
      <c r="F360" s="288" t="s">
        <v>254</v>
      </c>
      <c r="G360" s="539" t="str">
        <f>'BD Team'!D41</f>
        <v>3 TRACK 2 SHUTTER SLIDING WINDOW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6" t="s">
        <v>127</v>
      </c>
      <c r="M361" s="537"/>
      <c r="N361" s="542" t="str">
        <f>'BD Team'!G41</f>
        <v>GF - MBR &amp; FF - BR 1</v>
      </c>
      <c r="O361" s="542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6" t="s">
        <v>246</v>
      </c>
      <c r="M362" s="537"/>
      <c r="N362" s="539" t="str">
        <f>$F$6</f>
        <v>Anodized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6" t="s">
        <v>177</v>
      </c>
      <c r="M363" s="537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6" t="s">
        <v>247</v>
      </c>
      <c r="M364" s="537"/>
      <c r="N364" s="542" t="s">
        <v>255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6" t="s">
        <v>248</v>
      </c>
      <c r="M365" s="537"/>
      <c r="N365" s="539" t="str">
        <f>CONCATENATE('BD Team'!H41," X ",'BD Team'!I41)</f>
        <v>1830 X 1678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6" t="s">
        <v>249</v>
      </c>
      <c r="M366" s="537"/>
      <c r="N366" s="538">
        <f>'BD Team'!J41</f>
        <v>2</v>
      </c>
      <c r="O366" s="538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6" t="s">
        <v>250</v>
      </c>
      <c r="M367" s="537"/>
      <c r="N367" s="539" t="str">
        <f>'BD Team'!C41</f>
        <v>M14600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6" t="s">
        <v>251</v>
      </c>
      <c r="M368" s="537"/>
      <c r="N368" s="539" t="str">
        <f>'BD Team'!E41</f>
        <v>24MM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6" t="s">
        <v>252</v>
      </c>
      <c r="M369" s="537"/>
      <c r="N369" s="539" t="str">
        <f>'BD Team'!F41</f>
        <v>SS</v>
      </c>
      <c r="O369" s="539"/>
    </row>
    <row r="370" spans="3:15">
      <c r="C370" s="535"/>
      <c r="D370" s="535"/>
      <c r="E370" s="535"/>
      <c r="F370" s="535"/>
      <c r="G370" s="535"/>
      <c r="H370" s="535"/>
      <c r="I370" s="535"/>
      <c r="J370" s="535"/>
      <c r="K370" s="535"/>
      <c r="L370" s="535"/>
      <c r="M370" s="535"/>
      <c r="N370" s="535"/>
      <c r="O370" s="535"/>
    </row>
    <row r="371" spans="3:15" ht="25.15" customHeight="1">
      <c r="C371" s="536" t="s">
        <v>253</v>
      </c>
      <c r="D371" s="537"/>
      <c r="E371" s="286" t="str">
        <f>'BD Team'!B42</f>
        <v>CW3-A</v>
      </c>
      <c r="F371" s="288" t="s">
        <v>254</v>
      </c>
      <c r="G371" s="539" t="str">
        <f>'BD Team'!D42</f>
        <v>3 TRACK 2 SHUTTER SLIDING WINDOW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6" t="s">
        <v>127</v>
      </c>
      <c r="M372" s="537"/>
      <c r="N372" s="542" t="str">
        <f>'BD Team'!G42</f>
        <v>GF - GBR &amp; FF - BR 2</v>
      </c>
      <c r="O372" s="542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6" t="s">
        <v>246</v>
      </c>
      <c r="M373" s="537"/>
      <c r="N373" s="539" t="str">
        <f>$F$6</f>
        <v>Anodized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6" t="s">
        <v>177</v>
      </c>
      <c r="M374" s="537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6" t="s">
        <v>247</v>
      </c>
      <c r="M375" s="537"/>
      <c r="N375" s="542" t="s">
        <v>255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6" t="s">
        <v>248</v>
      </c>
      <c r="M376" s="537"/>
      <c r="N376" s="539" t="str">
        <f>CONCATENATE('BD Team'!H42," X ",'BD Team'!I42)</f>
        <v>1830 X 1678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6" t="s">
        <v>249</v>
      </c>
      <c r="M377" s="537"/>
      <c r="N377" s="538">
        <f>'BD Team'!J42</f>
        <v>2</v>
      </c>
      <c r="O377" s="538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6" t="s">
        <v>250</v>
      </c>
      <c r="M378" s="537"/>
      <c r="N378" s="539" t="str">
        <f>'BD Team'!C42</f>
        <v>M14600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6" t="s">
        <v>251</v>
      </c>
      <c r="M379" s="537"/>
      <c r="N379" s="539" t="str">
        <f>'BD Team'!E42</f>
        <v>24MM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6" t="s">
        <v>252</v>
      </c>
      <c r="M380" s="537"/>
      <c r="N380" s="539" t="str">
        <f>'BD Team'!F42</f>
        <v>SS</v>
      </c>
      <c r="O380" s="539"/>
    </row>
    <row r="381" spans="3:15">
      <c r="C381" s="535"/>
      <c r="D381" s="535"/>
      <c r="E381" s="535"/>
      <c r="F381" s="535"/>
      <c r="G381" s="535"/>
      <c r="H381" s="535"/>
      <c r="I381" s="535"/>
      <c r="J381" s="535"/>
      <c r="K381" s="535"/>
      <c r="L381" s="535"/>
      <c r="M381" s="535"/>
      <c r="N381" s="535"/>
      <c r="O381" s="535"/>
    </row>
    <row r="382" spans="3:15" ht="25.15" customHeight="1">
      <c r="C382" s="536" t="s">
        <v>253</v>
      </c>
      <c r="D382" s="537"/>
      <c r="E382" s="286" t="str">
        <f>'BD Team'!B43</f>
        <v>CW3-B</v>
      </c>
      <c r="F382" s="288" t="s">
        <v>254</v>
      </c>
      <c r="G382" s="539" t="str">
        <f>'BD Team'!D43</f>
        <v>FIXED GLASS CORNOR WINDOW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6" t="s">
        <v>127</v>
      </c>
      <c r="M383" s="537"/>
      <c r="N383" s="542" t="str">
        <f>'BD Team'!G43</f>
        <v>GF - GBR &amp; FF - BR 2</v>
      </c>
      <c r="O383" s="542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6" t="s">
        <v>246</v>
      </c>
      <c r="M384" s="537"/>
      <c r="N384" s="539" t="str">
        <f>$F$6</f>
        <v>Anodized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6" t="s">
        <v>177</v>
      </c>
      <c r="M385" s="537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6" t="s">
        <v>247</v>
      </c>
      <c r="M386" s="537"/>
      <c r="N386" s="542" t="s">
        <v>255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6" t="s">
        <v>248</v>
      </c>
      <c r="M387" s="537"/>
      <c r="N387" s="539" t="str">
        <f>CONCATENATE('BD Team'!H43," X ",'BD Team'!I43)</f>
        <v>2694 X 1678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6" t="s">
        <v>249</v>
      </c>
      <c r="M388" s="537"/>
      <c r="N388" s="538">
        <f>'BD Team'!J43</f>
        <v>2</v>
      </c>
      <c r="O388" s="538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6" t="s">
        <v>250</v>
      </c>
      <c r="M389" s="537"/>
      <c r="N389" s="539" t="str">
        <f>'BD Team'!C43</f>
        <v>M15000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6" t="s">
        <v>251</v>
      </c>
      <c r="M390" s="537"/>
      <c r="N390" s="539" t="str">
        <f>'BD Team'!E43</f>
        <v>24MM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6" t="s">
        <v>252</v>
      </c>
      <c r="M391" s="537"/>
      <c r="N391" s="539" t="str">
        <f>'BD Team'!F43</f>
        <v>NO</v>
      </c>
      <c r="O391" s="539"/>
    </row>
    <row r="392" spans="3:15">
      <c r="C392" s="535"/>
      <c r="D392" s="535"/>
      <c r="E392" s="535"/>
      <c r="F392" s="535"/>
      <c r="G392" s="535"/>
      <c r="H392" s="535"/>
      <c r="I392" s="535"/>
      <c r="J392" s="535"/>
      <c r="K392" s="535"/>
      <c r="L392" s="535"/>
      <c r="M392" s="535"/>
      <c r="N392" s="535"/>
      <c r="O392" s="535"/>
    </row>
    <row r="393" spans="3:15" ht="25.15" customHeight="1">
      <c r="C393" s="536" t="s">
        <v>253</v>
      </c>
      <c r="D393" s="537"/>
      <c r="E393" s="286" t="str">
        <f>'BD Team'!B44</f>
        <v>CW3-C</v>
      </c>
      <c r="F393" s="288" t="s">
        <v>254</v>
      </c>
      <c r="G393" s="539" t="str">
        <f>'BD Team'!D44</f>
        <v>3 TRACK 2 SHUTTER SLIDING WINDOW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6" t="s">
        <v>127</v>
      </c>
      <c r="M394" s="537"/>
      <c r="N394" s="542" t="str">
        <f>'BD Team'!G44</f>
        <v>GF - GBR &amp; FF - BR 2</v>
      </c>
      <c r="O394" s="542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6" t="s">
        <v>246</v>
      </c>
      <c r="M395" s="537"/>
      <c r="N395" s="539" t="str">
        <f>$F$6</f>
        <v>Anodized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6" t="s">
        <v>177</v>
      </c>
      <c r="M396" s="537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6" t="s">
        <v>247</v>
      </c>
      <c r="M397" s="537"/>
      <c r="N397" s="542" t="s">
        <v>255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6" t="s">
        <v>248</v>
      </c>
      <c r="M398" s="537"/>
      <c r="N398" s="539" t="str">
        <f>CONCATENATE('BD Team'!H44," X ",'BD Team'!I44)</f>
        <v>1830 X 1678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6" t="s">
        <v>249</v>
      </c>
      <c r="M399" s="537"/>
      <c r="N399" s="538">
        <f>'BD Team'!J44</f>
        <v>2</v>
      </c>
      <c r="O399" s="538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6" t="s">
        <v>250</v>
      </c>
      <c r="M400" s="537"/>
      <c r="N400" s="539" t="str">
        <f>'BD Team'!C44</f>
        <v>M14600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6" t="s">
        <v>251</v>
      </c>
      <c r="M401" s="537"/>
      <c r="N401" s="539" t="str">
        <f>'BD Team'!E44</f>
        <v>24MM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6" t="s">
        <v>252</v>
      </c>
      <c r="M402" s="537"/>
      <c r="N402" s="539" t="str">
        <f>'BD Team'!F44</f>
        <v>SS</v>
      </c>
      <c r="O402" s="539"/>
    </row>
    <row r="403" spans="3:15">
      <c r="C403" s="535"/>
      <c r="D403" s="535"/>
      <c r="E403" s="535"/>
      <c r="F403" s="535"/>
      <c r="G403" s="535"/>
      <c r="H403" s="535"/>
      <c r="I403" s="535"/>
      <c r="J403" s="535"/>
      <c r="K403" s="535"/>
      <c r="L403" s="535"/>
      <c r="M403" s="535"/>
      <c r="N403" s="535"/>
      <c r="O403" s="535"/>
    </row>
    <row r="404" spans="3:15" ht="25.15" customHeight="1">
      <c r="C404" s="536" t="s">
        <v>253</v>
      </c>
      <c r="D404" s="537"/>
      <c r="E404" s="286" t="str">
        <f>'BD Team'!B45</f>
        <v>CW4-A</v>
      </c>
      <c r="F404" s="288" t="s">
        <v>254</v>
      </c>
      <c r="G404" s="539" t="str">
        <f>'BD Team'!D45</f>
        <v>3 TRACK 2 SHUTTER SLIDING WINDOW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6" t="s">
        <v>127</v>
      </c>
      <c r="M405" s="537"/>
      <c r="N405" s="542" t="str">
        <f>'BD Team'!G45</f>
        <v>GF - DINING</v>
      </c>
      <c r="O405" s="542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6" t="s">
        <v>246</v>
      </c>
      <c r="M406" s="537"/>
      <c r="N406" s="539" t="str">
        <f>$F$6</f>
        <v>Anodized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6" t="s">
        <v>177</v>
      </c>
      <c r="M407" s="537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6" t="s">
        <v>247</v>
      </c>
      <c r="M408" s="537"/>
      <c r="N408" s="542" t="s">
        <v>255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6" t="s">
        <v>248</v>
      </c>
      <c r="M409" s="537"/>
      <c r="N409" s="539" t="str">
        <f>CONCATENATE('BD Team'!H45," X ",'BD Team'!I45)</f>
        <v>2694 X 1678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6" t="s">
        <v>249</v>
      </c>
      <c r="M410" s="537"/>
      <c r="N410" s="538">
        <f>'BD Team'!J45</f>
        <v>1</v>
      </c>
      <c r="O410" s="538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6" t="s">
        <v>250</v>
      </c>
      <c r="M411" s="537"/>
      <c r="N411" s="539" t="str">
        <f>'BD Team'!C45</f>
        <v>M14600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6" t="s">
        <v>251</v>
      </c>
      <c r="M412" s="537"/>
      <c r="N412" s="539" t="str">
        <f>'BD Team'!E45</f>
        <v>24MM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6" t="s">
        <v>252</v>
      </c>
      <c r="M413" s="537"/>
      <c r="N413" s="539" t="str">
        <f>'BD Team'!F45</f>
        <v>SS</v>
      </c>
      <c r="O413" s="539"/>
    </row>
    <row r="414" spans="3:15">
      <c r="C414" s="535"/>
      <c r="D414" s="535"/>
      <c r="E414" s="535"/>
      <c r="F414" s="535"/>
      <c r="G414" s="535"/>
      <c r="H414" s="535"/>
      <c r="I414" s="535"/>
      <c r="J414" s="535"/>
      <c r="K414" s="535"/>
      <c r="L414" s="535"/>
      <c r="M414" s="535"/>
      <c r="N414" s="535"/>
      <c r="O414" s="535"/>
    </row>
    <row r="415" spans="3:15" ht="25.15" customHeight="1">
      <c r="C415" s="536" t="s">
        <v>253</v>
      </c>
      <c r="D415" s="537"/>
      <c r="E415" s="286" t="str">
        <f>'BD Team'!B46</f>
        <v>CW4-B</v>
      </c>
      <c r="F415" s="288" t="s">
        <v>254</v>
      </c>
      <c r="G415" s="539" t="str">
        <f>'BD Team'!D46</f>
        <v>FIXED GLASS CORNOR WINDOW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6" t="s">
        <v>127</v>
      </c>
      <c r="M416" s="537"/>
      <c r="N416" s="542" t="str">
        <f>'BD Team'!G46</f>
        <v>GF - DINING</v>
      </c>
      <c r="O416" s="542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6" t="s">
        <v>246</v>
      </c>
      <c r="M417" s="537"/>
      <c r="N417" s="539" t="str">
        <f>$F$6</f>
        <v>Anodized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6" t="s">
        <v>177</v>
      </c>
      <c r="M418" s="537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6" t="s">
        <v>247</v>
      </c>
      <c r="M419" s="537"/>
      <c r="N419" s="542" t="s">
        <v>255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6" t="s">
        <v>248</v>
      </c>
      <c r="M420" s="537"/>
      <c r="N420" s="539" t="str">
        <f>CONCATENATE('BD Team'!H46," X ",'BD Team'!I46)</f>
        <v>2288 X 1678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6" t="s">
        <v>249</v>
      </c>
      <c r="M421" s="537"/>
      <c r="N421" s="538">
        <f>'BD Team'!J46</f>
        <v>1</v>
      </c>
      <c r="O421" s="538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6" t="s">
        <v>250</v>
      </c>
      <c r="M422" s="537"/>
      <c r="N422" s="539" t="str">
        <f>'BD Team'!C46</f>
        <v>M15000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6" t="s">
        <v>251</v>
      </c>
      <c r="M423" s="537"/>
      <c r="N423" s="539" t="str">
        <f>'BD Team'!E46</f>
        <v>24MM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6" t="s">
        <v>252</v>
      </c>
      <c r="M424" s="537"/>
      <c r="N424" s="539" t="str">
        <f>'BD Team'!F46</f>
        <v>NO</v>
      </c>
      <c r="O424" s="539"/>
    </row>
    <row r="425" spans="3:15">
      <c r="C425" s="535"/>
      <c r="D425" s="535"/>
      <c r="E425" s="535"/>
      <c r="F425" s="535"/>
      <c r="G425" s="535"/>
      <c r="H425" s="535"/>
      <c r="I425" s="535"/>
      <c r="J425" s="535"/>
      <c r="K425" s="535"/>
      <c r="L425" s="535"/>
      <c r="M425" s="535"/>
      <c r="N425" s="535"/>
      <c r="O425" s="535"/>
    </row>
    <row r="426" spans="3:15" ht="25.15" customHeight="1">
      <c r="C426" s="536" t="s">
        <v>253</v>
      </c>
      <c r="D426" s="537"/>
      <c r="E426" s="286" t="str">
        <f>'BD Team'!B47</f>
        <v>CW4-C</v>
      </c>
      <c r="F426" s="288" t="s">
        <v>254</v>
      </c>
      <c r="G426" s="539" t="str">
        <f>'BD Team'!D47</f>
        <v>3 TRACK 2 SHUTTER SLIDING WINDOW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6" t="s">
        <v>127</v>
      </c>
      <c r="M427" s="537"/>
      <c r="N427" s="542" t="str">
        <f>'BD Team'!G47</f>
        <v>GF - DINING</v>
      </c>
      <c r="O427" s="542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6" t="s">
        <v>246</v>
      </c>
      <c r="M428" s="537"/>
      <c r="N428" s="539" t="str">
        <f>$F$6</f>
        <v>Anodized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6" t="s">
        <v>177</v>
      </c>
      <c r="M429" s="537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6" t="s">
        <v>247</v>
      </c>
      <c r="M430" s="537"/>
      <c r="N430" s="542" t="s">
        <v>255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6" t="s">
        <v>248</v>
      </c>
      <c r="M431" s="537"/>
      <c r="N431" s="539" t="str">
        <f>CONCATENATE('BD Team'!H47," X ",'BD Team'!I47)</f>
        <v>1830 X 1678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6" t="s">
        <v>249</v>
      </c>
      <c r="M432" s="537"/>
      <c r="N432" s="538">
        <f>'BD Team'!J47</f>
        <v>1</v>
      </c>
      <c r="O432" s="538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6" t="s">
        <v>250</v>
      </c>
      <c r="M433" s="537"/>
      <c r="N433" s="539" t="str">
        <f>'BD Team'!C47</f>
        <v>M14600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6" t="s">
        <v>251</v>
      </c>
      <c r="M434" s="537"/>
      <c r="N434" s="539" t="str">
        <f>'BD Team'!E47</f>
        <v>24MM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6" t="s">
        <v>252</v>
      </c>
      <c r="M435" s="537"/>
      <c r="N435" s="539" t="str">
        <f>'BD Team'!F47</f>
        <v>SS</v>
      </c>
      <c r="O435" s="539"/>
    </row>
    <row r="436" spans="3:15">
      <c r="C436" s="535"/>
      <c r="D436" s="535"/>
      <c r="E436" s="535"/>
      <c r="F436" s="535"/>
      <c r="G436" s="535"/>
      <c r="H436" s="535"/>
      <c r="I436" s="535"/>
      <c r="J436" s="535"/>
      <c r="K436" s="535"/>
      <c r="L436" s="535"/>
      <c r="M436" s="535"/>
      <c r="N436" s="535"/>
      <c r="O436" s="535"/>
    </row>
    <row r="437" spans="3:15" ht="25.15" customHeight="1">
      <c r="C437" s="536" t="s">
        <v>253</v>
      </c>
      <c r="D437" s="537"/>
      <c r="E437" s="286" t="str">
        <f>'BD Team'!B48</f>
        <v>V1</v>
      </c>
      <c r="F437" s="288" t="s">
        <v>254</v>
      </c>
      <c r="G437" s="539" t="str">
        <f>'BD Team'!D48</f>
        <v>GLASS LOUVERS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6" t="s">
        <v>127</v>
      </c>
      <c r="M438" s="537"/>
      <c r="N438" s="542" t="str">
        <f>'BD Team'!G48</f>
        <v>GF - POWDER ROOM TOILET</v>
      </c>
      <c r="O438" s="542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6" t="s">
        <v>246</v>
      </c>
      <c r="M439" s="537"/>
      <c r="N439" s="539" t="str">
        <f>$F$6</f>
        <v>Anodized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6" t="s">
        <v>177</v>
      </c>
      <c r="M440" s="537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6" t="s">
        <v>247</v>
      </c>
      <c r="M441" s="537"/>
      <c r="N441" s="542" t="s">
        <v>255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6" t="s">
        <v>248</v>
      </c>
      <c r="M442" s="537"/>
      <c r="N442" s="539" t="str">
        <f>CONCATENATE('BD Team'!H48," X ",'BD Team'!I48)</f>
        <v>610 X 610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6" t="s">
        <v>249</v>
      </c>
      <c r="M443" s="537"/>
      <c r="N443" s="538">
        <f>'BD Team'!J48</f>
        <v>1</v>
      </c>
      <c r="O443" s="538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6" t="s">
        <v>250</v>
      </c>
      <c r="M444" s="537"/>
      <c r="N444" s="539" t="str">
        <f>'BD Team'!C48</f>
        <v>-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6" t="s">
        <v>251</v>
      </c>
      <c r="M445" s="537"/>
      <c r="N445" s="539" t="str">
        <f>'BD Team'!E48</f>
        <v>6MM (A)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6" t="s">
        <v>252</v>
      </c>
      <c r="M446" s="537"/>
      <c r="N446" s="539" t="str">
        <f>'BD Team'!F48</f>
        <v>NO</v>
      </c>
      <c r="O446" s="539"/>
    </row>
    <row r="447" spans="3:15">
      <c r="C447" s="535"/>
      <c r="D447" s="535"/>
      <c r="E447" s="535"/>
      <c r="F447" s="535"/>
      <c r="G447" s="535"/>
      <c r="H447" s="535"/>
      <c r="I447" s="535"/>
      <c r="J447" s="535"/>
      <c r="K447" s="535"/>
      <c r="L447" s="535"/>
      <c r="M447" s="535"/>
      <c r="N447" s="535"/>
      <c r="O447" s="535"/>
    </row>
    <row r="448" spans="3:15" ht="25.15" customHeight="1">
      <c r="C448" s="536" t="s">
        <v>253</v>
      </c>
      <c r="D448" s="537"/>
      <c r="E448" s="286" t="str">
        <f>'BD Team'!B49</f>
        <v>V2</v>
      </c>
      <c r="F448" s="288" t="s">
        <v>254</v>
      </c>
      <c r="G448" s="539" t="str">
        <f>'BD Team'!D49</f>
        <v>GLASS LOUVERS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6" t="s">
        <v>127</v>
      </c>
      <c r="M449" s="537"/>
      <c r="N449" s="542" t="str">
        <f>'BD Team'!G49</f>
        <v>GF - MBR, GBR &amp; FF - BR 1 &amp; BR 2</v>
      </c>
      <c r="O449" s="542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6" t="s">
        <v>246</v>
      </c>
      <c r="M450" s="537"/>
      <c r="N450" s="539" t="str">
        <f>$F$6</f>
        <v>Anodized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6" t="s">
        <v>177</v>
      </c>
      <c r="M451" s="537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6" t="s">
        <v>247</v>
      </c>
      <c r="M452" s="537"/>
      <c r="N452" s="542" t="s">
        <v>255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6" t="s">
        <v>248</v>
      </c>
      <c r="M453" s="537"/>
      <c r="N453" s="539" t="str">
        <f>CONCATENATE('BD Team'!H49," X ",'BD Team'!I49)</f>
        <v>916 X 916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6" t="s">
        <v>249</v>
      </c>
      <c r="M454" s="537"/>
      <c r="N454" s="538">
        <f>'BD Team'!J49</f>
        <v>4</v>
      </c>
      <c r="O454" s="538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6" t="s">
        <v>250</v>
      </c>
      <c r="M455" s="537"/>
      <c r="N455" s="539" t="str">
        <f>'BD Team'!C49</f>
        <v>-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6" t="s">
        <v>251</v>
      </c>
      <c r="M456" s="537"/>
      <c r="N456" s="539" t="str">
        <f>'BD Team'!E49</f>
        <v>6MM (A)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6" t="s">
        <v>252</v>
      </c>
      <c r="M457" s="537"/>
      <c r="N457" s="539" t="str">
        <f>'BD Team'!F49</f>
        <v>NO</v>
      </c>
      <c r="O457" s="539"/>
    </row>
    <row r="458" spans="3:15">
      <c r="C458" s="535"/>
      <c r="D458" s="535"/>
      <c r="E458" s="535"/>
      <c r="F458" s="535"/>
      <c r="G458" s="535"/>
      <c r="H458" s="535"/>
      <c r="I458" s="535"/>
      <c r="J458" s="535"/>
      <c r="K458" s="535"/>
      <c r="L458" s="535"/>
      <c r="M458" s="535"/>
      <c r="N458" s="535"/>
      <c r="O458" s="535"/>
    </row>
    <row r="459" spans="3:15" ht="25.15" customHeight="1">
      <c r="C459" s="536" t="s">
        <v>253</v>
      </c>
      <c r="D459" s="537"/>
      <c r="E459" s="286" t="str">
        <f>'BD Team'!B50</f>
        <v>V3</v>
      </c>
      <c r="F459" s="288" t="s">
        <v>254</v>
      </c>
      <c r="G459" s="539" t="str">
        <f>'BD Team'!D50</f>
        <v>GLASS LOUVERS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6" t="s">
        <v>127</v>
      </c>
      <c r="M460" s="537"/>
      <c r="N460" s="542" t="str">
        <f>'BD Team'!G50</f>
        <v>GF - CAR PARKING</v>
      </c>
      <c r="O460" s="542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6" t="s">
        <v>246</v>
      </c>
      <c r="M461" s="537"/>
      <c r="N461" s="539" t="str">
        <f>$F$6</f>
        <v>Anodized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6" t="s">
        <v>177</v>
      </c>
      <c r="M462" s="537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6" t="s">
        <v>247</v>
      </c>
      <c r="M463" s="537"/>
      <c r="N463" s="542" t="s">
        <v>255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6" t="s">
        <v>248</v>
      </c>
      <c r="M464" s="537"/>
      <c r="N464" s="539" t="str">
        <f>CONCATENATE('BD Team'!H50," X ",'BD Team'!I50)</f>
        <v>3658 X 610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6" t="s">
        <v>249</v>
      </c>
      <c r="M465" s="537"/>
      <c r="N465" s="538">
        <f>'BD Team'!J50</f>
        <v>1</v>
      </c>
      <c r="O465" s="538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6" t="s">
        <v>250</v>
      </c>
      <c r="M466" s="537"/>
      <c r="N466" s="539" t="str">
        <f>'BD Team'!C50</f>
        <v>-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6" t="s">
        <v>251</v>
      </c>
      <c r="M467" s="537"/>
      <c r="N467" s="539" t="str">
        <f>'BD Team'!E50</f>
        <v>6MM (A)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6" t="s">
        <v>252</v>
      </c>
      <c r="M468" s="537"/>
      <c r="N468" s="539" t="str">
        <f>'BD Team'!F50</f>
        <v>NO</v>
      </c>
      <c r="O468" s="539"/>
    </row>
    <row r="469" spans="3:15">
      <c r="C469" s="535"/>
      <c r="D469" s="535"/>
      <c r="E469" s="535"/>
      <c r="F469" s="535"/>
      <c r="G469" s="535"/>
      <c r="H469" s="535"/>
      <c r="I469" s="535"/>
      <c r="J469" s="535"/>
      <c r="K469" s="535"/>
      <c r="L469" s="535"/>
      <c r="M469" s="535"/>
      <c r="N469" s="535"/>
      <c r="O469" s="535"/>
    </row>
    <row r="470" spans="3:15" ht="25.15" customHeight="1">
      <c r="C470" s="536" t="s">
        <v>253</v>
      </c>
      <c r="D470" s="537"/>
      <c r="E470" s="286" t="str">
        <f>'BD Team'!B51</f>
        <v>V4-A</v>
      </c>
      <c r="F470" s="288" t="s">
        <v>254</v>
      </c>
      <c r="G470" s="539" t="str">
        <f>'BD Team'!D51</f>
        <v>GLASS LOUVERS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6" t="s">
        <v>127</v>
      </c>
      <c r="M471" s="537"/>
      <c r="N471" s="542" t="str">
        <f>'BD Team'!G51</f>
        <v>GF - CAR PARKING</v>
      </c>
      <c r="O471" s="542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6" t="s">
        <v>246</v>
      </c>
      <c r="M472" s="537"/>
      <c r="N472" s="539" t="str">
        <f>$F$6</f>
        <v>Anodized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6" t="s">
        <v>177</v>
      </c>
      <c r="M473" s="537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6" t="s">
        <v>247</v>
      </c>
      <c r="M474" s="537"/>
      <c r="N474" s="542" t="s">
        <v>255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6" t="s">
        <v>248</v>
      </c>
      <c r="M475" s="537"/>
      <c r="N475" s="539" t="str">
        <f>CONCATENATE('BD Team'!H51," X ",'BD Team'!I51)</f>
        <v>3030 X 610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6" t="s">
        <v>249</v>
      </c>
      <c r="M476" s="537"/>
      <c r="N476" s="538">
        <f>'BD Team'!J51</f>
        <v>1</v>
      </c>
      <c r="O476" s="538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6" t="s">
        <v>250</v>
      </c>
      <c r="M477" s="537"/>
      <c r="N477" s="539" t="str">
        <f>'BD Team'!C51</f>
        <v>-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6" t="s">
        <v>251</v>
      </c>
      <c r="M478" s="537"/>
      <c r="N478" s="539" t="str">
        <f>'BD Team'!E51</f>
        <v>6MM (A)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6" t="s">
        <v>252</v>
      </c>
      <c r="M479" s="537"/>
      <c r="N479" s="539" t="str">
        <f>'BD Team'!F51</f>
        <v>NO</v>
      </c>
      <c r="O479" s="539"/>
    </row>
    <row r="480" spans="3:15">
      <c r="C480" s="535"/>
      <c r="D480" s="535"/>
      <c r="E480" s="535"/>
      <c r="F480" s="535"/>
      <c r="G480" s="535"/>
      <c r="H480" s="535"/>
      <c r="I480" s="535"/>
      <c r="J480" s="535"/>
      <c r="K480" s="535"/>
      <c r="L480" s="535"/>
      <c r="M480" s="535"/>
      <c r="N480" s="535"/>
      <c r="O480" s="535"/>
    </row>
    <row r="481" spans="3:15" ht="25.15" customHeight="1">
      <c r="C481" s="536" t="s">
        <v>253</v>
      </c>
      <c r="D481" s="537"/>
      <c r="E481" s="286" t="str">
        <f>'BD Team'!B52</f>
        <v>V4-B</v>
      </c>
      <c r="F481" s="288" t="s">
        <v>254</v>
      </c>
      <c r="G481" s="539" t="str">
        <f>'BD Team'!D52</f>
        <v>GLASS LOUVERS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6" t="s">
        <v>127</v>
      </c>
      <c r="M482" s="537"/>
      <c r="N482" s="542" t="str">
        <f>'BD Team'!G52</f>
        <v>GF - CAR PARKING</v>
      </c>
      <c r="O482" s="542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6" t="s">
        <v>246</v>
      </c>
      <c r="M483" s="537"/>
      <c r="N483" s="539" t="str">
        <f>$F$6</f>
        <v>Anodized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6" t="s">
        <v>177</v>
      </c>
      <c r="M484" s="537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6" t="s">
        <v>247</v>
      </c>
      <c r="M485" s="537"/>
      <c r="N485" s="542" t="s">
        <v>255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6" t="s">
        <v>248</v>
      </c>
      <c r="M486" s="537"/>
      <c r="N486" s="539" t="str">
        <f>CONCATENATE('BD Team'!H52," X ",'BD Team'!I52)</f>
        <v>3080 X 610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6" t="s">
        <v>249</v>
      </c>
      <c r="M487" s="537"/>
      <c r="N487" s="538">
        <f>'BD Team'!J52</f>
        <v>1</v>
      </c>
      <c r="O487" s="538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6" t="s">
        <v>250</v>
      </c>
      <c r="M488" s="537"/>
      <c r="N488" s="539" t="str">
        <f>'BD Team'!C52</f>
        <v>-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6" t="s">
        <v>251</v>
      </c>
      <c r="M489" s="537"/>
      <c r="N489" s="539" t="str">
        <f>'BD Team'!E52</f>
        <v>6MM (A)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6" t="s">
        <v>252</v>
      </c>
      <c r="M490" s="537"/>
      <c r="N490" s="539" t="str">
        <f>'BD Team'!F52</f>
        <v>NO</v>
      </c>
      <c r="O490" s="539"/>
    </row>
    <row r="491" spans="3:15">
      <c r="C491" s="535"/>
      <c r="D491" s="535"/>
      <c r="E491" s="535"/>
      <c r="F491" s="535"/>
      <c r="G491" s="535"/>
      <c r="H491" s="535"/>
      <c r="I491" s="535"/>
      <c r="J491" s="535"/>
      <c r="K491" s="535"/>
      <c r="L491" s="535"/>
      <c r="M491" s="535"/>
      <c r="N491" s="535"/>
      <c r="O491" s="535"/>
    </row>
    <row r="492" spans="3:15" ht="25.15" customHeight="1">
      <c r="C492" s="536" t="s">
        <v>253</v>
      </c>
      <c r="D492" s="537"/>
      <c r="E492" s="286" t="str">
        <f>'BD Team'!B53</f>
        <v>V5</v>
      </c>
      <c r="F492" s="288" t="s">
        <v>254</v>
      </c>
      <c r="G492" s="539" t="str">
        <f>'BD Team'!D53</f>
        <v>GLASS LOUVERS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6" t="s">
        <v>127</v>
      </c>
      <c r="M493" s="537"/>
      <c r="N493" s="542" t="str">
        <f>'BD Team'!G53</f>
        <v>GF &amp; FF - WALK IN CLOSET</v>
      </c>
      <c r="O493" s="542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6" t="s">
        <v>246</v>
      </c>
      <c r="M494" s="537"/>
      <c r="N494" s="539" t="str">
        <f>$F$6</f>
        <v>Anodized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6" t="s">
        <v>177</v>
      </c>
      <c r="M495" s="537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6" t="s">
        <v>247</v>
      </c>
      <c r="M496" s="537"/>
      <c r="N496" s="542" t="s">
        <v>255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6" t="s">
        <v>248</v>
      </c>
      <c r="M497" s="537"/>
      <c r="N497" s="539" t="str">
        <f>CONCATENATE('BD Team'!H53," X ",'BD Team'!I53)</f>
        <v>2490 X 458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6" t="s">
        <v>249</v>
      </c>
      <c r="M498" s="537"/>
      <c r="N498" s="538">
        <f>'BD Team'!J53</f>
        <v>2</v>
      </c>
      <c r="O498" s="538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6" t="s">
        <v>250</v>
      </c>
      <c r="M499" s="537"/>
      <c r="N499" s="539" t="str">
        <f>'BD Team'!C53</f>
        <v>-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6" t="s">
        <v>251</v>
      </c>
      <c r="M500" s="537"/>
      <c r="N500" s="539" t="str">
        <f>'BD Team'!E53</f>
        <v>6MM (A)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6" t="s">
        <v>252</v>
      </c>
      <c r="M501" s="537"/>
      <c r="N501" s="539" t="str">
        <f>'BD Team'!F53</f>
        <v>NO</v>
      </c>
      <c r="O501" s="539"/>
    </row>
    <row r="502" spans="3:15">
      <c r="C502" s="535"/>
      <c r="D502" s="535"/>
      <c r="E502" s="535"/>
      <c r="F502" s="535"/>
      <c r="G502" s="535"/>
      <c r="H502" s="535"/>
      <c r="I502" s="535"/>
      <c r="J502" s="535"/>
      <c r="K502" s="535"/>
      <c r="L502" s="535"/>
      <c r="M502" s="535"/>
      <c r="N502" s="535"/>
      <c r="O502" s="535"/>
    </row>
    <row r="503" spans="3:15" ht="25.15" customHeight="1">
      <c r="C503" s="536" t="s">
        <v>253</v>
      </c>
      <c r="D503" s="537"/>
      <c r="E503" s="286" t="str">
        <f>'BD Team'!B54</f>
        <v>V6</v>
      </c>
      <c r="F503" s="288" t="s">
        <v>254</v>
      </c>
      <c r="G503" s="539" t="str">
        <f>'BD Team'!D54</f>
        <v>GLASS LOUVERS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6" t="s">
        <v>127</v>
      </c>
      <c r="M504" s="537"/>
      <c r="N504" s="542" t="str">
        <f>'BD Team'!G54</f>
        <v>GF - CAR PARKING</v>
      </c>
      <c r="O504" s="542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6" t="s">
        <v>246</v>
      </c>
      <c r="M505" s="537"/>
      <c r="N505" s="539" t="str">
        <f>$F$6</f>
        <v>Anodized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6" t="s">
        <v>177</v>
      </c>
      <c r="M506" s="537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6" t="s">
        <v>247</v>
      </c>
      <c r="M507" s="537"/>
      <c r="N507" s="542" t="s">
        <v>255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6" t="s">
        <v>248</v>
      </c>
      <c r="M508" s="537"/>
      <c r="N508" s="539" t="str">
        <f>CONCATENATE('BD Team'!H54," X ",'BD Team'!I54)</f>
        <v>3868 X 610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6" t="s">
        <v>249</v>
      </c>
      <c r="M509" s="537"/>
      <c r="N509" s="538">
        <f>'BD Team'!J54</f>
        <v>1</v>
      </c>
      <c r="O509" s="538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6" t="s">
        <v>250</v>
      </c>
      <c r="M510" s="537"/>
      <c r="N510" s="539" t="str">
        <f>'BD Team'!C54</f>
        <v>-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6" t="s">
        <v>251</v>
      </c>
      <c r="M511" s="537"/>
      <c r="N511" s="539" t="str">
        <f>'BD Team'!E54</f>
        <v>6MM (A)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6" t="s">
        <v>252</v>
      </c>
      <c r="M512" s="537"/>
      <c r="N512" s="539" t="str">
        <f>'BD Team'!F54</f>
        <v>NO</v>
      </c>
      <c r="O512" s="539"/>
    </row>
    <row r="513" spans="3:15">
      <c r="C513" s="535"/>
      <c r="D513" s="535"/>
      <c r="E513" s="535"/>
      <c r="F513" s="535"/>
      <c r="G513" s="535"/>
      <c r="H513" s="535"/>
      <c r="I513" s="535"/>
      <c r="J513" s="535"/>
      <c r="K513" s="535"/>
      <c r="L513" s="535"/>
      <c r="M513" s="535"/>
      <c r="N513" s="535"/>
      <c r="O513" s="535"/>
    </row>
    <row r="514" spans="3:15" ht="25.15" customHeight="1">
      <c r="C514" s="536" t="s">
        <v>253</v>
      </c>
      <c r="D514" s="537"/>
      <c r="E514" s="286">
        <f>'BD Team'!B55</f>
        <v>0</v>
      </c>
      <c r="F514" s="288" t="s">
        <v>254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6" t="s">
        <v>127</v>
      </c>
      <c r="M515" s="537"/>
      <c r="N515" s="542">
        <f>'BD Team'!G55</f>
        <v>0</v>
      </c>
      <c r="O515" s="542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6" t="s">
        <v>246</v>
      </c>
      <c r="M516" s="537"/>
      <c r="N516" s="539" t="str">
        <f>$F$6</f>
        <v>Anodized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6" t="s">
        <v>177</v>
      </c>
      <c r="M517" s="537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6" t="s">
        <v>247</v>
      </c>
      <c r="M518" s="537"/>
      <c r="N518" s="542" t="s">
        <v>255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6" t="s">
        <v>248</v>
      </c>
      <c r="M519" s="537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6" t="s">
        <v>249</v>
      </c>
      <c r="M520" s="537"/>
      <c r="N520" s="538">
        <f>'BD Team'!J55</f>
        <v>0</v>
      </c>
      <c r="O520" s="538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6" t="s">
        <v>250</v>
      </c>
      <c r="M521" s="537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6" t="s">
        <v>251</v>
      </c>
      <c r="M522" s="537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6" t="s">
        <v>252</v>
      </c>
      <c r="M523" s="537"/>
      <c r="N523" s="539">
        <f>'BD Team'!F55</f>
        <v>0</v>
      </c>
      <c r="O523" s="539"/>
    </row>
    <row r="524" spans="3:15">
      <c r="C524" s="535"/>
      <c r="D524" s="535"/>
      <c r="E524" s="535"/>
      <c r="F524" s="535"/>
      <c r="G524" s="535"/>
      <c r="H524" s="535"/>
      <c r="I524" s="535"/>
      <c r="J524" s="535"/>
      <c r="K524" s="535"/>
      <c r="L524" s="535"/>
      <c r="M524" s="535"/>
      <c r="N524" s="535"/>
      <c r="O524" s="535"/>
    </row>
    <row r="525" spans="3:15" ht="25.15" customHeight="1">
      <c r="C525" s="536" t="s">
        <v>253</v>
      </c>
      <c r="D525" s="537"/>
      <c r="E525" s="286">
        <f>'BD Team'!B56</f>
        <v>0</v>
      </c>
      <c r="F525" s="288" t="s">
        <v>254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6" t="s">
        <v>127</v>
      </c>
      <c r="M526" s="537"/>
      <c r="N526" s="542">
        <f>'BD Team'!G56</f>
        <v>0</v>
      </c>
      <c r="O526" s="542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6" t="s">
        <v>246</v>
      </c>
      <c r="M527" s="537"/>
      <c r="N527" s="539" t="str">
        <f>$F$6</f>
        <v>Anodized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6" t="s">
        <v>177</v>
      </c>
      <c r="M528" s="537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6" t="s">
        <v>247</v>
      </c>
      <c r="M529" s="537"/>
      <c r="N529" s="542" t="s">
        <v>255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6" t="s">
        <v>248</v>
      </c>
      <c r="M530" s="537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6" t="s">
        <v>249</v>
      </c>
      <c r="M531" s="537"/>
      <c r="N531" s="538">
        <f>'BD Team'!J56</f>
        <v>0</v>
      </c>
      <c r="O531" s="538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6" t="s">
        <v>250</v>
      </c>
      <c r="M532" s="537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6" t="s">
        <v>251</v>
      </c>
      <c r="M533" s="537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6" t="s">
        <v>252</v>
      </c>
      <c r="M534" s="537"/>
      <c r="N534" s="539">
        <f>'BD Team'!F56</f>
        <v>0</v>
      </c>
      <c r="O534" s="539"/>
    </row>
    <row r="535" spans="3:15">
      <c r="C535" s="535"/>
      <c r="D535" s="535"/>
      <c r="E535" s="535"/>
      <c r="F535" s="535"/>
      <c r="G535" s="535"/>
      <c r="H535" s="535"/>
      <c r="I535" s="535"/>
      <c r="J535" s="535"/>
      <c r="K535" s="535"/>
      <c r="L535" s="535"/>
      <c r="M535" s="535"/>
      <c r="N535" s="535"/>
      <c r="O535" s="535"/>
    </row>
    <row r="536" spans="3:15" ht="25.15" customHeight="1">
      <c r="C536" s="536" t="s">
        <v>253</v>
      </c>
      <c r="D536" s="537"/>
      <c r="E536" s="286">
        <f>'BD Team'!B57</f>
        <v>0</v>
      </c>
      <c r="F536" s="288" t="s">
        <v>254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6" t="s">
        <v>127</v>
      </c>
      <c r="M537" s="537"/>
      <c r="N537" s="542">
        <f>'BD Team'!G57</f>
        <v>0</v>
      </c>
      <c r="O537" s="542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6" t="s">
        <v>246</v>
      </c>
      <c r="M538" s="537"/>
      <c r="N538" s="539" t="str">
        <f>$F$6</f>
        <v>Anodized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6" t="s">
        <v>177</v>
      </c>
      <c r="M539" s="537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6" t="s">
        <v>247</v>
      </c>
      <c r="M540" s="537"/>
      <c r="N540" s="542" t="s">
        <v>255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6" t="s">
        <v>248</v>
      </c>
      <c r="M541" s="537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6" t="s">
        <v>249</v>
      </c>
      <c r="M542" s="537"/>
      <c r="N542" s="538">
        <f>'BD Team'!J57</f>
        <v>0</v>
      </c>
      <c r="O542" s="538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6" t="s">
        <v>250</v>
      </c>
      <c r="M543" s="537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6" t="s">
        <v>251</v>
      </c>
      <c r="M544" s="537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6" t="s">
        <v>252</v>
      </c>
      <c r="M545" s="537"/>
      <c r="N545" s="539">
        <f>'BD Team'!F57</f>
        <v>0</v>
      </c>
      <c r="O545" s="539"/>
    </row>
    <row r="546" spans="3:15">
      <c r="C546" s="535"/>
      <c r="D546" s="535"/>
      <c r="E546" s="535"/>
      <c r="F546" s="535"/>
      <c r="G546" s="535"/>
      <c r="H546" s="535"/>
      <c r="I546" s="535"/>
      <c r="J546" s="535"/>
      <c r="K546" s="535"/>
      <c r="L546" s="535"/>
      <c r="M546" s="535"/>
      <c r="N546" s="535"/>
      <c r="O546" s="535"/>
    </row>
    <row r="547" spans="3:15" ht="25.15" customHeight="1">
      <c r="C547" s="536" t="s">
        <v>253</v>
      </c>
      <c r="D547" s="537"/>
      <c r="E547" s="286">
        <f>'BD Team'!B58</f>
        <v>0</v>
      </c>
      <c r="F547" s="288" t="s">
        <v>254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6" t="s">
        <v>127</v>
      </c>
      <c r="M548" s="537"/>
      <c r="N548" s="542">
        <f>'BD Team'!G58</f>
        <v>0</v>
      </c>
      <c r="O548" s="542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6" t="s">
        <v>246</v>
      </c>
      <c r="M549" s="537"/>
      <c r="N549" s="539" t="str">
        <f>$F$6</f>
        <v>Anodized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6" t="s">
        <v>177</v>
      </c>
      <c r="M550" s="537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6" t="s">
        <v>247</v>
      </c>
      <c r="M551" s="537"/>
      <c r="N551" s="542" t="s">
        <v>255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6" t="s">
        <v>248</v>
      </c>
      <c r="M552" s="537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6" t="s">
        <v>249</v>
      </c>
      <c r="M553" s="537"/>
      <c r="N553" s="538">
        <f>'BD Team'!J58</f>
        <v>0</v>
      </c>
      <c r="O553" s="538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6" t="s">
        <v>250</v>
      </c>
      <c r="M554" s="537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6" t="s">
        <v>251</v>
      </c>
      <c r="M555" s="537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6" t="s">
        <v>252</v>
      </c>
      <c r="M556" s="537"/>
      <c r="N556" s="539">
        <f>'BD Team'!F58</f>
        <v>0</v>
      </c>
      <c r="O556" s="539"/>
    </row>
    <row r="557" spans="3:15">
      <c r="C557" s="535"/>
      <c r="D557" s="535"/>
      <c r="E557" s="535"/>
      <c r="F557" s="535"/>
      <c r="G557" s="535"/>
      <c r="H557" s="535"/>
      <c r="I557" s="535"/>
      <c r="J557" s="535"/>
      <c r="K557" s="535"/>
      <c r="L557" s="535"/>
      <c r="M557" s="535"/>
      <c r="N557" s="535"/>
      <c r="O557" s="535"/>
    </row>
    <row r="558" spans="3:15" ht="25.15" customHeight="1">
      <c r="C558" s="536" t="s">
        <v>253</v>
      </c>
      <c r="D558" s="537"/>
      <c r="E558" s="289">
        <f>'BD Team'!B59</f>
        <v>0</v>
      </c>
      <c r="F558" s="288" t="s">
        <v>254</v>
      </c>
      <c r="G558" s="538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6" t="s">
        <v>127</v>
      </c>
      <c r="M559" s="537"/>
      <c r="N559" s="541">
        <f>'BD Team'!G59</f>
        <v>0</v>
      </c>
      <c r="O559" s="542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6" t="s">
        <v>246</v>
      </c>
      <c r="M560" s="537"/>
      <c r="N560" s="539" t="str">
        <f>$F$6</f>
        <v>Anodized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6" t="s">
        <v>177</v>
      </c>
      <c r="M561" s="537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6" t="s">
        <v>247</v>
      </c>
      <c r="M562" s="537"/>
      <c r="N562" s="542" t="s">
        <v>255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6" t="s">
        <v>248</v>
      </c>
      <c r="M563" s="537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6" t="s">
        <v>249</v>
      </c>
      <c r="M564" s="537"/>
      <c r="N564" s="538">
        <f>'BD Team'!J59</f>
        <v>0</v>
      </c>
      <c r="O564" s="538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6" t="s">
        <v>250</v>
      </c>
      <c r="M565" s="537"/>
      <c r="N565" s="538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6" t="s">
        <v>251</v>
      </c>
      <c r="M566" s="537"/>
      <c r="N566" s="538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6" t="s">
        <v>252</v>
      </c>
      <c r="M567" s="537"/>
      <c r="N567" s="538">
        <f>'BD Team'!F59</f>
        <v>0</v>
      </c>
      <c r="O567" s="539"/>
    </row>
    <row r="568" spans="3:15">
      <c r="C568" s="535"/>
      <c r="D568" s="535"/>
      <c r="E568" s="535"/>
      <c r="F568" s="535"/>
      <c r="G568" s="535"/>
      <c r="H568" s="535"/>
      <c r="I568" s="535"/>
      <c r="J568" s="535"/>
      <c r="K568" s="535"/>
      <c r="L568" s="535"/>
      <c r="M568" s="535"/>
      <c r="N568" s="535"/>
      <c r="O568" s="535"/>
    </row>
    <row r="569" spans="3:15" ht="25.15" customHeight="1">
      <c r="C569" s="536" t="s">
        <v>253</v>
      </c>
      <c r="D569" s="537"/>
      <c r="E569" s="289">
        <f>'BD Team'!B60</f>
        <v>0</v>
      </c>
      <c r="F569" s="288" t="s">
        <v>254</v>
      </c>
      <c r="G569" s="538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6" t="s">
        <v>127</v>
      </c>
      <c r="M570" s="537"/>
      <c r="N570" s="541">
        <f>'BD Team'!G60</f>
        <v>0</v>
      </c>
      <c r="O570" s="542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6" t="s">
        <v>246</v>
      </c>
      <c r="M571" s="537"/>
      <c r="N571" s="539" t="str">
        <f>$F$6</f>
        <v>Anodized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6" t="s">
        <v>177</v>
      </c>
      <c r="M572" s="537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6" t="s">
        <v>247</v>
      </c>
      <c r="M573" s="537"/>
      <c r="N573" s="542" t="s">
        <v>255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6" t="s">
        <v>248</v>
      </c>
      <c r="M574" s="537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6" t="s">
        <v>249</v>
      </c>
      <c r="M575" s="537"/>
      <c r="N575" s="538">
        <f>'BD Team'!J60</f>
        <v>0</v>
      </c>
      <c r="O575" s="538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6" t="s">
        <v>250</v>
      </c>
      <c r="M576" s="537"/>
      <c r="N576" s="538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6" t="s">
        <v>251</v>
      </c>
      <c r="M577" s="537"/>
      <c r="N577" s="538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6" t="s">
        <v>252</v>
      </c>
      <c r="M578" s="537"/>
      <c r="N578" s="538">
        <f>'BD Team'!F60</f>
        <v>0</v>
      </c>
      <c r="O578" s="539"/>
    </row>
    <row r="579" spans="3:15">
      <c r="C579" s="535"/>
      <c r="D579" s="535"/>
      <c r="E579" s="535"/>
      <c r="F579" s="535"/>
      <c r="G579" s="535"/>
      <c r="H579" s="535"/>
      <c r="I579" s="535"/>
      <c r="J579" s="535"/>
      <c r="K579" s="535"/>
      <c r="L579" s="535"/>
      <c r="M579" s="535"/>
      <c r="N579" s="535"/>
      <c r="O579" s="535"/>
    </row>
    <row r="580" spans="3:15" ht="25.15" customHeight="1">
      <c r="C580" s="536" t="s">
        <v>253</v>
      </c>
      <c r="D580" s="537"/>
      <c r="E580" s="289">
        <f>'BD Team'!B61</f>
        <v>0</v>
      </c>
      <c r="F580" s="288" t="s">
        <v>254</v>
      </c>
      <c r="G580" s="538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6" t="s">
        <v>127</v>
      </c>
      <c r="M581" s="537"/>
      <c r="N581" s="541">
        <f>'BD Team'!G61</f>
        <v>0</v>
      </c>
      <c r="O581" s="542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6" t="s">
        <v>246</v>
      </c>
      <c r="M582" s="537"/>
      <c r="N582" s="539" t="str">
        <f>$F$6</f>
        <v>Anodized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6" t="s">
        <v>177</v>
      </c>
      <c r="M583" s="537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6" t="s">
        <v>247</v>
      </c>
      <c r="M584" s="537"/>
      <c r="N584" s="542" t="s">
        <v>255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6" t="s">
        <v>248</v>
      </c>
      <c r="M585" s="537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6" t="s">
        <v>249</v>
      </c>
      <c r="M586" s="537"/>
      <c r="N586" s="538">
        <f>'BD Team'!J61</f>
        <v>0</v>
      </c>
      <c r="O586" s="538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6" t="s">
        <v>250</v>
      </c>
      <c r="M587" s="537"/>
      <c r="N587" s="538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6" t="s">
        <v>251</v>
      </c>
      <c r="M588" s="537"/>
      <c r="N588" s="538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6" t="s">
        <v>252</v>
      </c>
      <c r="M589" s="537"/>
      <c r="N589" s="538">
        <f>'BD Team'!F61</f>
        <v>0</v>
      </c>
      <c r="O589" s="539"/>
    </row>
    <row r="590" spans="3:15">
      <c r="C590" s="535"/>
      <c r="D590" s="535"/>
      <c r="E590" s="535"/>
      <c r="F590" s="535"/>
      <c r="G590" s="535"/>
      <c r="H590" s="535"/>
      <c r="I590" s="535"/>
      <c r="J590" s="535"/>
      <c r="K590" s="535"/>
      <c r="L590" s="535"/>
      <c r="M590" s="535"/>
      <c r="N590" s="535"/>
      <c r="O590" s="535"/>
    </row>
    <row r="591" spans="3:15" ht="25.15" customHeight="1">
      <c r="C591" s="536" t="s">
        <v>253</v>
      </c>
      <c r="D591" s="537"/>
      <c r="E591" s="289">
        <f>'BD Team'!B62</f>
        <v>0</v>
      </c>
      <c r="F591" s="288" t="s">
        <v>254</v>
      </c>
      <c r="G591" s="538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6" t="s">
        <v>127</v>
      </c>
      <c r="M592" s="537"/>
      <c r="N592" s="541">
        <f>'BD Team'!G62</f>
        <v>0</v>
      </c>
      <c r="O592" s="542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6" t="s">
        <v>246</v>
      </c>
      <c r="M593" s="537"/>
      <c r="N593" s="539" t="str">
        <f>$F$6</f>
        <v>Anodized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6" t="s">
        <v>177</v>
      </c>
      <c r="M594" s="537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6" t="s">
        <v>247</v>
      </c>
      <c r="M595" s="537"/>
      <c r="N595" s="542" t="s">
        <v>255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6" t="s">
        <v>248</v>
      </c>
      <c r="M596" s="537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6" t="s">
        <v>249</v>
      </c>
      <c r="M597" s="537"/>
      <c r="N597" s="538">
        <f>'BD Team'!J62</f>
        <v>0</v>
      </c>
      <c r="O597" s="538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6" t="s">
        <v>250</v>
      </c>
      <c r="M598" s="537"/>
      <c r="N598" s="538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6" t="s">
        <v>251</v>
      </c>
      <c r="M599" s="537"/>
      <c r="N599" s="538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6" t="s">
        <v>252</v>
      </c>
      <c r="M600" s="537"/>
      <c r="N600" s="538">
        <f>'BD Team'!F62</f>
        <v>0</v>
      </c>
      <c r="O600" s="539"/>
    </row>
    <row r="601" spans="3:15">
      <c r="C601" s="535"/>
      <c r="D601" s="535"/>
      <c r="E601" s="535"/>
      <c r="F601" s="535"/>
      <c r="G601" s="535"/>
      <c r="H601" s="535"/>
      <c r="I601" s="535"/>
      <c r="J601" s="535"/>
      <c r="K601" s="535"/>
      <c r="L601" s="535"/>
      <c r="M601" s="535"/>
      <c r="N601" s="535"/>
      <c r="O601" s="535"/>
    </row>
    <row r="602" spans="3:15" ht="25.15" customHeight="1">
      <c r="C602" s="536" t="s">
        <v>253</v>
      </c>
      <c r="D602" s="537"/>
      <c r="E602" s="289">
        <f>'BD Team'!B63</f>
        <v>0</v>
      </c>
      <c r="F602" s="288" t="s">
        <v>254</v>
      </c>
      <c r="G602" s="538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6" t="s">
        <v>127</v>
      </c>
      <c r="M603" s="537"/>
      <c r="N603" s="541">
        <f>'BD Team'!G63</f>
        <v>0</v>
      </c>
      <c r="O603" s="542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6" t="s">
        <v>246</v>
      </c>
      <c r="M604" s="537"/>
      <c r="N604" s="539" t="str">
        <f>$F$6</f>
        <v>Anodized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6" t="s">
        <v>177</v>
      </c>
      <c r="M605" s="537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6" t="s">
        <v>247</v>
      </c>
      <c r="M606" s="537"/>
      <c r="N606" s="542" t="s">
        <v>255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6" t="s">
        <v>248</v>
      </c>
      <c r="M607" s="537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6" t="s">
        <v>249</v>
      </c>
      <c r="M608" s="537"/>
      <c r="N608" s="538">
        <f>'BD Team'!J63</f>
        <v>0</v>
      </c>
      <c r="O608" s="538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6" t="s">
        <v>250</v>
      </c>
      <c r="M609" s="537"/>
      <c r="N609" s="538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6" t="s">
        <v>251</v>
      </c>
      <c r="M610" s="537"/>
      <c r="N610" s="538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6" t="s">
        <v>252</v>
      </c>
      <c r="M611" s="537"/>
      <c r="N611" s="538">
        <f>'BD Team'!F63</f>
        <v>0</v>
      </c>
      <c r="O611" s="539"/>
    </row>
    <row r="612" spans="3:15">
      <c r="C612" s="535"/>
      <c r="D612" s="535"/>
      <c r="E612" s="535"/>
      <c r="F612" s="535"/>
      <c r="G612" s="535"/>
      <c r="H612" s="535"/>
      <c r="I612" s="535"/>
      <c r="J612" s="535"/>
      <c r="K612" s="535"/>
      <c r="L612" s="535"/>
      <c r="M612" s="535"/>
      <c r="N612" s="535"/>
      <c r="O612" s="535"/>
    </row>
    <row r="613" spans="3:15" ht="25.15" customHeight="1">
      <c r="C613" s="536" t="s">
        <v>253</v>
      </c>
      <c r="D613" s="537"/>
      <c r="E613" s="289">
        <f>'BD Team'!B64</f>
        <v>0</v>
      </c>
      <c r="F613" s="288" t="s">
        <v>254</v>
      </c>
      <c r="G613" s="538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6" t="s">
        <v>127</v>
      </c>
      <c r="M614" s="537"/>
      <c r="N614" s="541">
        <f>'BD Team'!G64</f>
        <v>0</v>
      </c>
      <c r="O614" s="542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6" t="s">
        <v>246</v>
      </c>
      <c r="M615" s="537"/>
      <c r="N615" s="539" t="str">
        <f>$F$6</f>
        <v>Anodized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6" t="s">
        <v>177</v>
      </c>
      <c r="M616" s="537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6" t="s">
        <v>247</v>
      </c>
      <c r="M617" s="537"/>
      <c r="N617" s="542" t="s">
        <v>255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6" t="s">
        <v>248</v>
      </c>
      <c r="M618" s="537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6" t="s">
        <v>249</v>
      </c>
      <c r="M619" s="537"/>
      <c r="N619" s="538">
        <f>'BD Team'!J64</f>
        <v>0</v>
      </c>
      <c r="O619" s="538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6" t="s">
        <v>250</v>
      </c>
      <c r="M620" s="537"/>
      <c r="N620" s="538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6" t="s">
        <v>251</v>
      </c>
      <c r="M621" s="537"/>
      <c r="N621" s="538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6" t="s">
        <v>252</v>
      </c>
      <c r="M622" s="537"/>
      <c r="N622" s="538">
        <f>'BD Team'!F64</f>
        <v>0</v>
      </c>
      <c r="O622" s="539"/>
    </row>
    <row r="623" spans="3:15">
      <c r="C623" s="535"/>
      <c r="D623" s="535"/>
      <c r="E623" s="535"/>
      <c r="F623" s="535"/>
      <c r="G623" s="535"/>
      <c r="H623" s="535"/>
      <c r="I623" s="535"/>
      <c r="J623" s="535"/>
      <c r="K623" s="535"/>
      <c r="L623" s="535"/>
      <c r="M623" s="535"/>
      <c r="N623" s="535"/>
      <c r="O623" s="535"/>
    </row>
    <row r="624" spans="3:15" ht="25.15" customHeight="1">
      <c r="C624" s="536" t="s">
        <v>253</v>
      </c>
      <c r="D624" s="537"/>
      <c r="E624" s="289">
        <f>'BD Team'!B65</f>
        <v>0</v>
      </c>
      <c r="F624" s="288" t="s">
        <v>254</v>
      </c>
      <c r="G624" s="538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6" t="s">
        <v>127</v>
      </c>
      <c r="M625" s="537"/>
      <c r="N625" s="541">
        <f>'BD Team'!G65</f>
        <v>0</v>
      </c>
      <c r="O625" s="542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6" t="s">
        <v>246</v>
      </c>
      <c r="M626" s="537"/>
      <c r="N626" s="539" t="str">
        <f>$F$6</f>
        <v>Anodized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6" t="s">
        <v>177</v>
      </c>
      <c r="M627" s="537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6" t="s">
        <v>247</v>
      </c>
      <c r="M628" s="537"/>
      <c r="N628" s="542" t="s">
        <v>255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6" t="s">
        <v>248</v>
      </c>
      <c r="M629" s="537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6" t="s">
        <v>249</v>
      </c>
      <c r="M630" s="537"/>
      <c r="N630" s="538">
        <f>'BD Team'!J65</f>
        <v>0</v>
      </c>
      <c r="O630" s="538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6" t="s">
        <v>250</v>
      </c>
      <c r="M631" s="537"/>
      <c r="N631" s="538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6" t="s">
        <v>251</v>
      </c>
      <c r="M632" s="537"/>
      <c r="N632" s="538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6" t="s">
        <v>252</v>
      </c>
      <c r="M633" s="537"/>
      <c r="N633" s="538">
        <f>'BD Team'!F65</f>
        <v>0</v>
      </c>
      <c r="O633" s="539"/>
    </row>
    <row r="634" spans="3:15">
      <c r="C634" s="535"/>
      <c r="D634" s="535"/>
      <c r="E634" s="535"/>
      <c r="F634" s="535"/>
      <c r="G634" s="535"/>
      <c r="H634" s="535"/>
      <c r="I634" s="535"/>
      <c r="J634" s="535"/>
      <c r="K634" s="535"/>
      <c r="L634" s="535"/>
      <c r="M634" s="535"/>
      <c r="N634" s="535"/>
      <c r="O634" s="535"/>
    </row>
    <row r="635" spans="3:15" ht="25.15" customHeight="1">
      <c r="C635" s="536" t="s">
        <v>253</v>
      </c>
      <c r="D635" s="537"/>
      <c r="E635" s="289">
        <f>'BD Team'!B66</f>
        <v>0</v>
      </c>
      <c r="F635" s="288" t="s">
        <v>254</v>
      </c>
      <c r="G635" s="538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6" t="s">
        <v>127</v>
      </c>
      <c r="M636" s="537"/>
      <c r="N636" s="541">
        <f>'BD Team'!G66</f>
        <v>0</v>
      </c>
      <c r="O636" s="542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6" t="s">
        <v>246</v>
      </c>
      <c r="M637" s="537"/>
      <c r="N637" s="539" t="str">
        <f>$F$6</f>
        <v>Anodized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6" t="s">
        <v>177</v>
      </c>
      <c r="M638" s="537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6" t="s">
        <v>247</v>
      </c>
      <c r="M639" s="537"/>
      <c r="N639" s="542" t="s">
        <v>255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6" t="s">
        <v>248</v>
      </c>
      <c r="M640" s="537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6" t="s">
        <v>249</v>
      </c>
      <c r="M641" s="537"/>
      <c r="N641" s="538">
        <f>'BD Team'!J66</f>
        <v>0</v>
      </c>
      <c r="O641" s="538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6" t="s">
        <v>250</v>
      </c>
      <c r="M642" s="537"/>
      <c r="N642" s="538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6" t="s">
        <v>251</v>
      </c>
      <c r="M643" s="537"/>
      <c r="N643" s="538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6" t="s">
        <v>252</v>
      </c>
      <c r="M644" s="537"/>
      <c r="N644" s="538">
        <f>'BD Team'!F66</f>
        <v>0</v>
      </c>
      <c r="O644" s="539"/>
    </row>
    <row r="645" spans="3:15">
      <c r="C645" s="535"/>
      <c r="D645" s="535"/>
      <c r="E645" s="535"/>
      <c r="F645" s="535"/>
      <c r="G645" s="535"/>
      <c r="H645" s="535"/>
      <c r="I645" s="535"/>
      <c r="J645" s="535"/>
      <c r="K645" s="535"/>
      <c r="L645" s="535"/>
      <c r="M645" s="535"/>
      <c r="N645" s="535"/>
      <c r="O645" s="535"/>
    </row>
    <row r="646" spans="3:15" ht="25.15" customHeight="1">
      <c r="C646" s="536" t="s">
        <v>253</v>
      </c>
      <c r="D646" s="537"/>
      <c r="E646" s="289">
        <f>'BD Team'!B67</f>
        <v>0</v>
      </c>
      <c r="F646" s="288" t="s">
        <v>254</v>
      </c>
      <c r="G646" s="538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6" t="s">
        <v>127</v>
      </c>
      <c r="M647" s="537"/>
      <c r="N647" s="541">
        <f>'BD Team'!G67</f>
        <v>0</v>
      </c>
      <c r="O647" s="542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6" t="s">
        <v>246</v>
      </c>
      <c r="M648" s="537"/>
      <c r="N648" s="539" t="str">
        <f>$F$6</f>
        <v>Anodized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6" t="s">
        <v>177</v>
      </c>
      <c r="M649" s="537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6" t="s">
        <v>247</v>
      </c>
      <c r="M650" s="537"/>
      <c r="N650" s="542" t="s">
        <v>255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6" t="s">
        <v>248</v>
      </c>
      <c r="M651" s="537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6" t="s">
        <v>249</v>
      </c>
      <c r="M652" s="537"/>
      <c r="N652" s="538">
        <f>'BD Team'!J67</f>
        <v>0</v>
      </c>
      <c r="O652" s="538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6" t="s">
        <v>250</v>
      </c>
      <c r="M653" s="537"/>
      <c r="N653" s="538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6" t="s">
        <v>251</v>
      </c>
      <c r="M654" s="537"/>
      <c r="N654" s="538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6" t="s">
        <v>252</v>
      </c>
      <c r="M655" s="537"/>
      <c r="N655" s="538">
        <f>'BD Team'!F67</f>
        <v>0</v>
      </c>
      <c r="O655" s="539"/>
    </row>
    <row r="656" spans="3:15">
      <c r="C656" s="535"/>
      <c r="D656" s="535"/>
      <c r="E656" s="535"/>
      <c r="F656" s="535"/>
      <c r="G656" s="535"/>
      <c r="H656" s="535"/>
      <c r="I656" s="535"/>
      <c r="J656" s="535"/>
      <c r="K656" s="535"/>
      <c r="L656" s="535"/>
      <c r="M656" s="535"/>
      <c r="N656" s="535"/>
      <c r="O656" s="535"/>
    </row>
    <row r="657" spans="3:15" ht="25.15" customHeight="1">
      <c r="C657" s="536" t="s">
        <v>253</v>
      </c>
      <c r="D657" s="537"/>
      <c r="E657" s="289">
        <f>'BD Team'!B68</f>
        <v>0</v>
      </c>
      <c r="F657" s="288" t="s">
        <v>254</v>
      </c>
      <c r="G657" s="538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6" t="s">
        <v>127</v>
      </c>
      <c r="M658" s="537"/>
      <c r="N658" s="541">
        <f>'BD Team'!G68</f>
        <v>0</v>
      </c>
      <c r="O658" s="542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6" t="s">
        <v>246</v>
      </c>
      <c r="M659" s="537"/>
      <c r="N659" s="539" t="str">
        <f>$F$6</f>
        <v>Anodized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6" t="s">
        <v>177</v>
      </c>
      <c r="M660" s="537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6" t="s">
        <v>247</v>
      </c>
      <c r="M661" s="537"/>
      <c r="N661" s="542" t="s">
        <v>255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6" t="s">
        <v>248</v>
      </c>
      <c r="M662" s="537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6" t="s">
        <v>249</v>
      </c>
      <c r="M663" s="537"/>
      <c r="N663" s="538">
        <f>'BD Team'!J68</f>
        <v>0</v>
      </c>
      <c r="O663" s="538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6" t="s">
        <v>250</v>
      </c>
      <c r="M664" s="537"/>
      <c r="N664" s="538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6" t="s">
        <v>251</v>
      </c>
      <c r="M665" s="537"/>
      <c r="N665" s="538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6" t="s">
        <v>252</v>
      </c>
      <c r="M666" s="537"/>
      <c r="N666" s="538">
        <f>'BD Team'!F68</f>
        <v>0</v>
      </c>
      <c r="O666" s="539"/>
    </row>
    <row r="667" spans="3:15">
      <c r="C667" s="535"/>
      <c r="D667" s="535"/>
      <c r="E667" s="535"/>
      <c r="F667" s="535"/>
      <c r="G667" s="535"/>
      <c r="H667" s="535"/>
      <c r="I667" s="535"/>
      <c r="J667" s="535"/>
      <c r="K667" s="535"/>
      <c r="L667" s="535"/>
      <c r="M667" s="535"/>
      <c r="N667" s="535"/>
      <c r="O667" s="535"/>
    </row>
    <row r="668" spans="3:15" ht="25.15" customHeight="1">
      <c r="C668" s="536" t="s">
        <v>253</v>
      </c>
      <c r="D668" s="537"/>
      <c r="E668" s="289">
        <f>'BD Team'!B69</f>
        <v>0</v>
      </c>
      <c r="F668" s="288" t="s">
        <v>254</v>
      </c>
      <c r="G668" s="538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6" t="s">
        <v>127</v>
      </c>
      <c r="M669" s="537"/>
      <c r="N669" s="541">
        <f>'BD Team'!G69</f>
        <v>0</v>
      </c>
      <c r="O669" s="542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6" t="s">
        <v>246</v>
      </c>
      <c r="M670" s="537"/>
      <c r="N670" s="539" t="str">
        <f>$F$6</f>
        <v>Anodized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6" t="s">
        <v>177</v>
      </c>
      <c r="M671" s="537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6" t="s">
        <v>247</v>
      </c>
      <c r="M672" s="537"/>
      <c r="N672" s="542" t="s">
        <v>255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6" t="s">
        <v>248</v>
      </c>
      <c r="M673" s="537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6" t="s">
        <v>249</v>
      </c>
      <c r="M674" s="537"/>
      <c r="N674" s="538">
        <f>'BD Team'!J69</f>
        <v>0</v>
      </c>
      <c r="O674" s="538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6" t="s">
        <v>250</v>
      </c>
      <c r="M675" s="537"/>
      <c r="N675" s="538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6" t="s">
        <v>251</v>
      </c>
      <c r="M676" s="537"/>
      <c r="N676" s="538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6" t="s">
        <v>252</v>
      </c>
      <c r="M677" s="537"/>
      <c r="N677" s="538">
        <f>'BD Team'!F69</f>
        <v>0</v>
      </c>
      <c r="O677" s="539"/>
    </row>
    <row r="678" spans="3:15">
      <c r="C678" s="535"/>
      <c r="D678" s="535"/>
      <c r="E678" s="535"/>
      <c r="F678" s="535"/>
      <c r="G678" s="535"/>
      <c r="H678" s="535"/>
      <c r="I678" s="535"/>
      <c r="J678" s="535"/>
      <c r="K678" s="535"/>
      <c r="L678" s="535"/>
      <c r="M678" s="535"/>
      <c r="N678" s="535"/>
      <c r="O678" s="535"/>
    </row>
    <row r="679" spans="3:15" ht="25.15" customHeight="1">
      <c r="C679" s="536" t="s">
        <v>253</v>
      </c>
      <c r="D679" s="537"/>
      <c r="E679" s="289">
        <f>'BD Team'!B70</f>
        <v>0</v>
      </c>
      <c r="F679" s="288" t="s">
        <v>254</v>
      </c>
      <c r="G679" s="538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6" t="s">
        <v>127</v>
      </c>
      <c r="M680" s="537"/>
      <c r="N680" s="541">
        <f>'BD Team'!G70</f>
        <v>0</v>
      </c>
      <c r="O680" s="542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6" t="s">
        <v>246</v>
      </c>
      <c r="M681" s="537"/>
      <c r="N681" s="539" t="str">
        <f>$F$6</f>
        <v>Anodized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6" t="s">
        <v>177</v>
      </c>
      <c r="M682" s="537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6" t="s">
        <v>247</v>
      </c>
      <c r="M683" s="537"/>
      <c r="N683" s="542" t="s">
        <v>255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6" t="s">
        <v>248</v>
      </c>
      <c r="M684" s="537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6" t="s">
        <v>249</v>
      </c>
      <c r="M685" s="537"/>
      <c r="N685" s="538">
        <f>'BD Team'!J70</f>
        <v>0</v>
      </c>
      <c r="O685" s="538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6" t="s">
        <v>250</v>
      </c>
      <c r="M686" s="537"/>
      <c r="N686" s="538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6" t="s">
        <v>251</v>
      </c>
      <c r="M687" s="537"/>
      <c r="N687" s="538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6" t="s">
        <v>252</v>
      </c>
      <c r="M688" s="537"/>
      <c r="N688" s="538">
        <f>'BD Team'!F70</f>
        <v>0</v>
      </c>
      <c r="O688" s="539"/>
    </row>
    <row r="689" spans="3:15">
      <c r="C689" s="535"/>
      <c r="D689" s="535"/>
      <c r="E689" s="535"/>
      <c r="F689" s="535"/>
      <c r="G689" s="535"/>
      <c r="H689" s="535"/>
      <c r="I689" s="535"/>
      <c r="J689" s="535"/>
      <c r="K689" s="535"/>
      <c r="L689" s="535"/>
      <c r="M689" s="535"/>
      <c r="N689" s="535"/>
      <c r="O689" s="535"/>
    </row>
    <row r="690" spans="3:15" ht="25.15" customHeight="1">
      <c r="C690" s="536" t="s">
        <v>253</v>
      </c>
      <c r="D690" s="537"/>
      <c r="E690" s="289">
        <f>'BD Team'!B71</f>
        <v>0</v>
      </c>
      <c r="F690" s="288" t="s">
        <v>254</v>
      </c>
      <c r="G690" s="538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6" t="s">
        <v>127</v>
      </c>
      <c r="M691" s="537"/>
      <c r="N691" s="541">
        <f>'BD Team'!G71</f>
        <v>0</v>
      </c>
      <c r="O691" s="542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6" t="s">
        <v>246</v>
      </c>
      <c r="M692" s="537"/>
      <c r="N692" s="539" t="str">
        <f>$F$6</f>
        <v>Anodized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6" t="s">
        <v>177</v>
      </c>
      <c r="M693" s="537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6" t="s">
        <v>247</v>
      </c>
      <c r="M694" s="537"/>
      <c r="N694" s="542" t="s">
        <v>255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6" t="s">
        <v>248</v>
      </c>
      <c r="M695" s="537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6" t="s">
        <v>249</v>
      </c>
      <c r="M696" s="537"/>
      <c r="N696" s="538">
        <f>'BD Team'!J71</f>
        <v>0</v>
      </c>
      <c r="O696" s="538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6" t="s">
        <v>250</v>
      </c>
      <c r="M697" s="537"/>
      <c r="N697" s="538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6" t="s">
        <v>251</v>
      </c>
      <c r="M698" s="537"/>
      <c r="N698" s="538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6" t="s">
        <v>252</v>
      </c>
      <c r="M699" s="537"/>
      <c r="N699" s="538">
        <f>'BD Team'!F71</f>
        <v>0</v>
      </c>
      <c r="O699" s="539"/>
    </row>
    <row r="700" spans="3:15">
      <c r="C700" s="535"/>
      <c r="D700" s="535"/>
      <c r="E700" s="535"/>
      <c r="F700" s="535"/>
      <c r="G700" s="535"/>
      <c r="H700" s="535"/>
      <c r="I700" s="535"/>
      <c r="J700" s="535"/>
      <c r="K700" s="535"/>
      <c r="L700" s="535"/>
      <c r="M700" s="535"/>
      <c r="N700" s="535"/>
      <c r="O700" s="535"/>
    </row>
    <row r="701" spans="3:15" ht="25.15" customHeight="1">
      <c r="C701" s="536" t="s">
        <v>253</v>
      </c>
      <c r="D701" s="537"/>
      <c r="E701" s="289">
        <f>'BD Team'!B72</f>
        <v>0</v>
      </c>
      <c r="F701" s="288" t="s">
        <v>254</v>
      </c>
      <c r="G701" s="538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6" t="s">
        <v>127</v>
      </c>
      <c r="M702" s="537"/>
      <c r="N702" s="541">
        <f>'BD Team'!G72</f>
        <v>0</v>
      </c>
      <c r="O702" s="542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6" t="s">
        <v>246</v>
      </c>
      <c r="M703" s="537"/>
      <c r="N703" s="539" t="str">
        <f>$F$6</f>
        <v>Anodized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6" t="s">
        <v>177</v>
      </c>
      <c r="M704" s="537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6" t="s">
        <v>247</v>
      </c>
      <c r="M705" s="537"/>
      <c r="N705" s="542" t="s">
        <v>255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6" t="s">
        <v>248</v>
      </c>
      <c r="M706" s="537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6" t="s">
        <v>249</v>
      </c>
      <c r="M707" s="537"/>
      <c r="N707" s="538">
        <f>'BD Team'!J72</f>
        <v>0</v>
      </c>
      <c r="O707" s="538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6" t="s">
        <v>250</v>
      </c>
      <c r="M708" s="537"/>
      <c r="N708" s="538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6" t="s">
        <v>251</v>
      </c>
      <c r="M709" s="537"/>
      <c r="N709" s="538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6" t="s">
        <v>252</v>
      </c>
      <c r="M710" s="537"/>
      <c r="N710" s="538">
        <f>'BD Team'!F72</f>
        <v>0</v>
      </c>
      <c r="O710" s="539"/>
    </row>
    <row r="711" spans="3:15">
      <c r="C711" s="535"/>
      <c r="D711" s="535"/>
      <c r="E711" s="535"/>
      <c r="F711" s="535"/>
      <c r="G711" s="535"/>
      <c r="H711" s="535"/>
      <c r="I711" s="535"/>
      <c r="J711" s="535"/>
      <c r="K711" s="535"/>
      <c r="L711" s="535"/>
      <c r="M711" s="535"/>
      <c r="N711" s="535"/>
      <c r="O711" s="535"/>
    </row>
    <row r="712" spans="3:15" ht="25.15" customHeight="1">
      <c r="C712" s="536" t="s">
        <v>253</v>
      </c>
      <c r="D712" s="537"/>
      <c r="E712" s="289">
        <f>'BD Team'!B73</f>
        <v>0</v>
      </c>
      <c r="F712" s="288" t="s">
        <v>254</v>
      </c>
      <c r="G712" s="538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6" t="s">
        <v>127</v>
      </c>
      <c r="M713" s="537"/>
      <c r="N713" s="541">
        <f>'BD Team'!G73</f>
        <v>0</v>
      </c>
      <c r="O713" s="542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6" t="s">
        <v>246</v>
      </c>
      <c r="M714" s="537"/>
      <c r="N714" s="539" t="str">
        <f>$F$6</f>
        <v>Anodized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6" t="s">
        <v>177</v>
      </c>
      <c r="M715" s="537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6" t="s">
        <v>247</v>
      </c>
      <c r="M716" s="537"/>
      <c r="N716" s="542" t="s">
        <v>255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6" t="s">
        <v>248</v>
      </c>
      <c r="M717" s="537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6" t="s">
        <v>249</v>
      </c>
      <c r="M718" s="537"/>
      <c r="N718" s="538">
        <f>'BD Team'!J73</f>
        <v>0</v>
      </c>
      <c r="O718" s="538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6" t="s">
        <v>250</v>
      </c>
      <c r="M719" s="537"/>
      <c r="N719" s="538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6" t="s">
        <v>251</v>
      </c>
      <c r="M720" s="537"/>
      <c r="N720" s="538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6" t="s">
        <v>252</v>
      </c>
      <c r="M721" s="537"/>
      <c r="N721" s="538">
        <f>'BD Team'!F73</f>
        <v>0</v>
      </c>
      <c r="O721" s="539"/>
    </row>
    <row r="722" spans="3:15">
      <c r="C722" s="535"/>
      <c r="D722" s="535"/>
      <c r="E722" s="535"/>
      <c r="F722" s="535"/>
      <c r="G722" s="535"/>
      <c r="H722" s="535"/>
      <c r="I722" s="535"/>
      <c r="J722" s="535"/>
      <c r="K722" s="535"/>
      <c r="L722" s="535"/>
      <c r="M722" s="535"/>
      <c r="N722" s="535"/>
      <c r="O722" s="535"/>
    </row>
    <row r="723" spans="3:15" ht="25.15" customHeight="1">
      <c r="C723" s="536" t="s">
        <v>253</v>
      </c>
      <c r="D723" s="537"/>
      <c r="E723" s="289">
        <f>'BD Team'!B74</f>
        <v>0</v>
      </c>
      <c r="F723" s="288" t="s">
        <v>254</v>
      </c>
      <c r="G723" s="538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6" t="s">
        <v>127</v>
      </c>
      <c r="M724" s="537"/>
      <c r="N724" s="541">
        <f>'BD Team'!G74</f>
        <v>0</v>
      </c>
      <c r="O724" s="542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6" t="s">
        <v>246</v>
      </c>
      <c r="M725" s="537"/>
      <c r="N725" s="539" t="str">
        <f>$F$6</f>
        <v>Anodized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6" t="s">
        <v>177</v>
      </c>
      <c r="M726" s="537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6" t="s">
        <v>247</v>
      </c>
      <c r="M727" s="537"/>
      <c r="N727" s="542" t="s">
        <v>255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6" t="s">
        <v>248</v>
      </c>
      <c r="M728" s="537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6" t="s">
        <v>249</v>
      </c>
      <c r="M729" s="537"/>
      <c r="N729" s="538">
        <f>'BD Team'!J74</f>
        <v>0</v>
      </c>
      <c r="O729" s="538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6" t="s">
        <v>250</v>
      </c>
      <c r="M730" s="537"/>
      <c r="N730" s="538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6" t="s">
        <v>251</v>
      </c>
      <c r="M731" s="537"/>
      <c r="N731" s="538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6" t="s">
        <v>252</v>
      </c>
      <c r="M732" s="537"/>
      <c r="N732" s="538">
        <f>'BD Team'!F74</f>
        <v>0</v>
      </c>
      <c r="O732" s="539"/>
    </row>
    <row r="733" spans="3:15">
      <c r="C733" s="535"/>
      <c r="D733" s="535"/>
      <c r="E733" s="535"/>
      <c r="F733" s="535"/>
      <c r="G733" s="535"/>
      <c r="H733" s="535"/>
      <c r="I733" s="535"/>
      <c r="J733" s="535"/>
      <c r="K733" s="535"/>
      <c r="L733" s="535"/>
      <c r="M733" s="535"/>
      <c r="N733" s="535"/>
      <c r="O733" s="535"/>
    </row>
    <row r="734" spans="3:15" ht="25.15" customHeight="1">
      <c r="C734" s="536" t="s">
        <v>253</v>
      </c>
      <c r="D734" s="537"/>
      <c r="E734" s="289">
        <f>'BD Team'!B75</f>
        <v>0</v>
      </c>
      <c r="F734" s="288" t="s">
        <v>254</v>
      </c>
      <c r="G734" s="538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6" t="s">
        <v>127</v>
      </c>
      <c r="M735" s="537"/>
      <c r="N735" s="541">
        <f>'BD Team'!G75</f>
        <v>0</v>
      </c>
      <c r="O735" s="542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6" t="s">
        <v>246</v>
      </c>
      <c r="M736" s="537"/>
      <c r="N736" s="539" t="str">
        <f>$F$6</f>
        <v>Anodized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6" t="s">
        <v>177</v>
      </c>
      <c r="M737" s="537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6" t="s">
        <v>247</v>
      </c>
      <c r="M738" s="537"/>
      <c r="N738" s="542" t="s">
        <v>255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6" t="s">
        <v>248</v>
      </c>
      <c r="M739" s="537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6" t="s">
        <v>249</v>
      </c>
      <c r="M740" s="537"/>
      <c r="N740" s="538">
        <f>'BD Team'!J75</f>
        <v>0</v>
      </c>
      <c r="O740" s="538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6" t="s">
        <v>250</v>
      </c>
      <c r="M741" s="537"/>
      <c r="N741" s="538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6" t="s">
        <v>251</v>
      </c>
      <c r="M742" s="537"/>
      <c r="N742" s="538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6" t="s">
        <v>252</v>
      </c>
      <c r="M743" s="537"/>
      <c r="N743" s="538">
        <f>'BD Team'!F75</f>
        <v>0</v>
      </c>
      <c r="O743" s="539"/>
    </row>
    <row r="744" spans="3:15">
      <c r="C744" s="535"/>
      <c r="D744" s="535"/>
      <c r="E744" s="535"/>
      <c r="F744" s="535"/>
      <c r="G744" s="535"/>
      <c r="H744" s="535"/>
      <c r="I744" s="535"/>
      <c r="J744" s="535"/>
      <c r="K744" s="535"/>
      <c r="L744" s="535"/>
      <c r="M744" s="535"/>
      <c r="N744" s="535"/>
      <c r="O744" s="535"/>
    </row>
    <row r="745" spans="3:15" ht="25.15" customHeight="1">
      <c r="C745" s="536" t="s">
        <v>253</v>
      </c>
      <c r="D745" s="537"/>
      <c r="E745" s="289">
        <f>'BD Team'!B76</f>
        <v>0</v>
      </c>
      <c r="F745" s="288" t="s">
        <v>254</v>
      </c>
      <c r="G745" s="538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6" t="s">
        <v>127</v>
      </c>
      <c r="M746" s="537"/>
      <c r="N746" s="541">
        <f>'BD Team'!G76</f>
        <v>0</v>
      </c>
      <c r="O746" s="542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6" t="s">
        <v>246</v>
      </c>
      <c r="M747" s="537"/>
      <c r="N747" s="539" t="str">
        <f>$F$6</f>
        <v>Anodized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6" t="s">
        <v>177</v>
      </c>
      <c r="M748" s="537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6" t="s">
        <v>247</v>
      </c>
      <c r="M749" s="537"/>
      <c r="N749" s="542" t="s">
        <v>255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6" t="s">
        <v>248</v>
      </c>
      <c r="M750" s="537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6" t="s">
        <v>249</v>
      </c>
      <c r="M751" s="537"/>
      <c r="N751" s="538">
        <f>'BD Team'!J76</f>
        <v>0</v>
      </c>
      <c r="O751" s="538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6" t="s">
        <v>250</v>
      </c>
      <c r="M752" s="537"/>
      <c r="N752" s="538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6" t="s">
        <v>251</v>
      </c>
      <c r="M753" s="537"/>
      <c r="N753" s="538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6" t="s">
        <v>252</v>
      </c>
      <c r="M754" s="537"/>
      <c r="N754" s="538">
        <f>'BD Team'!F76</f>
        <v>0</v>
      </c>
      <c r="O754" s="539"/>
    </row>
    <row r="755" spans="3:15">
      <c r="C755" s="535"/>
      <c r="D755" s="535"/>
      <c r="E755" s="535"/>
      <c r="F755" s="535"/>
      <c r="G755" s="535"/>
      <c r="H755" s="535"/>
      <c r="I755" s="535"/>
      <c r="J755" s="535"/>
      <c r="K755" s="535"/>
      <c r="L755" s="535"/>
      <c r="M755" s="535"/>
      <c r="N755" s="535"/>
      <c r="O755" s="535"/>
    </row>
    <row r="756" spans="3:15" ht="25.15" customHeight="1">
      <c r="C756" s="536" t="s">
        <v>253</v>
      </c>
      <c r="D756" s="537"/>
      <c r="E756" s="289">
        <f>'BD Team'!B77</f>
        <v>0</v>
      </c>
      <c r="F756" s="288" t="s">
        <v>254</v>
      </c>
      <c r="G756" s="538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6" t="s">
        <v>127</v>
      </c>
      <c r="M757" s="537"/>
      <c r="N757" s="541">
        <f>'BD Team'!G77</f>
        <v>0</v>
      </c>
      <c r="O757" s="542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6" t="s">
        <v>246</v>
      </c>
      <c r="M758" s="537"/>
      <c r="N758" s="539" t="str">
        <f>$F$6</f>
        <v>Anodized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6" t="s">
        <v>177</v>
      </c>
      <c r="M759" s="537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6" t="s">
        <v>247</v>
      </c>
      <c r="M760" s="537"/>
      <c r="N760" s="542" t="s">
        <v>255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6" t="s">
        <v>248</v>
      </c>
      <c r="M761" s="537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6" t="s">
        <v>249</v>
      </c>
      <c r="M762" s="537"/>
      <c r="N762" s="538">
        <f>'BD Team'!J77</f>
        <v>0</v>
      </c>
      <c r="O762" s="538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6" t="s">
        <v>250</v>
      </c>
      <c r="M763" s="537"/>
      <c r="N763" s="538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6" t="s">
        <v>251</v>
      </c>
      <c r="M764" s="537"/>
      <c r="N764" s="538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6" t="s">
        <v>252</v>
      </c>
      <c r="M765" s="537"/>
      <c r="N765" s="538">
        <f>'BD Team'!F77</f>
        <v>0</v>
      </c>
      <c r="O765" s="539"/>
    </row>
    <row r="766" spans="3:15">
      <c r="C766" s="535"/>
      <c r="D766" s="535"/>
      <c r="E766" s="535"/>
      <c r="F766" s="535"/>
      <c r="G766" s="535"/>
      <c r="H766" s="535"/>
      <c r="I766" s="535"/>
      <c r="J766" s="535"/>
      <c r="K766" s="535"/>
      <c r="L766" s="535"/>
      <c r="M766" s="535"/>
      <c r="N766" s="535"/>
      <c r="O766" s="535"/>
    </row>
    <row r="767" spans="3:15" ht="25.15" customHeight="1">
      <c r="C767" s="536" t="s">
        <v>253</v>
      </c>
      <c r="D767" s="537"/>
      <c r="E767" s="289">
        <f>'BD Team'!B78</f>
        <v>0</v>
      </c>
      <c r="F767" s="288" t="s">
        <v>254</v>
      </c>
      <c r="G767" s="538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6" t="s">
        <v>127</v>
      </c>
      <c r="M768" s="537"/>
      <c r="N768" s="541">
        <f>'BD Team'!G78</f>
        <v>0</v>
      </c>
      <c r="O768" s="542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6" t="s">
        <v>246</v>
      </c>
      <c r="M769" s="537"/>
      <c r="N769" s="539" t="str">
        <f>$F$6</f>
        <v>Anodized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6" t="s">
        <v>177</v>
      </c>
      <c r="M770" s="537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6" t="s">
        <v>247</v>
      </c>
      <c r="M771" s="537"/>
      <c r="N771" s="542" t="s">
        <v>255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6" t="s">
        <v>248</v>
      </c>
      <c r="M772" s="537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6" t="s">
        <v>249</v>
      </c>
      <c r="M773" s="537"/>
      <c r="N773" s="538">
        <f>'BD Team'!J78</f>
        <v>0</v>
      </c>
      <c r="O773" s="538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6" t="s">
        <v>250</v>
      </c>
      <c r="M774" s="537"/>
      <c r="N774" s="538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6" t="s">
        <v>251</v>
      </c>
      <c r="M775" s="537"/>
      <c r="N775" s="538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6" t="s">
        <v>252</v>
      </c>
      <c r="M776" s="537"/>
      <c r="N776" s="538">
        <f>'BD Team'!F78</f>
        <v>0</v>
      </c>
      <c r="O776" s="539"/>
    </row>
    <row r="777" spans="3:15">
      <c r="C777" s="535"/>
      <c r="D777" s="535"/>
      <c r="E777" s="535"/>
      <c r="F777" s="535"/>
      <c r="G777" s="535"/>
      <c r="H777" s="535"/>
      <c r="I777" s="535"/>
      <c r="J777" s="535"/>
      <c r="K777" s="535"/>
      <c r="L777" s="535"/>
      <c r="M777" s="535"/>
      <c r="N777" s="535"/>
      <c r="O777" s="535"/>
    </row>
    <row r="778" spans="3:15" ht="25.15" customHeight="1">
      <c r="C778" s="536" t="s">
        <v>253</v>
      </c>
      <c r="D778" s="537"/>
      <c r="E778" s="289">
        <f>'BD Team'!B79</f>
        <v>0</v>
      </c>
      <c r="F778" s="288" t="s">
        <v>254</v>
      </c>
      <c r="G778" s="538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6" t="s">
        <v>127</v>
      </c>
      <c r="M779" s="537"/>
      <c r="N779" s="541">
        <f>'BD Team'!G79</f>
        <v>0</v>
      </c>
      <c r="O779" s="542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6" t="s">
        <v>246</v>
      </c>
      <c r="M780" s="537"/>
      <c r="N780" s="539" t="str">
        <f>$F$6</f>
        <v>Anodized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6" t="s">
        <v>177</v>
      </c>
      <c r="M781" s="537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6" t="s">
        <v>247</v>
      </c>
      <c r="M782" s="537"/>
      <c r="N782" s="542" t="s">
        <v>255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6" t="s">
        <v>248</v>
      </c>
      <c r="M783" s="537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6" t="s">
        <v>249</v>
      </c>
      <c r="M784" s="537"/>
      <c r="N784" s="538">
        <f>'BD Team'!J79</f>
        <v>0</v>
      </c>
      <c r="O784" s="538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6" t="s">
        <v>250</v>
      </c>
      <c r="M785" s="537"/>
      <c r="N785" s="538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6" t="s">
        <v>251</v>
      </c>
      <c r="M786" s="537"/>
      <c r="N786" s="538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6" t="s">
        <v>252</v>
      </c>
      <c r="M787" s="537"/>
      <c r="N787" s="538">
        <f>'BD Team'!F79</f>
        <v>0</v>
      </c>
      <c r="O787" s="539"/>
    </row>
    <row r="788" spans="3:15">
      <c r="C788" s="535"/>
      <c r="D788" s="535"/>
      <c r="E788" s="535"/>
      <c r="F788" s="535"/>
      <c r="G788" s="535"/>
      <c r="H788" s="535"/>
      <c r="I788" s="535"/>
      <c r="J788" s="535"/>
      <c r="K788" s="535"/>
      <c r="L788" s="535"/>
      <c r="M788" s="535"/>
      <c r="N788" s="535"/>
      <c r="O788" s="535"/>
    </row>
    <row r="789" spans="3:15" ht="25.15" customHeight="1">
      <c r="C789" s="536" t="s">
        <v>253</v>
      </c>
      <c r="D789" s="537"/>
      <c r="E789" s="289">
        <f>'BD Team'!B80</f>
        <v>0</v>
      </c>
      <c r="F789" s="288" t="s">
        <v>254</v>
      </c>
      <c r="G789" s="538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6" t="s">
        <v>127</v>
      </c>
      <c r="M790" s="537"/>
      <c r="N790" s="541">
        <f>'BD Team'!G80</f>
        <v>0</v>
      </c>
      <c r="O790" s="542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6" t="s">
        <v>246</v>
      </c>
      <c r="M791" s="537"/>
      <c r="N791" s="539" t="str">
        <f>$F$6</f>
        <v>Anodized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6" t="s">
        <v>177</v>
      </c>
      <c r="M792" s="537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6" t="s">
        <v>247</v>
      </c>
      <c r="M793" s="537"/>
      <c r="N793" s="542" t="s">
        <v>255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6" t="s">
        <v>248</v>
      </c>
      <c r="M794" s="537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6" t="s">
        <v>249</v>
      </c>
      <c r="M795" s="537"/>
      <c r="N795" s="538">
        <f>'BD Team'!J80</f>
        <v>0</v>
      </c>
      <c r="O795" s="538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6" t="s">
        <v>250</v>
      </c>
      <c r="M796" s="537"/>
      <c r="N796" s="538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6" t="s">
        <v>251</v>
      </c>
      <c r="M797" s="537"/>
      <c r="N797" s="538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6" t="s">
        <v>252</v>
      </c>
      <c r="M798" s="537"/>
      <c r="N798" s="538">
        <f>'BD Team'!F80</f>
        <v>0</v>
      </c>
      <c r="O798" s="539"/>
    </row>
    <row r="799" spans="3:15">
      <c r="C799" s="535"/>
      <c r="D799" s="535"/>
      <c r="E799" s="535"/>
      <c r="F799" s="535"/>
      <c r="G799" s="535"/>
      <c r="H799" s="535"/>
      <c r="I799" s="535"/>
      <c r="J799" s="535"/>
      <c r="K799" s="535"/>
      <c r="L799" s="535"/>
      <c r="M799" s="535"/>
      <c r="N799" s="535"/>
      <c r="O799" s="535"/>
    </row>
    <row r="800" spans="3:15" ht="25.15" customHeight="1">
      <c r="C800" s="536" t="s">
        <v>253</v>
      </c>
      <c r="D800" s="537"/>
      <c r="E800" s="289">
        <f>'BD Team'!B81</f>
        <v>0</v>
      </c>
      <c r="F800" s="288" t="s">
        <v>254</v>
      </c>
      <c r="G800" s="538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6" t="s">
        <v>127</v>
      </c>
      <c r="M801" s="537"/>
      <c r="N801" s="541">
        <f>'BD Team'!G81</f>
        <v>0</v>
      </c>
      <c r="O801" s="542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6" t="s">
        <v>246</v>
      </c>
      <c r="M802" s="537"/>
      <c r="N802" s="539" t="str">
        <f>$F$6</f>
        <v>Anodized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6" t="s">
        <v>177</v>
      </c>
      <c r="M803" s="537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6" t="s">
        <v>247</v>
      </c>
      <c r="M804" s="537"/>
      <c r="N804" s="542" t="s">
        <v>255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6" t="s">
        <v>248</v>
      </c>
      <c r="M805" s="537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6" t="s">
        <v>249</v>
      </c>
      <c r="M806" s="537"/>
      <c r="N806" s="538">
        <f>'BD Team'!J81</f>
        <v>0</v>
      </c>
      <c r="O806" s="538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6" t="s">
        <v>250</v>
      </c>
      <c r="M807" s="537"/>
      <c r="N807" s="538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6" t="s">
        <v>251</v>
      </c>
      <c r="M808" s="537"/>
      <c r="N808" s="538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6" t="s">
        <v>252</v>
      </c>
      <c r="M809" s="537"/>
      <c r="N809" s="538">
        <f>'BD Team'!F81</f>
        <v>0</v>
      </c>
      <c r="O809" s="539"/>
    </row>
    <row r="810" spans="3:15">
      <c r="C810" s="535"/>
      <c r="D810" s="535"/>
      <c r="E810" s="535"/>
      <c r="F810" s="535"/>
      <c r="G810" s="535"/>
      <c r="H810" s="535"/>
      <c r="I810" s="535"/>
      <c r="J810" s="535"/>
      <c r="K810" s="535"/>
      <c r="L810" s="535"/>
      <c r="M810" s="535"/>
      <c r="N810" s="535"/>
      <c r="O810" s="535"/>
    </row>
    <row r="811" spans="3:15" ht="25.15" customHeight="1">
      <c r="C811" s="536" t="s">
        <v>253</v>
      </c>
      <c r="D811" s="537"/>
      <c r="E811" s="289">
        <f>'BD Team'!B82</f>
        <v>0</v>
      </c>
      <c r="F811" s="288" t="s">
        <v>254</v>
      </c>
      <c r="G811" s="538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6" t="s">
        <v>127</v>
      </c>
      <c r="M812" s="537"/>
      <c r="N812" s="541">
        <f>'BD Team'!G82</f>
        <v>0</v>
      </c>
      <c r="O812" s="542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6" t="s">
        <v>246</v>
      </c>
      <c r="M813" s="537"/>
      <c r="N813" s="539" t="str">
        <f>$F$6</f>
        <v>Anodized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6" t="s">
        <v>177</v>
      </c>
      <c r="M814" s="537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6" t="s">
        <v>247</v>
      </c>
      <c r="M815" s="537"/>
      <c r="N815" s="542" t="s">
        <v>255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6" t="s">
        <v>248</v>
      </c>
      <c r="M816" s="537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6" t="s">
        <v>249</v>
      </c>
      <c r="M817" s="537"/>
      <c r="N817" s="538">
        <f>'BD Team'!J82</f>
        <v>0</v>
      </c>
      <c r="O817" s="538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6" t="s">
        <v>250</v>
      </c>
      <c r="M818" s="537"/>
      <c r="N818" s="538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6" t="s">
        <v>251</v>
      </c>
      <c r="M819" s="537"/>
      <c r="N819" s="538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6" t="s">
        <v>252</v>
      </c>
      <c r="M820" s="537"/>
      <c r="N820" s="538">
        <f>'BD Team'!F82</f>
        <v>0</v>
      </c>
      <c r="O820" s="539"/>
    </row>
    <row r="821" spans="3:15">
      <c r="C821" s="535"/>
      <c r="D821" s="535"/>
      <c r="E821" s="535"/>
      <c r="F821" s="535"/>
      <c r="G821" s="535"/>
      <c r="H821" s="535"/>
      <c r="I821" s="535"/>
      <c r="J821" s="535"/>
      <c r="K821" s="535"/>
      <c r="L821" s="535"/>
      <c r="M821" s="535"/>
      <c r="N821" s="535"/>
      <c r="O821" s="535"/>
    </row>
    <row r="822" spans="3:15" ht="25.15" customHeight="1">
      <c r="C822" s="536" t="s">
        <v>253</v>
      </c>
      <c r="D822" s="537"/>
      <c r="E822" s="289">
        <f>'BD Team'!B83</f>
        <v>0</v>
      </c>
      <c r="F822" s="288" t="s">
        <v>254</v>
      </c>
      <c r="G822" s="538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6" t="s">
        <v>127</v>
      </c>
      <c r="M823" s="537"/>
      <c r="N823" s="541">
        <f>'BD Team'!G83</f>
        <v>0</v>
      </c>
      <c r="O823" s="542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6" t="s">
        <v>246</v>
      </c>
      <c r="M824" s="537"/>
      <c r="N824" s="539" t="str">
        <f>$F$6</f>
        <v>Anodized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6" t="s">
        <v>177</v>
      </c>
      <c r="M825" s="537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6" t="s">
        <v>247</v>
      </c>
      <c r="M826" s="537"/>
      <c r="N826" s="542" t="s">
        <v>255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6" t="s">
        <v>248</v>
      </c>
      <c r="M827" s="537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6" t="s">
        <v>249</v>
      </c>
      <c r="M828" s="537"/>
      <c r="N828" s="538">
        <f>'BD Team'!J83</f>
        <v>0</v>
      </c>
      <c r="O828" s="538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6" t="s">
        <v>250</v>
      </c>
      <c r="M829" s="537"/>
      <c r="N829" s="538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6" t="s">
        <v>251</v>
      </c>
      <c r="M830" s="537"/>
      <c r="N830" s="538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6" t="s">
        <v>252</v>
      </c>
      <c r="M831" s="537"/>
      <c r="N831" s="538">
        <f>'BD Team'!F83</f>
        <v>0</v>
      </c>
      <c r="O831" s="539"/>
    </row>
    <row r="832" spans="3:15">
      <c r="C832" s="535"/>
      <c r="D832" s="535"/>
      <c r="E832" s="535"/>
      <c r="F832" s="535"/>
      <c r="G832" s="535"/>
      <c r="H832" s="535"/>
      <c r="I832" s="535"/>
      <c r="J832" s="535"/>
      <c r="K832" s="535"/>
      <c r="L832" s="535"/>
      <c r="M832" s="535"/>
      <c r="N832" s="535"/>
      <c r="O832" s="535"/>
    </row>
    <row r="833" spans="3:15" ht="25.15" customHeight="1">
      <c r="C833" s="536" t="s">
        <v>253</v>
      </c>
      <c r="D833" s="537"/>
      <c r="E833" s="289">
        <f>'BD Team'!B84</f>
        <v>0</v>
      </c>
      <c r="F833" s="288" t="s">
        <v>254</v>
      </c>
      <c r="G833" s="538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6" t="s">
        <v>127</v>
      </c>
      <c r="M834" s="537"/>
      <c r="N834" s="541">
        <f>'BD Team'!G84</f>
        <v>0</v>
      </c>
      <c r="O834" s="542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6" t="s">
        <v>246</v>
      </c>
      <c r="M835" s="537"/>
      <c r="N835" s="539" t="str">
        <f>$F$6</f>
        <v>Anodized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6" t="s">
        <v>177</v>
      </c>
      <c r="M836" s="537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6" t="s">
        <v>247</v>
      </c>
      <c r="M837" s="537"/>
      <c r="N837" s="542" t="s">
        <v>255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6" t="s">
        <v>248</v>
      </c>
      <c r="M838" s="537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6" t="s">
        <v>249</v>
      </c>
      <c r="M839" s="537"/>
      <c r="N839" s="538">
        <f>'BD Team'!J84</f>
        <v>0</v>
      </c>
      <c r="O839" s="538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6" t="s">
        <v>250</v>
      </c>
      <c r="M840" s="537"/>
      <c r="N840" s="538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6" t="s">
        <v>251</v>
      </c>
      <c r="M841" s="537"/>
      <c r="N841" s="538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6" t="s">
        <v>252</v>
      </c>
      <c r="M842" s="537"/>
      <c r="N842" s="538">
        <f>'BD Team'!F84</f>
        <v>0</v>
      </c>
      <c r="O842" s="539"/>
    </row>
    <row r="843" spans="3:15">
      <c r="C843" s="535"/>
      <c r="D843" s="535"/>
      <c r="E843" s="535"/>
      <c r="F843" s="535"/>
      <c r="G843" s="535"/>
      <c r="H843" s="535"/>
      <c r="I843" s="535"/>
      <c r="J843" s="535"/>
      <c r="K843" s="535"/>
      <c r="L843" s="535"/>
      <c r="M843" s="535"/>
      <c r="N843" s="535"/>
      <c r="O843" s="535"/>
    </row>
    <row r="844" spans="3:15" ht="25.15" customHeight="1">
      <c r="C844" s="536" t="s">
        <v>253</v>
      </c>
      <c r="D844" s="537"/>
      <c r="E844" s="289">
        <f>'BD Team'!B85</f>
        <v>0</v>
      </c>
      <c r="F844" s="288" t="s">
        <v>254</v>
      </c>
      <c r="G844" s="538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6" t="s">
        <v>127</v>
      </c>
      <c r="M845" s="537"/>
      <c r="N845" s="541">
        <f>'BD Team'!G85</f>
        <v>0</v>
      </c>
      <c r="O845" s="542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6" t="s">
        <v>246</v>
      </c>
      <c r="M846" s="537"/>
      <c r="N846" s="539" t="str">
        <f>$F$6</f>
        <v>Anodized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6" t="s">
        <v>177</v>
      </c>
      <c r="M847" s="537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6" t="s">
        <v>247</v>
      </c>
      <c r="M848" s="537"/>
      <c r="N848" s="542" t="s">
        <v>255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6" t="s">
        <v>248</v>
      </c>
      <c r="M849" s="537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6" t="s">
        <v>249</v>
      </c>
      <c r="M850" s="537"/>
      <c r="N850" s="538">
        <f>'BD Team'!J85</f>
        <v>0</v>
      </c>
      <c r="O850" s="538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6" t="s">
        <v>250</v>
      </c>
      <c r="M851" s="537"/>
      <c r="N851" s="538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6" t="s">
        <v>251</v>
      </c>
      <c r="M852" s="537"/>
      <c r="N852" s="538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6" t="s">
        <v>252</v>
      </c>
      <c r="M853" s="537"/>
      <c r="N853" s="538">
        <f>'BD Team'!F85</f>
        <v>0</v>
      </c>
      <c r="O853" s="539"/>
    </row>
    <row r="854" spans="3:15">
      <c r="C854" s="535"/>
      <c r="D854" s="535"/>
      <c r="E854" s="535"/>
      <c r="F854" s="535"/>
      <c r="G854" s="535"/>
      <c r="H854" s="535"/>
      <c r="I854" s="535"/>
      <c r="J854" s="535"/>
      <c r="K854" s="535"/>
      <c r="L854" s="535"/>
      <c r="M854" s="535"/>
      <c r="N854" s="535"/>
      <c r="O854" s="535"/>
    </row>
    <row r="855" spans="3:15" ht="25.15" customHeight="1">
      <c r="C855" s="536" t="s">
        <v>253</v>
      </c>
      <c r="D855" s="537"/>
      <c r="E855" s="289">
        <f>'BD Team'!B86</f>
        <v>0</v>
      </c>
      <c r="F855" s="288" t="s">
        <v>254</v>
      </c>
      <c r="G855" s="538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6" t="s">
        <v>127</v>
      </c>
      <c r="M856" s="537"/>
      <c r="N856" s="541">
        <f>'BD Team'!G86</f>
        <v>0</v>
      </c>
      <c r="O856" s="542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6" t="s">
        <v>246</v>
      </c>
      <c r="M857" s="537"/>
      <c r="N857" s="539" t="str">
        <f>$F$6</f>
        <v>Anodized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6" t="s">
        <v>177</v>
      </c>
      <c r="M858" s="537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6" t="s">
        <v>247</v>
      </c>
      <c r="M859" s="537"/>
      <c r="N859" s="542" t="s">
        <v>255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6" t="s">
        <v>248</v>
      </c>
      <c r="M860" s="537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6" t="s">
        <v>249</v>
      </c>
      <c r="M861" s="537"/>
      <c r="N861" s="538">
        <f>'BD Team'!J86</f>
        <v>0</v>
      </c>
      <c r="O861" s="538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6" t="s">
        <v>250</v>
      </c>
      <c r="M862" s="537"/>
      <c r="N862" s="538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6" t="s">
        <v>251</v>
      </c>
      <c r="M863" s="537"/>
      <c r="N863" s="538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6" t="s">
        <v>252</v>
      </c>
      <c r="M864" s="537"/>
      <c r="N864" s="538">
        <f>'BD Team'!F86</f>
        <v>0</v>
      </c>
      <c r="O864" s="539"/>
    </row>
    <row r="865" spans="3:15">
      <c r="C865" s="535"/>
      <c r="D865" s="535"/>
      <c r="E865" s="535"/>
      <c r="F865" s="535"/>
      <c r="G865" s="535"/>
      <c r="H865" s="535"/>
      <c r="I865" s="535"/>
      <c r="J865" s="535"/>
      <c r="K865" s="535"/>
      <c r="L865" s="535"/>
      <c r="M865" s="535"/>
      <c r="N865" s="535"/>
      <c r="O865" s="535"/>
    </row>
    <row r="866" spans="3:15" ht="25.15" customHeight="1">
      <c r="C866" s="536" t="s">
        <v>253</v>
      </c>
      <c r="D866" s="537"/>
      <c r="E866" s="289">
        <f>'BD Team'!B87</f>
        <v>0</v>
      </c>
      <c r="F866" s="288" t="s">
        <v>254</v>
      </c>
      <c r="G866" s="538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6" t="s">
        <v>127</v>
      </c>
      <c r="M867" s="537"/>
      <c r="N867" s="541">
        <f>'BD Team'!G87</f>
        <v>0</v>
      </c>
      <c r="O867" s="542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6" t="s">
        <v>246</v>
      </c>
      <c r="M868" s="537"/>
      <c r="N868" s="539" t="str">
        <f>$F$6</f>
        <v>Anodized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6" t="s">
        <v>177</v>
      </c>
      <c r="M869" s="537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6" t="s">
        <v>247</v>
      </c>
      <c r="M870" s="537"/>
      <c r="N870" s="542" t="s">
        <v>255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6" t="s">
        <v>248</v>
      </c>
      <c r="M871" s="537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6" t="s">
        <v>249</v>
      </c>
      <c r="M872" s="537"/>
      <c r="N872" s="538">
        <f>'BD Team'!J87</f>
        <v>0</v>
      </c>
      <c r="O872" s="538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6" t="s">
        <v>250</v>
      </c>
      <c r="M873" s="537"/>
      <c r="N873" s="538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6" t="s">
        <v>251</v>
      </c>
      <c r="M874" s="537"/>
      <c r="N874" s="538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6" t="s">
        <v>252</v>
      </c>
      <c r="M875" s="537"/>
      <c r="N875" s="538">
        <f>'BD Team'!F87</f>
        <v>0</v>
      </c>
      <c r="O875" s="539"/>
    </row>
    <row r="876" spans="3:15">
      <c r="C876" s="535"/>
      <c r="D876" s="535"/>
      <c r="E876" s="535"/>
      <c r="F876" s="535"/>
      <c r="G876" s="535"/>
      <c r="H876" s="535"/>
      <c r="I876" s="535"/>
      <c r="J876" s="535"/>
      <c r="K876" s="535"/>
      <c r="L876" s="535"/>
      <c r="M876" s="535"/>
      <c r="N876" s="535"/>
      <c r="O876" s="535"/>
    </row>
    <row r="877" spans="3:15" ht="25.15" customHeight="1">
      <c r="C877" s="536" t="s">
        <v>253</v>
      </c>
      <c r="D877" s="537"/>
      <c r="E877" s="289">
        <f>'BD Team'!B88</f>
        <v>0</v>
      </c>
      <c r="F877" s="288" t="s">
        <v>254</v>
      </c>
      <c r="G877" s="538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6" t="s">
        <v>127</v>
      </c>
      <c r="M878" s="537"/>
      <c r="N878" s="541">
        <f>'BD Team'!G88</f>
        <v>0</v>
      </c>
      <c r="O878" s="542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6" t="s">
        <v>246</v>
      </c>
      <c r="M879" s="537"/>
      <c r="N879" s="539" t="str">
        <f>$F$6</f>
        <v>Anodized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6" t="s">
        <v>177</v>
      </c>
      <c r="M880" s="537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6" t="s">
        <v>247</v>
      </c>
      <c r="M881" s="537"/>
      <c r="N881" s="542" t="s">
        <v>255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6" t="s">
        <v>248</v>
      </c>
      <c r="M882" s="537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6" t="s">
        <v>249</v>
      </c>
      <c r="M883" s="537"/>
      <c r="N883" s="538">
        <f>'BD Team'!J88</f>
        <v>0</v>
      </c>
      <c r="O883" s="538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6" t="s">
        <v>250</v>
      </c>
      <c r="M884" s="537"/>
      <c r="N884" s="538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6" t="s">
        <v>251</v>
      </c>
      <c r="M885" s="537"/>
      <c r="N885" s="538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6" t="s">
        <v>252</v>
      </c>
      <c r="M886" s="537"/>
      <c r="N886" s="538">
        <f>'BD Team'!F88</f>
        <v>0</v>
      </c>
      <c r="O886" s="539"/>
    </row>
    <row r="887" spans="3:15">
      <c r="C887" s="535"/>
      <c r="D887" s="535"/>
      <c r="E887" s="535"/>
      <c r="F887" s="535"/>
      <c r="G887" s="535"/>
      <c r="H887" s="535"/>
      <c r="I887" s="535"/>
      <c r="J887" s="535"/>
      <c r="K887" s="535"/>
      <c r="L887" s="535"/>
      <c r="M887" s="535"/>
      <c r="N887" s="535"/>
      <c r="O887" s="535"/>
    </row>
    <row r="888" spans="3:15" ht="25.15" customHeight="1">
      <c r="C888" s="536" t="s">
        <v>253</v>
      </c>
      <c r="D888" s="537"/>
      <c r="E888" s="289">
        <f>'BD Team'!B89</f>
        <v>0</v>
      </c>
      <c r="F888" s="288" t="s">
        <v>254</v>
      </c>
      <c r="G888" s="538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6" t="s">
        <v>127</v>
      </c>
      <c r="M889" s="537"/>
      <c r="N889" s="541">
        <f>'BD Team'!G89</f>
        <v>0</v>
      </c>
      <c r="O889" s="542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6" t="s">
        <v>246</v>
      </c>
      <c r="M890" s="537"/>
      <c r="N890" s="539" t="str">
        <f>$F$6</f>
        <v>Anodized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6" t="s">
        <v>177</v>
      </c>
      <c r="M891" s="537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6" t="s">
        <v>247</v>
      </c>
      <c r="M892" s="537"/>
      <c r="N892" s="542" t="s">
        <v>255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6" t="s">
        <v>248</v>
      </c>
      <c r="M893" s="537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6" t="s">
        <v>249</v>
      </c>
      <c r="M894" s="537"/>
      <c r="N894" s="538">
        <f>'BD Team'!J89</f>
        <v>0</v>
      </c>
      <c r="O894" s="538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6" t="s">
        <v>250</v>
      </c>
      <c r="M895" s="537"/>
      <c r="N895" s="538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6" t="s">
        <v>251</v>
      </c>
      <c r="M896" s="537"/>
      <c r="N896" s="538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6" t="s">
        <v>252</v>
      </c>
      <c r="M897" s="537"/>
      <c r="N897" s="538">
        <f>'BD Team'!F89</f>
        <v>0</v>
      </c>
      <c r="O897" s="539"/>
    </row>
    <row r="898" spans="3:15">
      <c r="C898" s="535"/>
      <c r="D898" s="535"/>
      <c r="E898" s="535"/>
      <c r="F898" s="535"/>
      <c r="G898" s="535"/>
      <c r="H898" s="535"/>
      <c r="I898" s="535"/>
      <c r="J898" s="535"/>
      <c r="K898" s="535"/>
      <c r="L898" s="535"/>
      <c r="M898" s="535"/>
      <c r="N898" s="535"/>
      <c r="O898" s="535"/>
    </row>
    <row r="899" spans="3:15" ht="25.15" customHeight="1">
      <c r="C899" s="536" t="s">
        <v>253</v>
      </c>
      <c r="D899" s="537"/>
      <c r="E899" s="289">
        <f>'BD Team'!B90</f>
        <v>0</v>
      </c>
      <c r="F899" s="288" t="s">
        <v>254</v>
      </c>
      <c r="G899" s="538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6" t="s">
        <v>127</v>
      </c>
      <c r="M900" s="537"/>
      <c r="N900" s="541">
        <f>'BD Team'!G90</f>
        <v>0</v>
      </c>
      <c r="O900" s="542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6" t="s">
        <v>246</v>
      </c>
      <c r="M901" s="537"/>
      <c r="N901" s="539" t="str">
        <f>$F$6</f>
        <v>Anodized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6" t="s">
        <v>177</v>
      </c>
      <c r="M902" s="537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6" t="s">
        <v>247</v>
      </c>
      <c r="M903" s="537"/>
      <c r="N903" s="542" t="s">
        <v>255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6" t="s">
        <v>248</v>
      </c>
      <c r="M904" s="537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6" t="s">
        <v>249</v>
      </c>
      <c r="M905" s="537"/>
      <c r="N905" s="538">
        <f>'BD Team'!J90</f>
        <v>0</v>
      </c>
      <c r="O905" s="538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6" t="s">
        <v>250</v>
      </c>
      <c r="M906" s="537"/>
      <c r="N906" s="538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6" t="s">
        <v>251</v>
      </c>
      <c r="M907" s="537"/>
      <c r="N907" s="538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6" t="s">
        <v>252</v>
      </c>
      <c r="M908" s="537"/>
      <c r="N908" s="538">
        <f>'BD Team'!F90</f>
        <v>0</v>
      </c>
      <c r="O908" s="539"/>
    </row>
    <row r="909" spans="3:15">
      <c r="C909" s="535"/>
      <c r="D909" s="535"/>
      <c r="E909" s="535"/>
      <c r="F909" s="535"/>
      <c r="G909" s="535"/>
      <c r="H909" s="535"/>
      <c r="I909" s="535"/>
      <c r="J909" s="535"/>
      <c r="K909" s="535"/>
      <c r="L909" s="535"/>
      <c r="M909" s="535"/>
      <c r="N909" s="535"/>
      <c r="O909" s="535"/>
    </row>
    <row r="910" spans="3:15" ht="25.15" customHeight="1">
      <c r="C910" s="536" t="s">
        <v>253</v>
      </c>
      <c r="D910" s="537"/>
      <c r="E910" s="289">
        <f>'BD Team'!B91</f>
        <v>0</v>
      </c>
      <c r="F910" s="288" t="s">
        <v>254</v>
      </c>
      <c r="G910" s="538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6" t="s">
        <v>127</v>
      </c>
      <c r="M911" s="537"/>
      <c r="N911" s="541">
        <f>'BD Team'!G91</f>
        <v>0</v>
      </c>
      <c r="O911" s="542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6" t="s">
        <v>246</v>
      </c>
      <c r="M912" s="537"/>
      <c r="N912" s="539" t="str">
        <f>$F$6</f>
        <v>Anodized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6" t="s">
        <v>177</v>
      </c>
      <c r="M913" s="537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6" t="s">
        <v>247</v>
      </c>
      <c r="M914" s="537"/>
      <c r="N914" s="542" t="s">
        <v>255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6" t="s">
        <v>248</v>
      </c>
      <c r="M915" s="537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6" t="s">
        <v>249</v>
      </c>
      <c r="M916" s="537"/>
      <c r="N916" s="538">
        <f>'BD Team'!J91</f>
        <v>0</v>
      </c>
      <c r="O916" s="538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6" t="s">
        <v>250</v>
      </c>
      <c r="M917" s="537"/>
      <c r="N917" s="538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6" t="s">
        <v>251</v>
      </c>
      <c r="M918" s="537"/>
      <c r="N918" s="538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6" t="s">
        <v>252</v>
      </c>
      <c r="M919" s="537"/>
      <c r="N919" s="538">
        <f>'BD Team'!F91</f>
        <v>0</v>
      </c>
      <c r="O919" s="539"/>
    </row>
    <row r="920" spans="3:15">
      <c r="C920" s="535"/>
      <c r="D920" s="535"/>
      <c r="E920" s="535"/>
      <c r="F920" s="535"/>
      <c r="G920" s="535"/>
      <c r="H920" s="535"/>
      <c r="I920" s="535"/>
      <c r="J920" s="535"/>
      <c r="K920" s="535"/>
      <c r="L920" s="535"/>
      <c r="M920" s="535"/>
      <c r="N920" s="535"/>
      <c r="O920" s="535"/>
    </row>
    <row r="921" spans="3:15" ht="25.15" customHeight="1">
      <c r="C921" s="536" t="s">
        <v>253</v>
      </c>
      <c r="D921" s="537"/>
      <c r="E921" s="289">
        <f>'BD Team'!B92</f>
        <v>0</v>
      </c>
      <c r="F921" s="288" t="s">
        <v>254</v>
      </c>
      <c r="G921" s="538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6" t="s">
        <v>127</v>
      </c>
      <c r="M922" s="537"/>
      <c r="N922" s="541">
        <f>'BD Team'!G92</f>
        <v>0</v>
      </c>
      <c r="O922" s="542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6" t="s">
        <v>246</v>
      </c>
      <c r="M923" s="537"/>
      <c r="N923" s="539" t="str">
        <f>$F$6</f>
        <v>Anodized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6" t="s">
        <v>177</v>
      </c>
      <c r="M924" s="537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6" t="s">
        <v>247</v>
      </c>
      <c r="M925" s="537"/>
      <c r="N925" s="542" t="s">
        <v>255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6" t="s">
        <v>248</v>
      </c>
      <c r="M926" s="537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6" t="s">
        <v>249</v>
      </c>
      <c r="M927" s="537"/>
      <c r="N927" s="538">
        <f>'BD Team'!J92</f>
        <v>0</v>
      </c>
      <c r="O927" s="538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6" t="s">
        <v>250</v>
      </c>
      <c r="M928" s="537"/>
      <c r="N928" s="538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6" t="s">
        <v>251</v>
      </c>
      <c r="M929" s="537"/>
      <c r="N929" s="538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6" t="s">
        <v>252</v>
      </c>
      <c r="M930" s="537"/>
      <c r="N930" s="538">
        <f>'BD Team'!F92</f>
        <v>0</v>
      </c>
      <c r="O930" s="539"/>
    </row>
    <row r="931" spans="3:15">
      <c r="C931" s="535"/>
      <c r="D931" s="535"/>
      <c r="E931" s="535"/>
      <c r="F931" s="535"/>
      <c r="G931" s="535"/>
      <c r="H931" s="535"/>
      <c r="I931" s="535"/>
      <c r="J931" s="535"/>
      <c r="K931" s="535"/>
      <c r="L931" s="535"/>
      <c r="M931" s="535"/>
      <c r="N931" s="535"/>
      <c r="O931" s="535"/>
    </row>
    <row r="932" spans="3:15" ht="25.15" customHeight="1">
      <c r="C932" s="536" t="s">
        <v>253</v>
      </c>
      <c r="D932" s="537"/>
      <c r="E932" s="289">
        <f>'BD Team'!B93</f>
        <v>0</v>
      </c>
      <c r="F932" s="288" t="s">
        <v>254</v>
      </c>
      <c r="G932" s="538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6" t="s">
        <v>127</v>
      </c>
      <c r="M933" s="537"/>
      <c r="N933" s="541">
        <f>'BD Team'!G93</f>
        <v>0</v>
      </c>
      <c r="O933" s="542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6" t="s">
        <v>246</v>
      </c>
      <c r="M934" s="537"/>
      <c r="N934" s="539" t="str">
        <f>$F$6</f>
        <v>Anodized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6" t="s">
        <v>177</v>
      </c>
      <c r="M935" s="537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6" t="s">
        <v>247</v>
      </c>
      <c r="M936" s="537"/>
      <c r="N936" s="542" t="s">
        <v>255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6" t="s">
        <v>248</v>
      </c>
      <c r="M937" s="537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6" t="s">
        <v>249</v>
      </c>
      <c r="M938" s="537"/>
      <c r="N938" s="538">
        <f>'BD Team'!J93</f>
        <v>0</v>
      </c>
      <c r="O938" s="538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6" t="s">
        <v>250</v>
      </c>
      <c r="M939" s="537"/>
      <c r="N939" s="538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6" t="s">
        <v>251</v>
      </c>
      <c r="M940" s="537"/>
      <c r="N940" s="538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6" t="s">
        <v>252</v>
      </c>
      <c r="M941" s="537"/>
      <c r="N941" s="538">
        <f>'BD Team'!F93</f>
        <v>0</v>
      </c>
      <c r="O941" s="539"/>
    </row>
    <row r="942" spans="3:15">
      <c r="C942" s="535"/>
      <c r="D942" s="535"/>
      <c r="E942" s="535"/>
      <c r="F942" s="535"/>
      <c r="G942" s="535"/>
      <c r="H942" s="535"/>
      <c r="I942" s="535"/>
      <c r="J942" s="535"/>
      <c r="K942" s="535"/>
      <c r="L942" s="535"/>
      <c r="M942" s="535"/>
      <c r="N942" s="535"/>
      <c r="O942" s="535"/>
    </row>
    <row r="943" spans="3:15" ht="25.15" customHeight="1">
      <c r="C943" s="536" t="s">
        <v>253</v>
      </c>
      <c r="D943" s="537"/>
      <c r="E943" s="289">
        <f>'BD Team'!B94</f>
        <v>0</v>
      </c>
      <c r="F943" s="288" t="s">
        <v>254</v>
      </c>
      <c r="G943" s="538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6" t="s">
        <v>127</v>
      </c>
      <c r="M944" s="537"/>
      <c r="N944" s="541">
        <f>'BD Team'!G94</f>
        <v>0</v>
      </c>
      <c r="O944" s="542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6" t="s">
        <v>246</v>
      </c>
      <c r="M945" s="537"/>
      <c r="N945" s="539" t="str">
        <f>$F$6</f>
        <v>Anodized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6" t="s">
        <v>177</v>
      </c>
      <c r="M946" s="537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6" t="s">
        <v>247</v>
      </c>
      <c r="M947" s="537"/>
      <c r="N947" s="542" t="s">
        <v>255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6" t="s">
        <v>248</v>
      </c>
      <c r="M948" s="537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6" t="s">
        <v>249</v>
      </c>
      <c r="M949" s="537"/>
      <c r="N949" s="538">
        <f>'BD Team'!J94</f>
        <v>0</v>
      </c>
      <c r="O949" s="538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6" t="s">
        <v>250</v>
      </c>
      <c r="M950" s="537"/>
      <c r="N950" s="538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6" t="s">
        <v>251</v>
      </c>
      <c r="M951" s="537"/>
      <c r="N951" s="538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6" t="s">
        <v>252</v>
      </c>
      <c r="M952" s="537"/>
      <c r="N952" s="538">
        <f>'BD Team'!F94</f>
        <v>0</v>
      </c>
      <c r="O952" s="539"/>
    </row>
    <row r="953" spans="3:15">
      <c r="C953" s="535"/>
      <c r="D953" s="535"/>
      <c r="E953" s="535"/>
      <c r="F953" s="535"/>
      <c r="G953" s="535"/>
      <c r="H953" s="535"/>
      <c r="I953" s="535"/>
      <c r="J953" s="535"/>
      <c r="K953" s="535"/>
      <c r="L953" s="535"/>
      <c r="M953" s="535"/>
      <c r="N953" s="535"/>
      <c r="O953" s="535"/>
    </row>
    <row r="954" spans="3:15" ht="25.15" customHeight="1">
      <c r="C954" s="536" t="s">
        <v>253</v>
      </c>
      <c r="D954" s="537"/>
      <c r="E954" s="289">
        <f>'BD Team'!B95</f>
        <v>0</v>
      </c>
      <c r="F954" s="288" t="s">
        <v>254</v>
      </c>
      <c r="G954" s="538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6" t="s">
        <v>127</v>
      </c>
      <c r="M955" s="537"/>
      <c r="N955" s="541">
        <f>'BD Team'!G95</f>
        <v>0</v>
      </c>
      <c r="O955" s="542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6" t="s">
        <v>246</v>
      </c>
      <c r="M956" s="537"/>
      <c r="N956" s="539" t="str">
        <f>$F$6</f>
        <v>Anodized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6" t="s">
        <v>177</v>
      </c>
      <c r="M957" s="537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6" t="s">
        <v>247</v>
      </c>
      <c r="M958" s="537"/>
      <c r="N958" s="542" t="s">
        <v>255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6" t="s">
        <v>248</v>
      </c>
      <c r="M959" s="537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6" t="s">
        <v>249</v>
      </c>
      <c r="M960" s="537"/>
      <c r="N960" s="538">
        <f>'BD Team'!J95</f>
        <v>0</v>
      </c>
      <c r="O960" s="538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6" t="s">
        <v>250</v>
      </c>
      <c r="M961" s="537"/>
      <c r="N961" s="538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6" t="s">
        <v>251</v>
      </c>
      <c r="M962" s="537"/>
      <c r="N962" s="538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6" t="s">
        <v>252</v>
      </c>
      <c r="M963" s="537"/>
      <c r="N963" s="538">
        <f>'BD Team'!F95</f>
        <v>0</v>
      </c>
      <c r="O963" s="539"/>
    </row>
    <row r="964" spans="3:15">
      <c r="C964" s="535"/>
      <c r="D964" s="535"/>
      <c r="E964" s="535"/>
      <c r="F964" s="535"/>
      <c r="G964" s="535"/>
      <c r="H964" s="535"/>
      <c r="I964" s="535"/>
      <c r="J964" s="535"/>
      <c r="K964" s="535"/>
      <c r="L964" s="535"/>
      <c r="M964" s="535"/>
      <c r="N964" s="535"/>
      <c r="O964" s="535"/>
    </row>
    <row r="965" spans="3:15" ht="25.15" customHeight="1">
      <c r="C965" s="536" t="s">
        <v>253</v>
      </c>
      <c r="D965" s="537"/>
      <c r="E965" s="289">
        <f>'BD Team'!B96</f>
        <v>0</v>
      </c>
      <c r="F965" s="288" t="s">
        <v>254</v>
      </c>
      <c r="G965" s="538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6" t="s">
        <v>127</v>
      </c>
      <c r="M966" s="537"/>
      <c r="N966" s="541">
        <f>'BD Team'!G96</f>
        <v>0</v>
      </c>
      <c r="O966" s="542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6" t="s">
        <v>246</v>
      </c>
      <c r="M967" s="537"/>
      <c r="N967" s="539" t="str">
        <f>$F$6</f>
        <v>Anodized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6" t="s">
        <v>177</v>
      </c>
      <c r="M968" s="537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6" t="s">
        <v>247</v>
      </c>
      <c r="M969" s="537"/>
      <c r="N969" s="542" t="s">
        <v>255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6" t="s">
        <v>248</v>
      </c>
      <c r="M970" s="537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6" t="s">
        <v>249</v>
      </c>
      <c r="M971" s="537"/>
      <c r="N971" s="538">
        <f>'BD Team'!J96</f>
        <v>0</v>
      </c>
      <c r="O971" s="538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6" t="s">
        <v>250</v>
      </c>
      <c r="M972" s="537"/>
      <c r="N972" s="538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6" t="s">
        <v>251</v>
      </c>
      <c r="M973" s="537"/>
      <c r="N973" s="538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6" t="s">
        <v>252</v>
      </c>
      <c r="M974" s="537"/>
      <c r="N974" s="538">
        <f>'BD Team'!F96</f>
        <v>0</v>
      </c>
      <c r="O974" s="539"/>
    </row>
    <row r="975" spans="3:15">
      <c r="C975" s="535"/>
      <c r="D975" s="535"/>
      <c r="E975" s="535"/>
      <c r="F975" s="535"/>
      <c r="G975" s="535"/>
      <c r="H975" s="535"/>
      <c r="I975" s="535"/>
      <c r="J975" s="535"/>
      <c r="K975" s="535"/>
      <c r="L975" s="535"/>
      <c r="M975" s="535"/>
      <c r="N975" s="535"/>
      <c r="O975" s="535"/>
    </row>
    <row r="976" spans="3:15" ht="25.15" customHeight="1">
      <c r="C976" s="536" t="s">
        <v>253</v>
      </c>
      <c r="D976" s="537"/>
      <c r="E976" s="289">
        <f>'BD Team'!B97</f>
        <v>0</v>
      </c>
      <c r="F976" s="288" t="s">
        <v>254</v>
      </c>
      <c r="G976" s="538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6" t="s">
        <v>127</v>
      </c>
      <c r="M977" s="537"/>
      <c r="N977" s="541">
        <f>'BD Team'!G97</f>
        <v>0</v>
      </c>
      <c r="O977" s="542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6" t="s">
        <v>246</v>
      </c>
      <c r="M978" s="537"/>
      <c r="N978" s="539" t="str">
        <f>$F$6</f>
        <v>Anodized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6" t="s">
        <v>177</v>
      </c>
      <c r="M979" s="537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6" t="s">
        <v>247</v>
      </c>
      <c r="M980" s="537"/>
      <c r="N980" s="542" t="s">
        <v>255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6" t="s">
        <v>248</v>
      </c>
      <c r="M981" s="537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6" t="s">
        <v>249</v>
      </c>
      <c r="M982" s="537"/>
      <c r="N982" s="538">
        <f>'BD Team'!J97</f>
        <v>0</v>
      </c>
      <c r="O982" s="538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6" t="s">
        <v>250</v>
      </c>
      <c r="M983" s="537"/>
      <c r="N983" s="538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6" t="s">
        <v>251</v>
      </c>
      <c r="M984" s="537"/>
      <c r="N984" s="538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6" t="s">
        <v>252</v>
      </c>
      <c r="M985" s="537"/>
      <c r="N985" s="538">
        <f>'BD Team'!F97</f>
        <v>0</v>
      </c>
      <c r="O985" s="539"/>
    </row>
    <row r="986" spans="3:15">
      <c r="C986" s="535"/>
      <c r="D986" s="535"/>
      <c r="E986" s="535"/>
      <c r="F986" s="535"/>
      <c r="G986" s="535"/>
      <c r="H986" s="535"/>
      <c r="I986" s="535"/>
      <c r="J986" s="535"/>
      <c r="K986" s="535"/>
      <c r="L986" s="535"/>
      <c r="M986" s="535"/>
      <c r="N986" s="535"/>
      <c r="O986" s="535"/>
    </row>
    <row r="987" spans="3:15" ht="25.15" customHeight="1">
      <c r="C987" s="536" t="s">
        <v>253</v>
      </c>
      <c r="D987" s="537"/>
      <c r="E987" s="289">
        <f>'BD Team'!B98</f>
        <v>0</v>
      </c>
      <c r="F987" s="288" t="s">
        <v>254</v>
      </c>
      <c r="G987" s="538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6" t="s">
        <v>127</v>
      </c>
      <c r="M988" s="537"/>
      <c r="N988" s="541">
        <f>'BD Team'!G98</f>
        <v>0</v>
      </c>
      <c r="O988" s="542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6" t="s">
        <v>246</v>
      </c>
      <c r="M989" s="537"/>
      <c r="N989" s="539" t="str">
        <f>$F$6</f>
        <v>Anodized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6" t="s">
        <v>177</v>
      </c>
      <c r="M990" s="537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6" t="s">
        <v>247</v>
      </c>
      <c r="M991" s="537"/>
      <c r="N991" s="542" t="s">
        <v>255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6" t="s">
        <v>248</v>
      </c>
      <c r="M992" s="537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6" t="s">
        <v>249</v>
      </c>
      <c r="M993" s="537"/>
      <c r="N993" s="538">
        <f>'BD Team'!J98</f>
        <v>0</v>
      </c>
      <c r="O993" s="538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6" t="s">
        <v>250</v>
      </c>
      <c r="M994" s="537"/>
      <c r="N994" s="538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6" t="s">
        <v>251</v>
      </c>
      <c r="M995" s="537"/>
      <c r="N995" s="538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6" t="s">
        <v>252</v>
      </c>
      <c r="M996" s="537"/>
      <c r="N996" s="538">
        <f>'BD Team'!F98</f>
        <v>0</v>
      </c>
      <c r="O996" s="539"/>
    </row>
    <row r="997" spans="3:15">
      <c r="C997" s="535"/>
      <c r="D997" s="535"/>
      <c r="E997" s="535"/>
      <c r="F997" s="535"/>
      <c r="G997" s="535"/>
      <c r="H997" s="535"/>
      <c r="I997" s="535"/>
      <c r="J997" s="535"/>
      <c r="K997" s="535"/>
      <c r="L997" s="535"/>
      <c r="M997" s="535"/>
      <c r="N997" s="535"/>
      <c r="O997" s="535"/>
    </row>
    <row r="998" spans="3:15" ht="25.15" customHeight="1">
      <c r="C998" s="536" t="s">
        <v>253</v>
      </c>
      <c r="D998" s="537"/>
      <c r="E998" s="289">
        <f>'BD Team'!B99</f>
        <v>0</v>
      </c>
      <c r="F998" s="288" t="s">
        <v>254</v>
      </c>
      <c r="G998" s="538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6" t="s">
        <v>127</v>
      </c>
      <c r="M999" s="537"/>
      <c r="N999" s="541">
        <f>'BD Team'!G99</f>
        <v>0</v>
      </c>
      <c r="O999" s="542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6" t="s">
        <v>246</v>
      </c>
      <c r="M1000" s="537"/>
      <c r="N1000" s="539" t="str">
        <f>$F$6</f>
        <v>Anodized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6" t="s">
        <v>177</v>
      </c>
      <c r="M1001" s="537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6" t="s">
        <v>247</v>
      </c>
      <c r="M1002" s="537"/>
      <c r="N1002" s="542" t="s">
        <v>255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6" t="s">
        <v>248</v>
      </c>
      <c r="M1003" s="537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6" t="s">
        <v>249</v>
      </c>
      <c r="M1004" s="537"/>
      <c r="N1004" s="538">
        <f>'BD Team'!J99</f>
        <v>0</v>
      </c>
      <c r="O1004" s="538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6" t="s">
        <v>250</v>
      </c>
      <c r="M1005" s="537"/>
      <c r="N1005" s="538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6" t="s">
        <v>251</v>
      </c>
      <c r="M1006" s="537"/>
      <c r="N1006" s="538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6" t="s">
        <v>252</v>
      </c>
      <c r="M1007" s="537"/>
      <c r="N1007" s="538">
        <f>'BD Team'!F99</f>
        <v>0</v>
      </c>
      <c r="O1007" s="539"/>
    </row>
    <row r="1008" spans="3:15">
      <c r="C1008" s="535"/>
      <c r="D1008" s="535"/>
      <c r="E1008" s="535"/>
      <c r="F1008" s="535"/>
      <c r="G1008" s="535"/>
      <c r="H1008" s="535"/>
      <c r="I1008" s="535"/>
      <c r="J1008" s="535"/>
      <c r="K1008" s="535"/>
      <c r="L1008" s="535"/>
      <c r="M1008" s="535"/>
      <c r="N1008" s="535"/>
      <c r="O1008" s="535"/>
    </row>
    <row r="1009" spans="3:15" ht="25.15" customHeight="1">
      <c r="C1009" s="536" t="s">
        <v>253</v>
      </c>
      <c r="D1009" s="537"/>
      <c r="E1009" s="289">
        <f>'BD Team'!B100</f>
        <v>0</v>
      </c>
      <c r="F1009" s="288" t="s">
        <v>254</v>
      </c>
      <c r="G1009" s="538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6" t="s">
        <v>127</v>
      </c>
      <c r="M1010" s="537"/>
      <c r="N1010" s="541">
        <f>'BD Team'!G100</f>
        <v>0</v>
      </c>
      <c r="O1010" s="542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6" t="s">
        <v>246</v>
      </c>
      <c r="M1011" s="537"/>
      <c r="N1011" s="539" t="str">
        <f>$F$6</f>
        <v>Anodized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6" t="s">
        <v>177</v>
      </c>
      <c r="M1012" s="537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6" t="s">
        <v>247</v>
      </c>
      <c r="M1013" s="537"/>
      <c r="N1013" s="542" t="s">
        <v>255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6" t="s">
        <v>248</v>
      </c>
      <c r="M1014" s="537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6" t="s">
        <v>249</v>
      </c>
      <c r="M1015" s="537"/>
      <c r="N1015" s="538">
        <f>'BD Team'!J100</f>
        <v>0</v>
      </c>
      <c r="O1015" s="538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6" t="s">
        <v>250</v>
      </c>
      <c r="M1016" s="537"/>
      <c r="N1016" s="538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6" t="s">
        <v>251</v>
      </c>
      <c r="M1017" s="537"/>
      <c r="N1017" s="538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6" t="s">
        <v>252</v>
      </c>
      <c r="M1018" s="537"/>
      <c r="N1018" s="538">
        <f>'BD Team'!F100</f>
        <v>0</v>
      </c>
      <c r="O1018" s="539"/>
    </row>
    <row r="1019" spans="3:15">
      <c r="C1019" s="535"/>
      <c r="D1019" s="535"/>
      <c r="E1019" s="535"/>
      <c r="F1019" s="535"/>
      <c r="G1019" s="535"/>
      <c r="H1019" s="535"/>
      <c r="I1019" s="535"/>
      <c r="J1019" s="535"/>
      <c r="K1019" s="535"/>
      <c r="L1019" s="535"/>
      <c r="M1019" s="535"/>
      <c r="N1019" s="535"/>
      <c r="O1019" s="535"/>
    </row>
    <row r="1020" spans="3:15" ht="25.15" customHeight="1">
      <c r="C1020" s="536" t="s">
        <v>253</v>
      </c>
      <c r="D1020" s="537"/>
      <c r="E1020" s="289">
        <f>'BD Team'!B101</f>
        <v>0</v>
      </c>
      <c r="F1020" s="288" t="s">
        <v>254</v>
      </c>
      <c r="G1020" s="538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6" t="s">
        <v>127</v>
      </c>
      <c r="M1021" s="537"/>
      <c r="N1021" s="541">
        <f>'BD Team'!G101</f>
        <v>0</v>
      </c>
      <c r="O1021" s="542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6" t="s">
        <v>246</v>
      </c>
      <c r="M1022" s="537"/>
      <c r="N1022" s="539" t="str">
        <f>$F$6</f>
        <v>Anodized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6" t="s">
        <v>177</v>
      </c>
      <c r="M1023" s="537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6" t="s">
        <v>247</v>
      </c>
      <c r="M1024" s="537"/>
      <c r="N1024" s="542" t="s">
        <v>255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6" t="s">
        <v>248</v>
      </c>
      <c r="M1025" s="537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6" t="s">
        <v>249</v>
      </c>
      <c r="M1026" s="537"/>
      <c r="N1026" s="538">
        <f>'BD Team'!J101</f>
        <v>0</v>
      </c>
      <c r="O1026" s="538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6" t="s">
        <v>250</v>
      </c>
      <c r="M1027" s="537"/>
      <c r="N1027" s="538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6" t="s">
        <v>251</v>
      </c>
      <c r="M1028" s="537"/>
      <c r="N1028" s="538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6" t="s">
        <v>252</v>
      </c>
      <c r="M1029" s="537"/>
      <c r="N1029" s="538">
        <f>'BD Team'!F101</f>
        <v>0</v>
      </c>
      <c r="O1029" s="539"/>
    </row>
    <row r="1030" spans="3:15">
      <c r="C1030" s="535"/>
      <c r="D1030" s="535"/>
      <c r="E1030" s="535"/>
      <c r="F1030" s="535"/>
      <c r="G1030" s="535"/>
      <c r="H1030" s="535"/>
      <c r="I1030" s="535"/>
      <c r="J1030" s="535"/>
      <c r="K1030" s="535"/>
      <c r="L1030" s="535"/>
      <c r="M1030" s="535"/>
      <c r="N1030" s="535"/>
      <c r="O1030" s="535"/>
    </row>
    <row r="1031" spans="3:15" ht="25.15" customHeight="1">
      <c r="C1031" s="536" t="s">
        <v>253</v>
      </c>
      <c r="D1031" s="537"/>
      <c r="E1031" s="289">
        <f>'BD Team'!B102</f>
        <v>0</v>
      </c>
      <c r="F1031" s="288" t="s">
        <v>254</v>
      </c>
      <c r="G1031" s="538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6" t="s">
        <v>127</v>
      </c>
      <c r="M1032" s="537"/>
      <c r="N1032" s="541">
        <f>'BD Team'!G102</f>
        <v>0</v>
      </c>
      <c r="O1032" s="542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6" t="s">
        <v>246</v>
      </c>
      <c r="M1033" s="537"/>
      <c r="N1033" s="539" t="str">
        <f>$F$6</f>
        <v>Anodized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6" t="s">
        <v>177</v>
      </c>
      <c r="M1034" s="537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6" t="s">
        <v>247</v>
      </c>
      <c r="M1035" s="537"/>
      <c r="N1035" s="542" t="s">
        <v>255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6" t="s">
        <v>248</v>
      </c>
      <c r="M1036" s="537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6" t="s">
        <v>249</v>
      </c>
      <c r="M1037" s="537"/>
      <c r="N1037" s="538">
        <f>'BD Team'!J102</f>
        <v>0</v>
      </c>
      <c r="O1037" s="538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6" t="s">
        <v>250</v>
      </c>
      <c r="M1038" s="537"/>
      <c r="N1038" s="538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6" t="s">
        <v>251</v>
      </c>
      <c r="M1039" s="537"/>
      <c r="N1039" s="538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6" t="s">
        <v>252</v>
      </c>
      <c r="M1040" s="537"/>
      <c r="N1040" s="538">
        <f>'BD Team'!F102</f>
        <v>0</v>
      </c>
      <c r="O1040" s="539"/>
    </row>
    <row r="1041" spans="3:15">
      <c r="C1041" s="535"/>
      <c r="D1041" s="535"/>
      <c r="E1041" s="535"/>
      <c r="F1041" s="535"/>
      <c r="G1041" s="535"/>
      <c r="H1041" s="535"/>
      <c r="I1041" s="535"/>
      <c r="J1041" s="535"/>
      <c r="K1041" s="535"/>
      <c r="L1041" s="535"/>
      <c r="M1041" s="535"/>
      <c r="N1041" s="535"/>
      <c r="O1041" s="535"/>
    </row>
    <row r="1042" spans="3:15" ht="25.15" customHeight="1">
      <c r="C1042" s="536" t="s">
        <v>253</v>
      </c>
      <c r="D1042" s="537"/>
      <c r="E1042" s="289">
        <f>'BD Team'!B103</f>
        <v>0</v>
      </c>
      <c r="F1042" s="288" t="s">
        <v>254</v>
      </c>
      <c r="G1042" s="538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6" t="s">
        <v>127</v>
      </c>
      <c r="M1043" s="537"/>
      <c r="N1043" s="541">
        <f>'BD Team'!G103</f>
        <v>0</v>
      </c>
      <c r="O1043" s="542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6" t="s">
        <v>246</v>
      </c>
      <c r="M1044" s="537"/>
      <c r="N1044" s="539" t="str">
        <f>$F$6</f>
        <v>Anodized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6" t="s">
        <v>177</v>
      </c>
      <c r="M1045" s="537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6" t="s">
        <v>247</v>
      </c>
      <c r="M1046" s="537"/>
      <c r="N1046" s="542" t="s">
        <v>255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6" t="s">
        <v>248</v>
      </c>
      <c r="M1047" s="537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6" t="s">
        <v>249</v>
      </c>
      <c r="M1048" s="537"/>
      <c r="N1048" s="538">
        <f>'BD Team'!J103</f>
        <v>0</v>
      </c>
      <c r="O1048" s="538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6" t="s">
        <v>250</v>
      </c>
      <c r="M1049" s="537"/>
      <c r="N1049" s="538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6" t="s">
        <v>251</v>
      </c>
      <c r="M1050" s="537"/>
      <c r="N1050" s="538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6" t="s">
        <v>252</v>
      </c>
      <c r="M1051" s="537"/>
      <c r="N1051" s="538">
        <f>'BD Team'!F103</f>
        <v>0</v>
      </c>
      <c r="O1051" s="539"/>
    </row>
    <row r="1052" spans="3:15">
      <c r="C1052" s="535"/>
      <c r="D1052" s="535"/>
      <c r="E1052" s="535"/>
      <c r="F1052" s="535"/>
      <c r="G1052" s="535"/>
      <c r="H1052" s="535"/>
      <c r="I1052" s="535"/>
      <c r="J1052" s="535"/>
      <c r="K1052" s="535"/>
      <c r="L1052" s="535"/>
      <c r="M1052" s="535"/>
      <c r="N1052" s="535"/>
      <c r="O1052" s="535"/>
    </row>
    <row r="1053" spans="3:15" ht="25.15" customHeight="1">
      <c r="C1053" s="536" t="s">
        <v>253</v>
      </c>
      <c r="D1053" s="537"/>
      <c r="E1053" s="289">
        <f>'BD Team'!B104</f>
        <v>0</v>
      </c>
      <c r="F1053" s="288" t="s">
        <v>254</v>
      </c>
      <c r="G1053" s="538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6" t="s">
        <v>127</v>
      </c>
      <c r="M1054" s="537"/>
      <c r="N1054" s="541">
        <f>'BD Team'!G104</f>
        <v>0</v>
      </c>
      <c r="O1054" s="542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6" t="s">
        <v>246</v>
      </c>
      <c r="M1055" s="537"/>
      <c r="N1055" s="539" t="str">
        <f>$F$6</f>
        <v>Anodized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6" t="s">
        <v>177</v>
      </c>
      <c r="M1056" s="537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6" t="s">
        <v>247</v>
      </c>
      <c r="M1057" s="537"/>
      <c r="N1057" s="542" t="s">
        <v>255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6" t="s">
        <v>248</v>
      </c>
      <c r="M1058" s="537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6" t="s">
        <v>249</v>
      </c>
      <c r="M1059" s="537"/>
      <c r="N1059" s="538">
        <f>'BD Team'!J104</f>
        <v>0</v>
      </c>
      <c r="O1059" s="538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6" t="s">
        <v>250</v>
      </c>
      <c r="M1060" s="537"/>
      <c r="N1060" s="538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6" t="s">
        <v>251</v>
      </c>
      <c r="M1061" s="537"/>
      <c r="N1061" s="538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6" t="s">
        <v>252</v>
      </c>
      <c r="M1062" s="537"/>
      <c r="N1062" s="538">
        <f>'BD Team'!F104</f>
        <v>0</v>
      </c>
      <c r="O1062" s="539"/>
    </row>
    <row r="1063" spans="3:15">
      <c r="C1063" s="535"/>
      <c r="D1063" s="535"/>
      <c r="E1063" s="535"/>
      <c r="F1063" s="535"/>
      <c r="G1063" s="535"/>
      <c r="H1063" s="535"/>
      <c r="I1063" s="535"/>
      <c r="J1063" s="535"/>
      <c r="K1063" s="535"/>
      <c r="L1063" s="535"/>
      <c r="M1063" s="535"/>
      <c r="N1063" s="535"/>
      <c r="O1063" s="535"/>
    </row>
    <row r="1064" spans="3:15" ht="25.15" customHeight="1">
      <c r="C1064" s="536" t="s">
        <v>253</v>
      </c>
      <c r="D1064" s="537"/>
      <c r="E1064" s="289">
        <f>'BD Team'!B105</f>
        <v>0</v>
      </c>
      <c r="F1064" s="288" t="s">
        <v>254</v>
      </c>
      <c r="G1064" s="538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6" t="s">
        <v>127</v>
      </c>
      <c r="M1065" s="537"/>
      <c r="N1065" s="541">
        <f>'BD Team'!G105</f>
        <v>0</v>
      </c>
      <c r="O1065" s="542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6" t="s">
        <v>246</v>
      </c>
      <c r="M1066" s="537"/>
      <c r="N1066" s="539" t="str">
        <f>$F$6</f>
        <v>Anodized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6" t="s">
        <v>177</v>
      </c>
      <c r="M1067" s="537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6" t="s">
        <v>247</v>
      </c>
      <c r="M1068" s="537"/>
      <c r="N1068" s="542" t="s">
        <v>255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6" t="s">
        <v>248</v>
      </c>
      <c r="M1069" s="537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6" t="s">
        <v>249</v>
      </c>
      <c r="M1070" s="537"/>
      <c r="N1070" s="538">
        <f>'BD Team'!J105</f>
        <v>0</v>
      </c>
      <c r="O1070" s="538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6" t="s">
        <v>250</v>
      </c>
      <c r="M1071" s="537"/>
      <c r="N1071" s="538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6" t="s">
        <v>251</v>
      </c>
      <c r="M1072" s="537"/>
      <c r="N1072" s="538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6" t="s">
        <v>252</v>
      </c>
      <c r="M1073" s="537"/>
      <c r="N1073" s="538">
        <f>'BD Team'!F105</f>
        <v>0</v>
      </c>
      <c r="O1073" s="539"/>
    </row>
    <row r="1074" spans="3:15">
      <c r="C1074" s="535"/>
      <c r="D1074" s="535"/>
      <c r="E1074" s="535"/>
      <c r="F1074" s="535"/>
      <c r="G1074" s="535"/>
      <c r="H1074" s="535"/>
      <c r="I1074" s="535"/>
      <c r="J1074" s="535"/>
      <c r="K1074" s="535"/>
      <c r="L1074" s="535"/>
      <c r="M1074" s="535"/>
      <c r="N1074" s="535"/>
      <c r="O1074" s="535"/>
    </row>
    <row r="1075" spans="3:15" ht="25.15" customHeight="1">
      <c r="C1075" s="536" t="s">
        <v>253</v>
      </c>
      <c r="D1075" s="537"/>
      <c r="E1075" s="289">
        <f>'BD Team'!B106</f>
        <v>0</v>
      </c>
      <c r="F1075" s="288" t="s">
        <v>254</v>
      </c>
      <c r="G1075" s="538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6" t="s">
        <v>127</v>
      </c>
      <c r="M1076" s="537"/>
      <c r="N1076" s="541">
        <f>'BD Team'!G106</f>
        <v>0</v>
      </c>
      <c r="O1076" s="542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6" t="s">
        <v>246</v>
      </c>
      <c r="M1077" s="537"/>
      <c r="N1077" s="539" t="str">
        <f>$F$6</f>
        <v>Anodized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6" t="s">
        <v>177</v>
      </c>
      <c r="M1078" s="537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6" t="s">
        <v>247</v>
      </c>
      <c r="M1079" s="537"/>
      <c r="N1079" s="542" t="s">
        <v>255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6" t="s">
        <v>248</v>
      </c>
      <c r="M1080" s="537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6" t="s">
        <v>249</v>
      </c>
      <c r="M1081" s="537"/>
      <c r="N1081" s="538">
        <f>'BD Team'!J106</f>
        <v>0</v>
      </c>
      <c r="O1081" s="538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6" t="s">
        <v>250</v>
      </c>
      <c r="M1082" s="537"/>
      <c r="N1082" s="538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6" t="s">
        <v>251</v>
      </c>
      <c r="M1083" s="537"/>
      <c r="N1083" s="538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6" t="s">
        <v>252</v>
      </c>
      <c r="M1084" s="537"/>
      <c r="N1084" s="538">
        <f>'BD Team'!F106</f>
        <v>0</v>
      </c>
      <c r="O1084" s="539"/>
    </row>
    <row r="1085" spans="3:15">
      <c r="C1085" s="535"/>
      <c r="D1085" s="535"/>
      <c r="E1085" s="535"/>
      <c r="F1085" s="535"/>
      <c r="G1085" s="535"/>
      <c r="H1085" s="535"/>
      <c r="I1085" s="535"/>
      <c r="J1085" s="535"/>
      <c r="K1085" s="535"/>
      <c r="L1085" s="535"/>
      <c r="M1085" s="535"/>
      <c r="N1085" s="535"/>
      <c r="O1085" s="535"/>
    </row>
    <row r="1086" spans="3:15" ht="25.15" customHeight="1">
      <c r="C1086" s="536" t="s">
        <v>253</v>
      </c>
      <c r="D1086" s="537"/>
      <c r="E1086" s="289">
        <f>'BD Team'!B107</f>
        <v>0</v>
      </c>
      <c r="F1086" s="288" t="s">
        <v>254</v>
      </c>
      <c r="G1086" s="538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6" t="s">
        <v>127</v>
      </c>
      <c r="M1087" s="537"/>
      <c r="N1087" s="541">
        <f>'BD Team'!G107</f>
        <v>0</v>
      </c>
      <c r="O1087" s="542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6" t="s">
        <v>246</v>
      </c>
      <c r="M1088" s="537"/>
      <c r="N1088" s="539" t="str">
        <f>$F$6</f>
        <v>Anodized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6" t="s">
        <v>177</v>
      </c>
      <c r="M1089" s="537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6" t="s">
        <v>247</v>
      </c>
      <c r="M1090" s="537"/>
      <c r="N1090" s="542" t="s">
        <v>255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6" t="s">
        <v>248</v>
      </c>
      <c r="M1091" s="537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6" t="s">
        <v>249</v>
      </c>
      <c r="M1092" s="537"/>
      <c r="N1092" s="538">
        <f>'BD Team'!J107</f>
        <v>0</v>
      </c>
      <c r="O1092" s="538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6" t="s">
        <v>250</v>
      </c>
      <c r="M1093" s="537"/>
      <c r="N1093" s="538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6" t="s">
        <v>251</v>
      </c>
      <c r="M1094" s="537"/>
      <c r="N1094" s="538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6" t="s">
        <v>252</v>
      </c>
      <c r="M1095" s="537"/>
      <c r="N1095" s="538">
        <f>'BD Team'!F107</f>
        <v>0</v>
      </c>
      <c r="O1095" s="539"/>
    </row>
    <row r="1096" spans="3:15">
      <c r="C1096" s="535"/>
      <c r="D1096" s="535"/>
      <c r="E1096" s="535"/>
      <c r="F1096" s="535"/>
      <c r="G1096" s="535"/>
      <c r="H1096" s="535"/>
      <c r="I1096" s="535"/>
      <c r="J1096" s="535"/>
      <c r="K1096" s="535"/>
      <c r="L1096" s="535"/>
      <c r="M1096" s="535"/>
      <c r="N1096" s="535"/>
      <c r="O1096" s="535"/>
    </row>
    <row r="1097" spans="3:15" ht="25.15" customHeight="1">
      <c r="C1097" s="536" t="s">
        <v>253</v>
      </c>
      <c r="D1097" s="537"/>
      <c r="E1097" s="289">
        <f>'BD Team'!B108</f>
        <v>0</v>
      </c>
      <c r="F1097" s="288" t="s">
        <v>254</v>
      </c>
      <c r="G1097" s="538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6" t="s">
        <v>127</v>
      </c>
      <c r="M1098" s="537"/>
      <c r="N1098" s="541">
        <f>'BD Team'!G108</f>
        <v>0</v>
      </c>
      <c r="O1098" s="542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6" t="s">
        <v>246</v>
      </c>
      <c r="M1099" s="537"/>
      <c r="N1099" s="539" t="str">
        <f>$F$6</f>
        <v>Anodized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6" t="s">
        <v>177</v>
      </c>
      <c r="M1100" s="537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6" t="s">
        <v>247</v>
      </c>
      <c r="M1101" s="537"/>
      <c r="N1101" s="542" t="s">
        <v>255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6" t="s">
        <v>248</v>
      </c>
      <c r="M1102" s="537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6" t="s">
        <v>249</v>
      </c>
      <c r="M1103" s="537"/>
      <c r="N1103" s="538">
        <f>'BD Team'!J108</f>
        <v>0</v>
      </c>
      <c r="O1103" s="538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6" t="s">
        <v>250</v>
      </c>
      <c r="M1104" s="537"/>
      <c r="N1104" s="538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6" t="s">
        <v>251</v>
      </c>
      <c r="M1105" s="537"/>
      <c r="N1105" s="538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6" t="s">
        <v>252</v>
      </c>
      <c r="M1106" s="537"/>
      <c r="N1106" s="538">
        <f>'BD Team'!F108</f>
        <v>0</v>
      </c>
      <c r="O1106" s="539"/>
    </row>
    <row r="1107" spans="3:15">
      <c r="C1107" s="535"/>
      <c r="D1107" s="535"/>
      <c r="E1107" s="535"/>
      <c r="F1107" s="535"/>
      <c r="G1107" s="535"/>
      <c r="H1107" s="535"/>
      <c r="I1107" s="535"/>
      <c r="J1107" s="535"/>
      <c r="K1107" s="535"/>
      <c r="L1107" s="535"/>
      <c r="M1107" s="535"/>
      <c r="N1107" s="535"/>
      <c r="O1107" s="535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261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264</v>
      </c>
      <c r="D10" s="105" t="s">
        <v>101</v>
      </c>
      <c r="E10" s="105">
        <v>990</v>
      </c>
      <c r="F10" s="105"/>
      <c r="G10" s="226" t="s">
        <v>262</v>
      </c>
      <c r="H10">
        <f>E43</f>
        <v>3341.52</v>
      </c>
      <c r="J10" s="230" t="s">
        <v>121</v>
      </c>
      <c r="K10" s="225" t="s">
        <v>264</v>
      </c>
      <c r="L10" s="230" t="s">
        <v>101</v>
      </c>
      <c r="M10" s="230">
        <v>990</v>
      </c>
      <c r="N10" s="230"/>
      <c r="P10" s="230" t="s">
        <v>121</v>
      </c>
      <c r="Q10" s="225" t="s">
        <v>264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265</v>
      </c>
      <c r="D11" s="106"/>
      <c r="E11" s="105">
        <v>1000</v>
      </c>
      <c r="F11" s="105"/>
      <c r="G11" t="s">
        <v>263</v>
      </c>
      <c r="H11">
        <f>E61</f>
        <v>3274.6895999999997</v>
      </c>
      <c r="J11" s="230" t="s">
        <v>121</v>
      </c>
      <c r="K11" s="225" t="s">
        <v>265</v>
      </c>
      <c r="L11" s="106"/>
      <c r="M11" s="230">
        <v>1000</v>
      </c>
      <c r="N11" s="230"/>
      <c r="P11" s="230" t="s">
        <v>121</v>
      </c>
      <c r="Q11" s="235" t="s">
        <v>268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266</v>
      </c>
      <c r="D12" s="126" t="s">
        <v>132</v>
      </c>
      <c r="E12" s="105">
        <v>1190</v>
      </c>
      <c r="F12" s="105"/>
      <c r="G12" s="226" t="s">
        <v>272</v>
      </c>
      <c r="H12">
        <f>M43</f>
        <v>4343.9760000000006</v>
      </c>
      <c r="J12" s="230" t="s">
        <v>121</v>
      </c>
      <c r="K12" s="225" t="s">
        <v>266</v>
      </c>
      <c r="L12" s="231" t="s">
        <v>132</v>
      </c>
      <c r="M12" s="230">
        <v>1190</v>
      </c>
      <c r="N12" s="230"/>
      <c r="P12" s="230" t="s">
        <v>121</v>
      </c>
      <c r="Q12" s="235" t="s">
        <v>275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273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274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278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267</v>
      </c>
      <c r="D29" s="221" t="s">
        <v>101</v>
      </c>
      <c r="E29" s="221">
        <v>750</v>
      </c>
      <c r="F29" s="221"/>
      <c r="J29" s="230" t="s">
        <v>121</v>
      </c>
      <c r="K29" s="225" t="s">
        <v>267</v>
      </c>
      <c r="L29" s="230" t="s">
        <v>101</v>
      </c>
      <c r="M29" s="230">
        <v>750</v>
      </c>
      <c r="N29" s="230"/>
      <c r="P29" s="230" t="s">
        <v>121</v>
      </c>
      <c r="Q29" s="225" t="s">
        <v>264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268</v>
      </c>
      <c r="D30" s="106"/>
      <c r="E30" s="221">
        <v>1000</v>
      </c>
      <c r="F30" s="221"/>
      <c r="J30" s="230" t="s">
        <v>121</v>
      </c>
      <c r="K30" s="225" t="s">
        <v>268</v>
      </c>
      <c r="L30" s="106"/>
      <c r="M30" s="230">
        <v>1000</v>
      </c>
      <c r="N30" s="230"/>
      <c r="P30" s="230" t="s">
        <v>121</v>
      </c>
      <c r="Q30" s="235" t="s">
        <v>277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267</v>
      </c>
      <c r="D31" s="222" t="s">
        <v>132</v>
      </c>
      <c r="E31" s="221">
        <v>750</v>
      </c>
      <c r="F31" s="221"/>
      <c r="J31" s="230" t="s">
        <v>121</v>
      </c>
      <c r="K31" s="225" t="s">
        <v>267</v>
      </c>
      <c r="L31" s="231" t="s">
        <v>132</v>
      </c>
      <c r="M31" s="230">
        <v>750</v>
      </c>
      <c r="N31" s="230"/>
      <c r="P31" s="230" t="s">
        <v>121</v>
      </c>
      <c r="Q31" s="235" t="s">
        <v>275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271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267</v>
      </c>
      <c r="D47" s="221" t="s">
        <v>101</v>
      </c>
      <c r="E47" s="221">
        <v>750</v>
      </c>
      <c r="F47" s="221"/>
      <c r="J47" s="230" t="s">
        <v>121</v>
      </c>
      <c r="K47" s="225" t="s">
        <v>267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269</v>
      </c>
      <c r="D48" s="106"/>
      <c r="E48" s="221">
        <v>1000</v>
      </c>
      <c r="F48" s="221"/>
      <c r="J48" s="230" t="s">
        <v>121</v>
      </c>
      <c r="K48" s="225" t="s">
        <v>269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270</v>
      </c>
      <c r="D49" s="222" t="s">
        <v>132</v>
      </c>
      <c r="E49" s="221">
        <v>700</v>
      </c>
      <c r="F49" s="221"/>
      <c r="J49" s="230" t="s">
        <v>121</v>
      </c>
      <c r="K49" s="225" t="s">
        <v>270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271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9">
        <f>ROUND(Pricing!T104,0.1)</f>
        <v>1614</v>
      </c>
    </row>
    <row r="5" spans="3:5">
      <c r="C5" s="236" t="s">
        <v>394</v>
      </c>
      <c r="D5" s="236" t="s">
        <v>392</v>
      </c>
      <c r="E5" s="309">
        <f>ROUND(Pricing!U104,0.1)/40</f>
        <v>48.424999999999997</v>
      </c>
    </row>
    <row r="6" spans="3:5">
      <c r="C6" s="236" t="s">
        <v>83</v>
      </c>
      <c r="D6" s="236" t="s">
        <v>391</v>
      </c>
      <c r="E6" s="309">
        <f>ROUND(Pricing!V104,0.1)</f>
        <v>101</v>
      </c>
    </row>
    <row r="7" spans="3:5">
      <c r="C7" s="236" t="s">
        <v>398</v>
      </c>
      <c r="D7" s="236" t="s">
        <v>390</v>
      </c>
      <c r="E7" s="309">
        <f>ROUND(Pricing!W104,0.1)</f>
        <v>1614</v>
      </c>
    </row>
    <row r="8" spans="3:5">
      <c r="C8" s="236" t="s">
        <v>395</v>
      </c>
      <c r="D8" s="236" t="s">
        <v>390</v>
      </c>
      <c r="E8" s="309">
        <f>ROUND(Pricing!X104,0.1)</f>
        <v>3228</v>
      </c>
    </row>
    <row r="9" spans="3:5">
      <c r="C9" t="s">
        <v>222</v>
      </c>
      <c r="D9" s="236" t="s">
        <v>393</v>
      </c>
      <c r="E9" s="309">
        <f>ROUND(Pricing!Y104,0.1)</f>
        <v>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7"/>
  <sheetViews>
    <sheetView topLeftCell="A33" workbookViewId="0">
      <selection activeCell="A48" sqref="A48:XFD6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404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405</v>
      </c>
      <c r="G1" s="315" t="s">
        <v>406</v>
      </c>
      <c r="H1" s="315" t="s">
        <v>407</v>
      </c>
      <c r="I1" s="315" t="s">
        <v>114</v>
      </c>
      <c r="J1" s="315" t="s">
        <v>408</v>
      </c>
      <c r="K1" s="315" t="s">
        <v>9</v>
      </c>
      <c r="L1" s="316" t="s">
        <v>215</v>
      </c>
      <c r="M1" s="315" t="s">
        <v>218</v>
      </c>
      <c r="N1" s="315" t="s">
        <v>409</v>
      </c>
      <c r="O1" s="315" t="s">
        <v>410</v>
      </c>
      <c r="P1" s="315" t="s">
        <v>189</v>
      </c>
      <c r="Q1" s="315" t="s">
        <v>411</v>
      </c>
      <c r="R1" s="315" t="s">
        <v>412</v>
      </c>
      <c r="S1" s="315" t="s">
        <v>413</v>
      </c>
      <c r="T1" s="315" t="s">
        <v>276</v>
      </c>
      <c r="U1" s="315" t="s">
        <v>414</v>
      </c>
    </row>
    <row r="2" spans="1:21">
      <c r="A2" s="318" t="str">
        <f>'BD Team'!B9</f>
        <v>SD1</v>
      </c>
      <c r="B2" s="318" t="str">
        <f>'BD Team'!C9</f>
        <v>M14600</v>
      </c>
      <c r="C2" s="318" t="str">
        <f>'BD Team'!D9</f>
        <v>3 TRACK 4 SHUTTER SLIDING DOOR</v>
      </c>
      <c r="D2" s="318" t="str">
        <f>'BD Team'!E9</f>
        <v>24MM</v>
      </c>
      <c r="E2" s="318" t="str">
        <f>'BD Team'!G9</f>
        <v>GF - STUDY &amp; LIVING</v>
      </c>
      <c r="F2" s="318" t="str">
        <f>'BD Team'!F9</f>
        <v>SS</v>
      </c>
      <c r="I2" s="318">
        <f>'BD Team'!H9</f>
        <v>3354</v>
      </c>
      <c r="J2" s="318">
        <f>'BD Team'!I9</f>
        <v>2440</v>
      </c>
      <c r="K2" s="318">
        <f>'BD Team'!J9</f>
        <v>1</v>
      </c>
      <c r="L2" s="319">
        <f>'BD Team'!K9</f>
        <v>750.29</v>
      </c>
      <c r="M2" s="318">
        <f>Pricing!O4</f>
        <v>2938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SD2</v>
      </c>
      <c r="B3" s="318" t="str">
        <f>'BD Team'!C10</f>
        <v>M14600</v>
      </c>
      <c r="C3" s="318" t="str">
        <f>'BD Team'!D10</f>
        <v>3 TRACK 4 SHUTTER SLIDING DOOR</v>
      </c>
      <c r="D3" s="318" t="str">
        <f>'BD Team'!E10</f>
        <v>24MM</v>
      </c>
      <c r="E3" s="318" t="str">
        <f>'BD Team'!G10</f>
        <v>GF - GREAT ROOM</v>
      </c>
      <c r="F3" s="318" t="str">
        <f>'BD Team'!F10</f>
        <v>SS</v>
      </c>
      <c r="I3" s="318">
        <f>'BD Team'!H10</f>
        <v>5386</v>
      </c>
      <c r="J3" s="318">
        <f>'BD Team'!I10</f>
        <v>2744</v>
      </c>
      <c r="K3" s="318">
        <f>'BD Team'!J10</f>
        <v>2</v>
      </c>
      <c r="L3" s="319">
        <f>'BD Team'!K10</f>
        <v>920.33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PD1</v>
      </c>
      <c r="B4" s="318" t="str">
        <f>'BD Team'!C11</f>
        <v>M14600</v>
      </c>
      <c r="C4" s="318" t="str">
        <f>'BD Team'!D11</f>
        <v>POCKET DOOR</v>
      </c>
      <c r="D4" s="318" t="str">
        <f>'BD Team'!E11</f>
        <v>24MM</v>
      </c>
      <c r="E4" s="318" t="str">
        <f>'BD Team'!G11</f>
        <v>GF - STUDY &amp; LIVING</v>
      </c>
      <c r="F4" s="318" t="str">
        <f>'BD Team'!F11</f>
        <v>NO</v>
      </c>
      <c r="I4" s="318">
        <f>'BD Team'!H11</f>
        <v>1983</v>
      </c>
      <c r="J4" s="318">
        <f>'BD Team'!I11</f>
        <v>2440</v>
      </c>
      <c r="K4" s="318">
        <f>'BD Team'!J11</f>
        <v>1</v>
      </c>
      <c r="L4" s="319">
        <f>'BD Team'!K11</f>
        <v>418</v>
      </c>
      <c r="M4" s="318">
        <f>Pricing!O6</f>
        <v>2938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PD2</v>
      </c>
      <c r="B5" s="318" t="str">
        <f>'BD Team'!C12</f>
        <v>M14600</v>
      </c>
      <c r="C5" s="318" t="str">
        <f>'BD Team'!D12</f>
        <v>POCKET DOOR</v>
      </c>
      <c r="D5" s="318" t="str">
        <f>'BD Team'!E12</f>
        <v>24MM</v>
      </c>
      <c r="E5" s="318" t="str">
        <f>'BD Team'!G12</f>
        <v>GF - GREAT &amp; FAMILY</v>
      </c>
      <c r="F5" s="318" t="str">
        <f>'BD Team'!F12</f>
        <v>NO</v>
      </c>
      <c r="I5" s="318">
        <f>'BD Team'!H12</f>
        <v>2450</v>
      </c>
      <c r="J5" s="318">
        <f>'BD Team'!I12</f>
        <v>2744</v>
      </c>
      <c r="K5" s="318">
        <f>'BD Team'!J12</f>
        <v>2</v>
      </c>
      <c r="L5" s="319">
        <f>'BD Team'!K12</f>
        <v>469.61</v>
      </c>
      <c r="M5" s="318">
        <f>Pricing!O7</f>
        <v>2938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DW1-A</v>
      </c>
      <c r="B6" s="318" t="str">
        <f>'BD Team'!C13</f>
        <v>M15000</v>
      </c>
      <c r="C6" s="318" t="str">
        <f>'BD Team'!D13</f>
        <v>FRENCH CASEMENT WINDOW</v>
      </c>
      <c r="D6" s="318" t="str">
        <f>'BD Team'!E13</f>
        <v>24MM</v>
      </c>
      <c r="E6" s="318" t="str">
        <f>'BD Team'!G13</f>
        <v>GF - SERVANT ROOM</v>
      </c>
      <c r="F6" s="318" t="str">
        <f>'BD Team'!F13</f>
        <v>NO</v>
      </c>
      <c r="I6" s="318">
        <f>'BD Team'!H13</f>
        <v>1220</v>
      </c>
      <c r="J6" s="318">
        <f>'BD Team'!I13</f>
        <v>1372</v>
      </c>
      <c r="K6" s="318">
        <f>'BD Team'!J13</f>
        <v>1</v>
      </c>
      <c r="L6" s="319">
        <f>'BD Team'!K13</f>
        <v>311.66000000000003</v>
      </c>
      <c r="M6" s="318">
        <f>Pricing!O8</f>
        <v>2938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DW1-B</v>
      </c>
      <c r="B7" s="318" t="str">
        <f>'BD Team'!C14</f>
        <v>M15000</v>
      </c>
      <c r="C7" s="318" t="str">
        <f>'BD Team'!D14</f>
        <v>SINGLE DOOR</v>
      </c>
      <c r="D7" s="318" t="str">
        <f>'BD Team'!E14</f>
        <v>24MM</v>
      </c>
      <c r="E7" s="318" t="str">
        <f>'BD Team'!G14</f>
        <v>GF - SERVANT ROOM</v>
      </c>
      <c r="F7" s="318" t="str">
        <f>'BD Team'!F14</f>
        <v>NO</v>
      </c>
      <c r="I7" s="318">
        <f>'BD Team'!H14</f>
        <v>916</v>
      </c>
      <c r="J7" s="318">
        <f>'BD Team'!I14</f>
        <v>2440</v>
      </c>
      <c r="K7" s="318">
        <f>'BD Team'!J14</f>
        <v>1</v>
      </c>
      <c r="L7" s="319">
        <f>'BD Team'!K14</f>
        <v>362.4</v>
      </c>
      <c r="M7" s="318">
        <f>Pricing!O9</f>
        <v>2938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DW2-A</v>
      </c>
      <c r="B8" s="318" t="str">
        <f>'BD Team'!C15</f>
        <v>-</v>
      </c>
      <c r="C8" s="318" t="str">
        <f>'BD Team'!D15</f>
        <v>GLASS LOUVERS</v>
      </c>
      <c r="D8" s="318" t="str">
        <f>'BD Team'!E15</f>
        <v>6MM (A)</v>
      </c>
      <c r="E8" s="318" t="str">
        <f>'BD Team'!G15</f>
        <v>GF - UTILITY</v>
      </c>
      <c r="F8" s="318" t="str">
        <f>'BD Team'!F15</f>
        <v>SS</v>
      </c>
      <c r="I8" s="318">
        <f>'BD Team'!H15</f>
        <v>1068</v>
      </c>
      <c r="J8" s="318">
        <f>'BD Team'!I15</f>
        <v>1372</v>
      </c>
      <c r="K8" s="318">
        <f>'BD Team'!J15</f>
        <v>1</v>
      </c>
      <c r="L8" s="319">
        <f>'BD Team'!K15</f>
        <v>65.930000000000007</v>
      </c>
      <c r="M8" s="318">
        <f>Pricing!O10</f>
        <v>1002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DW2-B</v>
      </c>
      <c r="B9" s="318" t="str">
        <f>'BD Team'!C16</f>
        <v>M15000</v>
      </c>
      <c r="C9" s="318" t="str">
        <f>'BD Team'!D16</f>
        <v>SINGLE DOOR</v>
      </c>
      <c r="D9" s="318" t="str">
        <f>'BD Team'!E16</f>
        <v>24MM</v>
      </c>
      <c r="E9" s="318" t="str">
        <f>'BD Team'!G16</f>
        <v>GF - UTILITY</v>
      </c>
      <c r="F9" s="318" t="str">
        <f>'BD Team'!F16</f>
        <v>NO</v>
      </c>
      <c r="I9" s="318">
        <f>'BD Team'!H16</f>
        <v>916</v>
      </c>
      <c r="J9" s="318">
        <f>'BD Team'!I16</f>
        <v>2440</v>
      </c>
      <c r="K9" s="318">
        <f>'BD Team'!J16</f>
        <v>1</v>
      </c>
      <c r="L9" s="319">
        <f>'BD Team'!K16</f>
        <v>343.19</v>
      </c>
      <c r="M9" s="318">
        <f>Pricing!O11</f>
        <v>2938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DW2-C</v>
      </c>
      <c r="B10" s="318" t="str">
        <f>'BD Team'!C17</f>
        <v>-</v>
      </c>
      <c r="C10" s="318" t="str">
        <f>'BD Team'!D17</f>
        <v>GLASS LOUVERS</v>
      </c>
      <c r="D10" s="318" t="str">
        <f>'BD Team'!E17</f>
        <v>6MM (A)</v>
      </c>
      <c r="E10" s="318" t="str">
        <f>'BD Team'!G17</f>
        <v>GF - UTILITY</v>
      </c>
      <c r="F10" s="318" t="str">
        <f>'BD Team'!F17</f>
        <v>SS</v>
      </c>
      <c r="I10" s="318">
        <f>'BD Team'!H17</f>
        <v>610</v>
      </c>
      <c r="J10" s="318">
        <f>'BD Team'!I17</f>
        <v>1372</v>
      </c>
      <c r="K10" s="318">
        <f>'BD Team'!J17</f>
        <v>1</v>
      </c>
      <c r="L10" s="319">
        <f>'BD Team'!K17</f>
        <v>50.95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DV1-A</v>
      </c>
      <c r="B11" s="318" t="str">
        <f>'BD Team'!C18</f>
        <v>M15000</v>
      </c>
      <c r="C11" s="318" t="str">
        <f>'BD Team'!D18</f>
        <v>SINGLE DOOR</v>
      </c>
      <c r="D11" s="318" t="str">
        <f>'BD Team'!E18</f>
        <v>24MM</v>
      </c>
      <c r="E11" s="318" t="str">
        <f>'BD Team'!G18</f>
        <v>GF - SERVANT TOILET</v>
      </c>
      <c r="F11" s="318" t="str">
        <f>'BD Team'!F18</f>
        <v>NO</v>
      </c>
      <c r="I11" s="318">
        <f>'BD Team'!H18</f>
        <v>916</v>
      </c>
      <c r="J11" s="318">
        <f>'BD Team'!I18</f>
        <v>2440</v>
      </c>
      <c r="K11" s="318">
        <f>'BD Team'!J18</f>
        <v>1</v>
      </c>
      <c r="L11" s="319">
        <f>'BD Team'!K18</f>
        <v>362.4</v>
      </c>
      <c r="M11" s="318">
        <f>Pricing!O13</f>
        <v>2938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DV1-B</v>
      </c>
      <c r="B12" s="318" t="str">
        <f>'BD Team'!C19</f>
        <v>-</v>
      </c>
      <c r="C12" s="318" t="str">
        <f>'BD Team'!D19</f>
        <v>GLASS LOUVERS</v>
      </c>
      <c r="D12" s="318" t="str">
        <f>'BD Team'!E19</f>
        <v>6MM (A)</v>
      </c>
      <c r="E12" s="318" t="str">
        <f>'BD Team'!G19</f>
        <v>GF - SERVANT TOILET</v>
      </c>
      <c r="F12" s="318" t="str">
        <f>'BD Team'!F19</f>
        <v>SS</v>
      </c>
      <c r="I12" s="318">
        <f>'BD Team'!H19</f>
        <v>864</v>
      </c>
      <c r="J12" s="318">
        <f>'BD Team'!I19</f>
        <v>916</v>
      </c>
      <c r="K12" s="318">
        <f>'BD Team'!J19</f>
        <v>1</v>
      </c>
      <c r="L12" s="319">
        <f>'BD Team'!K19</f>
        <v>18.12</v>
      </c>
      <c r="M12" s="318">
        <f>Pricing!O14</f>
        <v>1002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</v>
      </c>
      <c r="B13" s="318" t="str">
        <f>'BD Team'!C20</f>
        <v>M15000</v>
      </c>
      <c r="C13" s="318" t="str">
        <f>'BD Team'!D20</f>
        <v>SINGLE DOOR</v>
      </c>
      <c r="D13" s="318" t="str">
        <f>'BD Team'!E20</f>
        <v>24MM</v>
      </c>
      <c r="E13" s="318" t="str">
        <f>'BD Team'!G20</f>
        <v>GF / FF - STAIRCASE</v>
      </c>
      <c r="F13" s="318" t="str">
        <f>'BD Team'!F20</f>
        <v>NO</v>
      </c>
      <c r="I13" s="318">
        <f>'BD Team'!H20</f>
        <v>712</v>
      </c>
      <c r="J13" s="318">
        <f>'BD Team'!I20</f>
        <v>2134</v>
      </c>
      <c r="K13" s="318">
        <f>'BD Team'!J20</f>
        <v>2</v>
      </c>
      <c r="L13" s="319">
        <f>'BD Team'!K20</f>
        <v>320.64999999999998</v>
      </c>
      <c r="M13" s="318">
        <f>Pricing!O15</f>
        <v>2938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W2</v>
      </c>
      <c r="B14" s="318" t="str">
        <f>'BD Team'!C21</f>
        <v>M15000</v>
      </c>
      <c r="C14" s="318" t="str">
        <f>'BD Team'!D21</f>
        <v>SINGLE DOOR</v>
      </c>
      <c r="D14" s="318" t="str">
        <f>'BD Team'!E21</f>
        <v>24MM</v>
      </c>
      <c r="E14" s="318" t="str">
        <f>'BD Team'!G21</f>
        <v>GF - MBR, GBR &amp; FF - BR 1 &amp; BR 2</v>
      </c>
      <c r="F14" s="318" t="str">
        <f>'BD Team'!F21</f>
        <v>NO</v>
      </c>
      <c r="I14" s="318">
        <f>'BD Team'!H21</f>
        <v>712</v>
      </c>
      <c r="J14" s="318">
        <f>'BD Team'!I21</f>
        <v>1678</v>
      </c>
      <c r="K14" s="318">
        <f>'BD Team'!J21</f>
        <v>8</v>
      </c>
      <c r="L14" s="319">
        <f>'BD Team'!K21</f>
        <v>270.97000000000003</v>
      </c>
      <c r="M14" s="318">
        <f>Pricing!O16</f>
        <v>2938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W3</v>
      </c>
      <c r="B15" s="318" t="str">
        <f>'BD Team'!C22</f>
        <v>M15000</v>
      </c>
      <c r="C15" s="318" t="str">
        <f>'BD Team'!D22</f>
        <v>FIXED GLASS 3 NO'S</v>
      </c>
      <c r="D15" s="318" t="str">
        <f>'BD Team'!E22</f>
        <v>24MM</v>
      </c>
      <c r="E15" s="318" t="str">
        <f>'BD Team'!G22</f>
        <v>FF - BR 1</v>
      </c>
      <c r="F15" s="318" t="str">
        <f>'BD Team'!F22</f>
        <v>NO</v>
      </c>
      <c r="I15" s="318">
        <f>'BD Team'!H22</f>
        <v>3864</v>
      </c>
      <c r="J15" s="318">
        <f>'BD Team'!I22</f>
        <v>1220</v>
      </c>
      <c r="K15" s="318">
        <f>'BD Team'!J22</f>
        <v>1</v>
      </c>
      <c r="L15" s="319">
        <f>'BD Team'!K22</f>
        <v>171.25</v>
      </c>
      <c r="M15" s="318">
        <f>Pricing!O17</f>
        <v>2938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W4-A</v>
      </c>
      <c r="B16" s="318" t="str">
        <f>'BD Team'!C23</f>
        <v>M15000</v>
      </c>
      <c r="C16" s="318" t="str">
        <f>'BD Team'!D23</f>
        <v>FIXED GLASS 3 NO'S</v>
      </c>
      <c r="D16" s="318" t="str">
        <f>'BD Team'!E23</f>
        <v>10MM</v>
      </c>
      <c r="E16" s="318" t="str">
        <f>'BD Team'!G23</f>
        <v>FF - GREAT ROOM</v>
      </c>
      <c r="F16" s="318" t="str">
        <f>'BD Team'!F23</f>
        <v>NO</v>
      </c>
      <c r="I16" s="318">
        <f>'BD Team'!H23</f>
        <v>6808</v>
      </c>
      <c r="J16" s="318">
        <f>'BD Team'!I23</f>
        <v>306</v>
      </c>
      <c r="K16" s="318">
        <f>'BD Team'!J23</f>
        <v>1</v>
      </c>
      <c r="L16" s="319">
        <f>'BD Team'!K23</f>
        <v>201.38</v>
      </c>
      <c r="M16" s="318">
        <f>Pricing!O18</f>
        <v>1589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W4-B</v>
      </c>
      <c r="B17" s="318" t="str">
        <f>'BD Team'!C24</f>
        <v>M15000</v>
      </c>
      <c r="C17" s="318" t="str">
        <f>'BD Team'!D24</f>
        <v>FIXED GLASS</v>
      </c>
      <c r="D17" s="318" t="str">
        <f>'BD Team'!E24</f>
        <v>10MM</v>
      </c>
      <c r="E17" s="318" t="str">
        <f>'BD Team'!G24</f>
        <v>FF - GREAT ROOM</v>
      </c>
      <c r="F17" s="318" t="str">
        <f>'BD Team'!F24</f>
        <v>NO</v>
      </c>
      <c r="I17" s="318">
        <f>'BD Team'!H24</f>
        <v>2186</v>
      </c>
      <c r="J17" s="318">
        <f>'BD Team'!I24</f>
        <v>306</v>
      </c>
      <c r="K17" s="318">
        <f>'BD Team'!J24</f>
        <v>1</v>
      </c>
      <c r="L17" s="319">
        <f>'BD Team'!K24</f>
        <v>56.65</v>
      </c>
      <c r="M17" s="318">
        <f>Pricing!O19</f>
        <v>1589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W4-C</v>
      </c>
      <c r="B18" s="318" t="str">
        <f>'BD Team'!C25</f>
        <v>M15000</v>
      </c>
      <c r="C18" s="318" t="str">
        <f>'BD Team'!D25</f>
        <v>FIXED GLASS</v>
      </c>
      <c r="D18" s="318" t="str">
        <f>'BD Team'!E25</f>
        <v>10MM</v>
      </c>
      <c r="E18" s="318" t="str">
        <f>'BD Team'!G25</f>
        <v>FF - GREAT ROOM</v>
      </c>
      <c r="F18" s="318" t="str">
        <f>'BD Team'!F25</f>
        <v>NO</v>
      </c>
      <c r="I18" s="318">
        <f>'BD Team'!H25</f>
        <v>610</v>
      </c>
      <c r="J18" s="318">
        <f>'BD Team'!I25</f>
        <v>3272</v>
      </c>
      <c r="K18" s="318">
        <f>'BD Team'!J25</f>
        <v>1</v>
      </c>
      <c r="L18" s="319">
        <f>'BD Team'!K25</f>
        <v>80.87</v>
      </c>
      <c r="M18" s="318">
        <f>Pricing!O20</f>
        <v>1589</v>
      </c>
      <c r="N18" s="318">
        <f>Pricing!Q20</f>
        <v>0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SW1</v>
      </c>
      <c r="B19" s="318" t="str">
        <f>'BD Team'!C26</f>
        <v>M900</v>
      </c>
      <c r="C19" s="318" t="str">
        <f>'BD Team'!D26</f>
        <v>3 TRACK 2 SHUTTER SLIDING WINDOW</v>
      </c>
      <c r="D19" s="318" t="str">
        <f>'BD Team'!E26</f>
        <v>20MM</v>
      </c>
      <c r="E19" s="318" t="str">
        <f>'BD Team'!G26</f>
        <v>GF - STAFF RECEPTION ROOM</v>
      </c>
      <c r="F19" s="318" t="str">
        <f>'BD Team'!F26</f>
        <v>SS</v>
      </c>
      <c r="I19" s="318">
        <f>'BD Team'!H26</f>
        <v>1170</v>
      </c>
      <c r="J19" s="318">
        <f>'BD Team'!I26</f>
        <v>1372</v>
      </c>
      <c r="K19" s="318">
        <f>'BD Team'!J26</f>
        <v>1</v>
      </c>
      <c r="L19" s="319">
        <f>'BD Team'!K26</f>
        <v>145.42000000000002</v>
      </c>
      <c r="M19" s="318">
        <f>Pricing!O21</f>
        <v>2538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SW3</v>
      </c>
      <c r="B20" s="318" t="str">
        <f>'BD Team'!C27</f>
        <v>M900</v>
      </c>
      <c r="C20" s="318" t="str">
        <f>'BD Team'!D27</f>
        <v>3 TRACK 2 SHUTTER SLIDING WINDOW</v>
      </c>
      <c r="D20" s="318" t="str">
        <f>'BD Team'!E27</f>
        <v>20MM</v>
      </c>
      <c r="E20" s="318" t="str">
        <f>'BD Team'!G27</f>
        <v>GF - STUDY &amp; LIVING</v>
      </c>
      <c r="F20" s="318" t="str">
        <f>'BD Team'!F27</f>
        <v>SS</v>
      </c>
      <c r="I20" s="318">
        <f>'BD Team'!H27</f>
        <v>2490</v>
      </c>
      <c r="J20" s="318">
        <f>'BD Team'!I27</f>
        <v>1524</v>
      </c>
      <c r="K20" s="318">
        <f>'BD Team'!J27</f>
        <v>1</v>
      </c>
      <c r="L20" s="319">
        <f>'BD Team'!K27</f>
        <v>196.01</v>
      </c>
      <c r="M20" s="318">
        <f>Pricing!O22</f>
        <v>2538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SW4</v>
      </c>
      <c r="B21" s="318" t="str">
        <f>'BD Team'!C28</f>
        <v>M14600</v>
      </c>
      <c r="C21" s="318" t="str">
        <f>'BD Team'!D28</f>
        <v>3 TRACK 2 SHUTTER SLIDING DOOR</v>
      </c>
      <c r="D21" s="318" t="str">
        <f>'BD Team'!E28</f>
        <v>24MM</v>
      </c>
      <c r="E21" s="318" t="str">
        <f>'BD Team'!G28</f>
        <v>GF - FAMILY AREA</v>
      </c>
      <c r="F21" s="318" t="str">
        <f>'BD Team'!F28</f>
        <v>SS</v>
      </c>
      <c r="I21" s="318">
        <f>'BD Team'!H28</f>
        <v>2948</v>
      </c>
      <c r="J21" s="318">
        <f>'BD Team'!I28</f>
        <v>2134</v>
      </c>
      <c r="K21" s="318">
        <f>'BD Team'!J28</f>
        <v>1</v>
      </c>
      <c r="L21" s="319">
        <f>'BD Team'!K28</f>
        <v>453.54</v>
      </c>
      <c r="M21" s="318">
        <f>Pricing!O23</f>
        <v>2938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SW5</v>
      </c>
      <c r="B22" s="318" t="str">
        <f>'BD Team'!C29</f>
        <v>M14600</v>
      </c>
      <c r="C22" s="318" t="str">
        <f>'BD Team'!D29</f>
        <v>3 TRACK 2 SHUTTER SLIDING WINDOW</v>
      </c>
      <c r="D22" s="318" t="str">
        <f>'BD Team'!E29</f>
        <v>24MM</v>
      </c>
      <c r="E22" s="318" t="str">
        <f>'BD Team'!G29</f>
        <v>GF - STUDY ROOM</v>
      </c>
      <c r="F22" s="318" t="str">
        <f>'BD Team'!F29</f>
        <v>SS</v>
      </c>
      <c r="I22" s="318">
        <f>'BD Team'!H29</f>
        <v>3302</v>
      </c>
      <c r="J22" s="318">
        <f>'BD Team'!I29</f>
        <v>1372</v>
      </c>
      <c r="K22" s="318">
        <f>'BD Team'!J29</f>
        <v>1</v>
      </c>
      <c r="L22" s="319">
        <f>'BD Team'!K29</f>
        <v>379.51</v>
      </c>
      <c r="M22" s="318">
        <f>Pricing!O24</f>
        <v>2938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SW6</v>
      </c>
      <c r="B23" s="318" t="str">
        <f>'BD Team'!C30</f>
        <v>M900</v>
      </c>
      <c r="C23" s="318" t="str">
        <f>'BD Team'!D30</f>
        <v>3 TRACK 2 SHUTTER SLIDING WINDOW</v>
      </c>
      <c r="D23" s="318" t="str">
        <f>'BD Team'!E30</f>
        <v>20MM</v>
      </c>
      <c r="E23" s="318" t="str">
        <f>'BD Team'!G30</f>
        <v>GF - STAFF RECEPTION ROOM</v>
      </c>
      <c r="F23" s="318" t="str">
        <f>'BD Team'!F30</f>
        <v>SS</v>
      </c>
      <c r="I23" s="318">
        <f>'BD Team'!H30</f>
        <v>1322</v>
      </c>
      <c r="J23" s="318">
        <f>'BD Team'!I30</f>
        <v>1372</v>
      </c>
      <c r="K23" s="318">
        <f>'BD Team'!J30</f>
        <v>1</v>
      </c>
      <c r="L23" s="319">
        <f>'BD Team'!K30</f>
        <v>150.29000000000002</v>
      </c>
      <c r="M23" s="318">
        <f>Pricing!O25</f>
        <v>2538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SW7</v>
      </c>
      <c r="B24" s="318" t="str">
        <f>'BD Team'!C31</f>
        <v>M14600</v>
      </c>
      <c r="C24" s="318" t="str">
        <f>'BD Team'!D31</f>
        <v>3 TRACK 4 SHUTTER SLIDING DOOR</v>
      </c>
      <c r="D24" s="318" t="str">
        <f>'BD Team'!E31</f>
        <v>24MM</v>
      </c>
      <c r="E24" s="318" t="str">
        <f>'BD Team'!G31</f>
        <v>GF - DINING</v>
      </c>
      <c r="F24" s="318" t="str">
        <f>'BD Team'!F31</f>
        <v>SS</v>
      </c>
      <c r="I24" s="318">
        <f>'BD Team'!H31</f>
        <v>3862</v>
      </c>
      <c r="J24" s="318">
        <f>'BD Team'!I31</f>
        <v>2134</v>
      </c>
      <c r="K24" s="318">
        <f>'BD Team'!J31</f>
        <v>1</v>
      </c>
      <c r="L24" s="319">
        <f>'BD Team'!K31</f>
        <v>745.23</v>
      </c>
      <c r="M24" s="318">
        <f>Pricing!O26</f>
        <v>2938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SW8</v>
      </c>
      <c r="B25" s="318" t="str">
        <f>'BD Team'!C32</f>
        <v>M14600</v>
      </c>
      <c r="C25" s="318" t="str">
        <f>'BD Team'!D32</f>
        <v>3 TRACK 2 SHUTTER SLIDING DOOR</v>
      </c>
      <c r="D25" s="318" t="str">
        <f>'BD Team'!E32</f>
        <v>24MM</v>
      </c>
      <c r="E25" s="318" t="str">
        <f>'BD Team'!G32</f>
        <v>GF - POOJA ROOM</v>
      </c>
      <c r="F25" s="318" t="str">
        <f>'BD Team'!F32</f>
        <v>SS</v>
      </c>
      <c r="I25" s="318">
        <f>'BD Team'!H32</f>
        <v>1372</v>
      </c>
      <c r="J25" s="318">
        <f>'BD Team'!I32</f>
        <v>2134</v>
      </c>
      <c r="K25" s="318">
        <f>'BD Team'!J32</f>
        <v>1</v>
      </c>
      <c r="L25" s="319">
        <f>'BD Team'!K32</f>
        <v>340.74</v>
      </c>
      <c r="M25" s="318">
        <f>Pricing!O27</f>
        <v>2938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SW9</v>
      </c>
      <c r="B26" s="318" t="str">
        <f>'BD Team'!C33</f>
        <v>M900</v>
      </c>
      <c r="C26" s="318" t="str">
        <f>'BD Team'!D33</f>
        <v>3 TRACK 2 SHUTTER SLIDING WINDOW</v>
      </c>
      <c r="D26" s="318" t="str">
        <f>'BD Team'!E33</f>
        <v>20MM</v>
      </c>
      <c r="E26" s="318" t="str">
        <f>'BD Team'!G33</f>
        <v>GF - KITCHEN</v>
      </c>
      <c r="F26" s="318" t="str">
        <f>'BD Team'!F33</f>
        <v>SS</v>
      </c>
      <c r="I26" s="318">
        <f>'BD Team'!H33</f>
        <v>1778</v>
      </c>
      <c r="J26" s="318">
        <f>'BD Team'!I33</f>
        <v>1372</v>
      </c>
      <c r="K26" s="318">
        <f>'BD Team'!J33</f>
        <v>1</v>
      </c>
      <c r="L26" s="319">
        <f>'BD Team'!K33</f>
        <v>164.9</v>
      </c>
      <c r="M26" s="318">
        <f>Pricing!O28</f>
        <v>2538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SW10</v>
      </c>
      <c r="B27" s="318" t="str">
        <f>'BD Team'!C34</f>
        <v>M14600</v>
      </c>
      <c r="C27" s="318" t="str">
        <f>'BD Team'!D34</f>
        <v>3 TRACK 4 SHUTTER SLIDING WINDOW</v>
      </c>
      <c r="D27" s="318" t="str">
        <f>'BD Team'!E34</f>
        <v>24MM</v>
      </c>
      <c r="E27" s="318" t="str">
        <f>'BD Team'!G34</f>
        <v>FF - FAMILY ROOM</v>
      </c>
      <c r="F27" s="318" t="str">
        <f>'BD Team'!F34</f>
        <v>SS</v>
      </c>
      <c r="I27" s="318">
        <f>'BD Team'!H34</f>
        <v>3862</v>
      </c>
      <c r="J27" s="318">
        <f>'BD Team'!I34</f>
        <v>1678</v>
      </c>
      <c r="K27" s="318">
        <f>'BD Team'!J34</f>
        <v>1</v>
      </c>
      <c r="L27" s="319">
        <f>'BD Team'!K34</f>
        <v>662.18</v>
      </c>
      <c r="M27" s="318">
        <f>Pricing!O29</f>
        <v>2938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SW11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24MM</v>
      </c>
      <c r="E28" s="318" t="str">
        <f>'BD Team'!G35</f>
        <v>FF - BAR</v>
      </c>
      <c r="F28" s="318" t="str">
        <f>'BD Team'!F35</f>
        <v>SS</v>
      </c>
      <c r="I28" s="318">
        <f>'BD Team'!H35</f>
        <v>3302</v>
      </c>
      <c r="J28" s="318">
        <f>'BD Team'!I35</f>
        <v>1830</v>
      </c>
      <c r="K28" s="318">
        <f>'BD Team'!J35</f>
        <v>1</v>
      </c>
      <c r="L28" s="319">
        <f>'BD Team'!K35</f>
        <v>436.77</v>
      </c>
      <c r="M28" s="318">
        <f>Pricing!O30</f>
        <v>2938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SFW1</v>
      </c>
      <c r="B29" s="318" t="str">
        <f>'BD Team'!C36</f>
        <v>M9800</v>
      </c>
      <c r="C29" s="318" t="str">
        <f>'BD Team'!D36</f>
        <v>5 LEAF SLIDING FOLDING WINDOW</v>
      </c>
      <c r="D29" s="318" t="str">
        <f>'BD Team'!E36</f>
        <v>24MM</v>
      </c>
      <c r="E29" s="318" t="str">
        <f>'BD Team'!G36</f>
        <v>FF - FAMILY ROOM</v>
      </c>
      <c r="F29" s="318" t="str">
        <f>'BD Team'!F36</f>
        <v>NO</v>
      </c>
      <c r="I29" s="318">
        <f>'BD Team'!H36</f>
        <v>4572</v>
      </c>
      <c r="J29" s="318">
        <f>'BD Team'!I36</f>
        <v>1830</v>
      </c>
      <c r="K29" s="318">
        <f>'BD Team'!J36</f>
        <v>1</v>
      </c>
      <c r="L29" s="319">
        <f>'BD Team'!K36</f>
        <v>1175.95</v>
      </c>
      <c r="M29" s="318">
        <f>Pricing!O31</f>
        <v>2938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CW1-A</v>
      </c>
      <c r="B30" s="318" t="str">
        <f>'BD Team'!C37</f>
        <v>M15000</v>
      </c>
      <c r="C30" s="318" t="str">
        <f>'BD Team'!D37</f>
        <v>SIDE HUNG WITH FIXED GLASS</v>
      </c>
      <c r="D30" s="318" t="str">
        <f>'BD Team'!E37</f>
        <v>24MM</v>
      </c>
      <c r="E30" s="318" t="str">
        <f>'BD Team'!G37</f>
        <v>GF - KITCHEN</v>
      </c>
      <c r="F30" s="318" t="str">
        <f>'BD Team'!F37</f>
        <v>NO</v>
      </c>
      <c r="I30" s="318">
        <f>'BD Team'!H37</f>
        <v>1728</v>
      </c>
      <c r="J30" s="318">
        <f>'BD Team'!I37</f>
        <v>1372</v>
      </c>
      <c r="K30" s="318">
        <f>'BD Team'!J37</f>
        <v>1</v>
      </c>
      <c r="L30" s="319">
        <f>'BD Team'!K37</f>
        <v>298.60000000000002</v>
      </c>
      <c r="M30" s="318">
        <f>Pricing!O32</f>
        <v>2938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CW1-B</v>
      </c>
      <c r="B31" s="318" t="str">
        <f>'BD Team'!C38</f>
        <v>M14600</v>
      </c>
      <c r="C31" s="318" t="str">
        <f>'BD Team'!D38</f>
        <v>3 TRACK 2 SHUTTER SLIDING WINDOW</v>
      </c>
      <c r="D31" s="318" t="str">
        <f>'BD Team'!E38</f>
        <v>24MM</v>
      </c>
      <c r="E31" s="318" t="str">
        <f>'BD Team'!G38</f>
        <v>GF - KITCHEN</v>
      </c>
      <c r="F31" s="318" t="str">
        <f>'BD Team'!F38</f>
        <v>SS</v>
      </c>
      <c r="I31" s="318">
        <f>'BD Team'!H38</f>
        <v>2032</v>
      </c>
      <c r="J31" s="318">
        <f>'BD Team'!I38</f>
        <v>1372</v>
      </c>
      <c r="K31" s="318">
        <f>'BD Team'!J38</f>
        <v>1</v>
      </c>
      <c r="L31" s="319">
        <f>'BD Team'!K38</f>
        <v>285.24</v>
      </c>
      <c r="M31" s="318">
        <f>Pricing!O33</f>
        <v>2938</v>
      </c>
      <c r="N31" s="318">
        <f>Pricing!Q33</f>
        <v>538.19999999999993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CW2-A</v>
      </c>
      <c r="B32" s="318" t="str">
        <f>'BD Team'!C39</f>
        <v>M14600</v>
      </c>
      <c r="C32" s="318" t="str">
        <f>'BD Team'!D39</f>
        <v>3 TRACK 2 SHUTTER SLIDING WINDOW</v>
      </c>
      <c r="D32" s="318" t="str">
        <f>'BD Team'!E39</f>
        <v>24MM</v>
      </c>
      <c r="E32" s="318" t="str">
        <f>'BD Team'!G39</f>
        <v>GF - MBR &amp; FF - BR 1</v>
      </c>
      <c r="F32" s="318" t="str">
        <f>'BD Team'!F39</f>
        <v>SS</v>
      </c>
      <c r="I32" s="318">
        <f>'BD Team'!H39</f>
        <v>1524</v>
      </c>
      <c r="J32" s="318">
        <f>'BD Team'!I39</f>
        <v>1678</v>
      </c>
      <c r="K32" s="318">
        <f>'BD Team'!J39</f>
        <v>2</v>
      </c>
      <c r="L32" s="319">
        <f>'BD Team'!K39</f>
        <v>300.74</v>
      </c>
      <c r="M32" s="318">
        <f>Pricing!O34</f>
        <v>2938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CW2-B</v>
      </c>
      <c r="B33" s="318" t="str">
        <f>'BD Team'!C40</f>
        <v>M15000</v>
      </c>
      <c r="C33" s="318" t="str">
        <f>'BD Team'!D40</f>
        <v>FIXED GLASS CORNOR WINDOW</v>
      </c>
      <c r="D33" s="318" t="str">
        <f>'BD Team'!E40</f>
        <v>24MM</v>
      </c>
      <c r="E33" s="318" t="str">
        <f>'BD Team'!G40</f>
        <v>GF - MBR &amp; FF - BR 1</v>
      </c>
      <c r="F33" s="318" t="str">
        <f>'BD Team'!F40</f>
        <v>NO</v>
      </c>
      <c r="I33" s="318">
        <f>'BD Team'!H40</f>
        <v>2924</v>
      </c>
      <c r="J33" s="318">
        <f>'BD Team'!I40</f>
        <v>1678</v>
      </c>
      <c r="K33" s="318">
        <f>'BD Team'!J40</f>
        <v>2</v>
      </c>
      <c r="L33" s="319">
        <f>'BD Team'!K40</f>
        <v>78.53</v>
      </c>
      <c r="M33" s="318">
        <f>Pricing!O35</f>
        <v>2938</v>
      </c>
      <c r="N33" s="318">
        <f>Pricing!Q35</f>
        <v>0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CW2-C</v>
      </c>
      <c r="B34" s="318" t="str">
        <f>'BD Team'!C41</f>
        <v>M14600</v>
      </c>
      <c r="C34" s="318" t="str">
        <f>'BD Team'!D41</f>
        <v>3 TRACK 2 SHUTTER SLIDING WINDOW</v>
      </c>
      <c r="D34" s="318" t="str">
        <f>'BD Team'!E41</f>
        <v>24MM</v>
      </c>
      <c r="E34" s="318" t="str">
        <f>'BD Team'!G41</f>
        <v>GF - MBR &amp; FF - BR 1</v>
      </c>
      <c r="F34" s="318" t="str">
        <f>'BD Team'!F41</f>
        <v>SS</v>
      </c>
      <c r="I34" s="318">
        <f>'BD Team'!H41</f>
        <v>1830</v>
      </c>
      <c r="J34" s="318">
        <f>'BD Team'!I41</f>
        <v>1678</v>
      </c>
      <c r="K34" s="318">
        <f>'BD Team'!J41</f>
        <v>2</v>
      </c>
      <c r="L34" s="319">
        <f>'BD Team'!K41</f>
        <v>318.37</v>
      </c>
      <c r="M34" s="318">
        <f>Pricing!O36</f>
        <v>2938</v>
      </c>
      <c r="N34" s="318">
        <f>Pricing!Q36</f>
        <v>538.19999999999993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CW3-A</v>
      </c>
      <c r="B35" s="318" t="str">
        <f>'BD Team'!C42</f>
        <v>M14600</v>
      </c>
      <c r="C35" s="318" t="str">
        <f>'BD Team'!D42</f>
        <v>3 TRACK 2 SHUTTER SLIDING WINDOW</v>
      </c>
      <c r="D35" s="318" t="str">
        <f>'BD Team'!E42</f>
        <v>24MM</v>
      </c>
      <c r="E35" s="318" t="str">
        <f>'BD Team'!G42</f>
        <v>GF - GBR &amp; FF - BR 2</v>
      </c>
      <c r="F35" s="318" t="str">
        <f>'BD Team'!F42</f>
        <v>SS</v>
      </c>
      <c r="I35" s="318">
        <f>'BD Team'!H42</f>
        <v>1830</v>
      </c>
      <c r="J35" s="318">
        <f>'BD Team'!I42</f>
        <v>1678</v>
      </c>
      <c r="K35" s="318">
        <f>'BD Team'!J42</f>
        <v>2</v>
      </c>
      <c r="L35" s="319">
        <f>'BD Team'!K42</f>
        <v>318.37</v>
      </c>
      <c r="M35" s="318">
        <f>Pricing!O37</f>
        <v>2938</v>
      </c>
      <c r="N35" s="318">
        <f>Pricing!Q37</f>
        <v>538.19999999999993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CW3-B</v>
      </c>
      <c r="B36" s="318" t="str">
        <f>'BD Team'!C43</f>
        <v>M15000</v>
      </c>
      <c r="C36" s="318" t="str">
        <f>'BD Team'!D43</f>
        <v>FIXED GLASS CORNOR WINDOW</v>
      </c>
      <c r="D36" s="318" t="str">
        <f>'BD Team'!E43</f>
        <v>24MM</v>
      </c>
      <c r="E36" s="318" t="str">
        <f>'BD Team'!G43</f>
        <v>GF - GBR &amp; FF - BR 2</v>
      </c>
      <c r="F36" s="318" t="str">
        <f>'BD Team'!F43</f>
        <v>NO</v>
      </c>
      <c r="I36" s="318">
        <f>'BD Team'!H43</f>
        <v>2694</v>
      </c>
      <c r="J36" s="318">
        <f>'BD Team'!I43</f>
        <v>1678</v>
      </c>
      <c r="K36" s="318">
        <f>'BD Team'!J43</f>
        <v>2</v>
      </c>
      <c r="L36" s="319">
        <f>'BD Team'!K43</f>
        <v>75.31</v>
      </c>
      <c r="M36" s="318">
        <f>Pricing!O38</f>
        <v>2938</v>
      </c>
      <c r="N36" s="318">
        <f>Pricing!Q38</f>
        <v>0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CW3-C</v>
      </c>
      <c r="B37" s="318" t="str">
        <f>'BD Team'!C44</f>
        <v>M14600</v>
      </c>
      <c r="C37" s="318" t="str">
        <f>'BD Team'!D44</f>
        <v>3 TRACK 2 SHUTTER SLIDING WINDOW</v>
      </c>
      <c r="D37" s="318" t="str">
        <f>'BD Team'!E44</f>
        <v>24MM</v>
      </c>
      <c r="E37" s="318" t="str">
        <f>'BD Team'!G44</f>
        <v>GF - GBR &amp; FF - BR 2</v>
      </c>
      <c r="F37" s="318" t="str">
        <f>'BD Team'!F44</f>
        <v>SS</v>
      </c>
      <c r="I37" s="318">
        <f>'BD Team'!H44</f>
        <v>1830</v>
      </c>
      <c r="J37" s="318">
        <f>'BD Team'!I44</f>
        <v>1678</v>
      </c>
      <c r="K37" s="318">
        <f>'BD Team'!J44</f>
        <v>2</v>
      </c>
      <c r="L37" s="319">
        <f>'BD Team'!K44</f>
        <v>318.37</v>
      </c>
      <c r="M37" s="318">
        <f>Pricing!O39</f>
        <v>2938</v>
      </c>
      <c r="N37" s="318">
        <f>Pricing!Q39</f>
        <v>538.19999999999993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CW4-A</v>
      </c>
      <c r="B38" s="318" t="str">
        <f>'BD Team'!C45</f>
        <v>M14600</v>
      </c>
      <c r="C38" s="318" t="str">
        <f>'BD Team'!D45</f>
        <v>3 TRACK 2 SHUTTER SLIDING WINDOW</v>
      </c>
      <c r="D38" s="318" t="str">
        <f>'BD Team'!E45</f>
        <v>24MM</v>
      </c>
      <c r="E38" s="318" t="str">
        <f>'BD Team'!G45</f>
        <v>GF - DINING</v>
      </c>
      <c r="F38" s="318" t="str">
        <f>'BD Team'!F45</f>
        <v>SS</v>
      </c>
      <c r="I38" s="318">
        <f>'BD Team'!H45</f>
        <v>2694</v>
      </c>
      <c r="J38" s="318">
        <f>'BD Team'!I45</f>
        <v>1678</v>
      </c>
      <c r="K38" s="318">
        <f>'BD Team'!J45</f>
        <v>1</v>
      </c>
      <c r="L38" s="319">
        <f>'BD Team'!K45</f>
        <v>760.52</v>
      </c>
      <c r="M38" s="318">
        <f>Pricing!O40</f>
        <v>2938</v>
      </c>
      <c r="N38" s="318">
        <f>Pricing!Q40</f>
        <v>538.19999999999993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CW4-B</v>
      </c>
      <c r="B39" s="318" t="str">
        <f>'BD Team'!C46</f>
        <v>M15000</v>
      </c>
      <c r="C39" s="318" t="str">
        <f>'BD Team'!D46</f>
        <v>FIXED GLASS CORNOR WINDOW</v>
      </c>
      <c r="D39" s="318" t="str">
        <f>'BD Team'!E46</f>
        <v>24MM</v>
      </c>
      <c r="E39" s="318" t="str">
        <f>'BD Team'!G46</f>
        <v>GF - DINING</v>
      </c>
      <c r="F39" s="318" t="str">
        <f>'BD Team'!F46</f>
        <v>NO</v>
      </c>
      <c r="I39" s="318">
        <f>'BD Team'!H46</f>
        <v>2288</v>
      </c>
      <c r="J39" s="318">
        <f>'BD Team'!I46</f>
        <v>1678</v>
      </c>
      <c r="K39" s="318">
        <f>'BD Team'!J46</f>
        <v>1</v>
      </c>
      <c r="L39" s="319">
        <f>'BD Team'!K46</f>
        <v>69.61</v>
      </c>
      <c r="M39" s="318">
        <f>Pricing!O41</f>
        <v>2938</v>
      </c>
      <c r="N39" s="318">
        <f>Pricing!Q41</f>
        <v>0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CW4-C</v>
      </c>
      <c r="B40" s="318" t="str">
        <f>'BD Team'!C47</f>
        <v>M14600</v>
      </c>
      <c r="C40" s="318" t="str">
        <f>'BD Team'!D47</f>
        <v>3 TRACK 2 SHUTTER SLIDING WINDOW</v>
      </c>
      <c r="D40" s="318" t="str">
        <f>'BD Team'!E47</f>
        <v>24MM</v>
      </c>
      <c r="E40" s="318" t="str">
        <f>'BD Team'!G47</f>
        <v>GF - DINING</v>
      </c>
      <c r="F40" s="318" t="str">
        <f>'BD Team'!F47</f>
        <v>SS</v>
      </c>
      <c r="I40" s="318">
        <f>'BD Team'!H47</f>
        <v>1830</v>
      </c>
      <c r="J40" s="318">
        <f>'BD Team'!I47</f>
        <v>1678</v>
      </c>
      <c r="K40" s="318">
        <f>'BD Team'!J47</f>
        <v>1</v>
      </c>
      <c r="L40" s="319">
        <f>'BD Team'!K47</f>
        <v>318.37</v>
      </c>
      <c r="M40" s="318">
        <f>Pricing!O42</f>
        <v>2938</v>
      </c>
      <c r="N40" s="318">
        <f>Pricing!Q42</f>
        <v>538.19999999999993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V1</v>
      </c>
      <c r="B41" s="318" t="str">
        <f>'BD Team'!C48</f>
        <v>-</v>
      </c>
      <c r="C41" s="318" t="str">
        <f>'BD Team'!D48</f>
        <v>GLASS LOUVERS</v>
      </c>
      <c r="D41" s="318" t="str">
        <f>'BD Team'!E48</f>
        <v>6MM (A)</v>
      </c>
      <c r="E41" s="318" t="str">
        <f>'BD Team'!G48</f>
        <v>GF - POWDER ROOM TOILET</v>
      </c>
      <c r="F41" s="318" t="str">
        <f>'BD Team'!F48</f>
        <v>NO</v>
      </c>
      <c r="I41" s="318">
        <f>'BD Team'!H48</f>
        <v>610</v>
      </c>
      <c r="J41" s="318">
        <f>'BD Team'!I48</f>
        <v>610</v>
      </c>
      <c r="K41" s="318">
        <f>'BD Team'!J48</f>
        <v>1</v>
      </c>
      <c r="L41" s="319">
        <f>'BD Team'!K48</f>
        <v>13.67</v>
      </c>
      <c r="M41" s="318">
        <f>Pricing!O43</f>
        <v>1002</v>
      </c>
      <c r="N41" s="318">
        <f>Pricing!Q43</f>
        <v>0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  <row r="42" spans="1:21">
      <c r="A42" s="318" t="str">
        <f>'BD Team'!B49</f>
        <v>V2</v>
      </c>
      <c r="B42" s="318" t="str">
        <f>'BD Team'!C49</f>
        <v>-</v>
      </c>
      <c r="C42" s="318" t="str">
        <f>'BD Team'!D49</f>
        <v>GLASS LOUVERS</v>
      </c>
      <c r="D42" s="318" t="str">
        <f>'BD Team'!E49</f>
        <v>6MM (A)</v>
      </c>
      <c r="E42" s="318" t="str">
        <f>'BD Team'!G49</f>
        <v>GF - MBR, GBR &amp; FF - BR 1 &amp; BR 2</v>
      </c>
      <c r="F42" s="318" t="str">
        <f>'BD Team'!F49</f>
        <v>NO</v>
      </c>
      <c r="I42" s="318">
        <f>'BD Team'!H49</f>
        <v>916</v>
      </c>
      <c r="J42" s="318">
        <f>'BD Team'!I49</f>
        <v>916</v>
      </c>
      <c r="K42" s="318">
        <f>'BD Team'!J49</f>
        <v>4</v>
      </c>
      <c r="L42" s="319">
        <f>'BD Team'!K49</f>
        <v>18.61</v>
      </c>
      <c r="M42" s="318">
        <f>Pricing!O44</f>
        <v>1002</v>
      </c>
      <c r="N42" s="318">
        <f>Pricing!Q44</f>
        <v>0</v>
      </c>
      <c r="O42" s="318">
        <f>Pricing!R44</f>
        <v>0</v>
      </c>
      <c r="P42" s="318">
        <f>Pricing!S44</f>
        <v>0</v>
      </c>
      <c r="Q42" s="319">
        <f>'Cost Calculation'!L48</f>
        <v>0</v>
      </c>
      <c r="R42" s="319">
        <f>'Cost Calculation'!M48</f>
        <v>0</v>
      </c>
      <c r="S42" s="319">
        <f>'Cost Calculation'!N48</f>
        <v>0</v>
      </c>
      <c r="T42" s="318">
        <f>Pricing!P44</f>
        <v>0</v>
      </c>
      <c r="U42" s="317">
        <f>'Cost Calculation'!AC48</f>
        <v>0</v>
      </c>
    </row>
    <row r="43" spans="1:21">
      <c r="A43" s="318" t="str">
        <f>'BD Team'!B50</f>
        <v>V3</v>
      </c>
      <c r="B43" s="318" t="str">
        <f>'BD Team'!C50</f>
        <v>-</v>
      </c>
      <c r="C43" s="318" t="str">
        <f>'BD Team'!D50</f>
        <v>GLASS LOUVERS</v>
      </c>
      <c r="D43" s="318" t="str">
        <f>'BD Team'!E50</f>
        <v>6MM (A)</v>
      </c>
      <c r="E43" s="318" t="str">
        <f>'BD Team'!G50</f>
        <v>GF - CAR PARKING</v>
      </c>
      <c r="F43" s="318" t="str">
        <f>'BD Team'!F50</f>
        <v>NO</v>
      </c>
      <c r="I43" s="318">
        <f>'BD Team'!H50</f>
        <v>3658</v>
      </c>
      <c r="J43" s="318">
        <f>'BD Team'!I50</f>
        <v>610</v>
      </c>
      <c r="K43" s="318">
        <f>'BD Team'!J50</f>
        <v>1</v>
      </c>
      <c r="L43" s="319">
        <f>'BD Team'!K50</f>
        <v>82.16</v>
      </c>
      <c r="M43" s="318">
        <f>Pricing!O45</f>
        <v>1002</v>
      </c>
      <c r="N43" s="318">
        <f>Pricing!Q45</f>
        <v>0</v>
      </c>
      <c r="O43" s="318">
        <f>Pricing!R45</f>
        <v>0</v>
      </c>
      <c r="P43" s="318">
        <f>Pricing!S45</f>
        <v>0</v>
      </c>
      <c r="Q43" s="319">
        <f>'Cost Calculation'!L49</f>
        <v>0</v>
      </c>
      <c r="R43" s="319">
        <f>'Cost Calculation'!M49</f>
        <v>0</v>
      </c>
      <c r="S43" s="319">
        <f>'Cost Calculation'!N49</f>
        <v>0</v>
      </c>
      <c r="T43" s="318">
        <f>Pricing!P45</f>
        <v>0</v>
      </c>
      <c r="U43" s="317">
        <f>'Cost Calculation'!AC49</f>
        <v>0</v>
      </c>
    </row>
    <row r="44" spans="1:21">
      <c r="A44" s="318" t="str">
        <f>'BD Team'!B51</f>
        <v>V4-A</v>
      </c>
      <c r="B44" s="318" t="str">
        <f>'BD Team'!C51</f>
        <v>-</v>
      </c>
      <c r="C44" s="318" t="str">
        <f>'BD Team'!D51</f>
        <v>GLASS LOUVERS</v>
      </c>
      <c r="D44" s="318" t="str">
        <f>'BD Team'!E51</f>
        <v>6MM (A)</v>
      </c>
      <c r="E44" s="318" t="str">
        <f>'BD Team'!G51</f>
        <v>GF - CAR PARKING</v>
      </c>
      <c r="F44" s="318" t="str">
        <f>'BD Team'!F51</f>
        <v>NO</v>
      </c>
      <c r="I44" s="318">
        <f>'BD Team'!H51</f>
        <v>3030</v>
      </c>
      <c r="J44" s="318">
        <f>'BD Team'!I51</f>
        <v>610</v>
      </c>
      <c r="K44" s="318">
        <f>'BD Team'!J51</f>
        <v>1</v>
      </c>
      <c r="L44" s="319">
        <f>'BD Team'!K51</f>
        <v>70.42</v>
      </c>
      <c r="M44" s="318">
        <f>Pricing!O46</f>
        <v>1002</v>
      </c>
      <c r="N44" s="318">
        <f>Pricing!Q46</f>
        <v>0</v>
      </c>
      <c r="O44" s="318">
        <f>Pricing!R46</f>
        <v>0</v>
      </c>
      <c r="P44" s="318">
        <f>Pricing!S46</f>
        <v>0</v>
      </c>
      <c r="Q44" s="319">
        <f>'Cost Calculation'!L50</f>
        <v>0</v>
      </c>
      <c r="R44" s="319">
        <f>'Cost Calculation'!M50</f>
        <v>0</v>
      </c>
      <c r="S44" s="319">
        <f>'Cost Calculation'!N50</f>
        <v>0</v>
      </c>
      <c r="T44" s="318">
        <f>Pricing!P46</f>
        <v>0</v>
      </c>
      <c r="U44" s="317">
        <f>'Cost Calculation'!AC50</f>
        <v>0</v>
      </c>
    </row>
    <row r="45" spans="1:21">
      <c r="A45" s="318" t="str">
        <f>'BD Team'!B52</f>
        <v>V4-B</v>
      </c>
      <c r="B45" s="318" t="str">
        <f>'BD Team'!C52</f>
        <v>-</v>
      </c>
      <c r="C45" s="318" t="str">
        <f>'BD Team'!D52</f>
        <v>GLASS LOUVERS</v>
      </c>
      <c r="D45" s="318" t="str">
        <f>'BD Team'!E52</f>
        <v>6MM (A)</v>
      </c>
      <c r="E45" s="318" t="str">
        <f>'BD Team'!G52</f>
        <v>GF - CAR PARKING</v>
      </c>
      <c r="F45" s="318" t="str">
        <f>'BD Team'!F52</f>
        <v>NO</v>
      </c>
      <c r="I45" s="318">
        <f>'BD Team'!H52</f>
        <v>3080</v>
      </c>
      <c r="J45" s="318">
        <f>'BD Team'!I52</f>
        <v>610</v>
      </c>
      <c r="K45" s="318">
        <f>'BD Team'!J52</f>
        <v>1</v>
      </c>
      <c r="L45" s="319">
        <f>'BD Team'!K52</f>
        <v>71.349999999999994</v>
      </c>
      <c r="M45" s="318">
        <f>Pricing!O47</f>
        <v>1002</v>
      </c>
      <c r="N45" s="318">
        <f>Pricing!Q47</f>
        <v>0</v>
      </c>
      <c r="O45" s="318">
        <f>Pricing!R47</f>
        <v>0</v>
      </c>
      <c r="P45" s="318">
        <f>Pricing!S47</f>
        <v>0</v>
      </c>
      <c r="Q45" s="319">
        <f>'Cost Calculation'!L51</f>
        <v>0</v>
      </c>
      <c r="R45" s="319">
        <f>'Cost Calculation'!M51</f>
        <v>0</v>
      </c>
      <c r="S45" s="319">
        <f>'Cost Calculation'!N51</f>
        <v>0</v>
      </c>
      <c r="T45" s="318">
        <f>Pricing!P47</f>
        <v>0</v>
      </c>
      <c r="U45" s="317">
        <f>'Cost Calculation'!AC51</f>
        <v>0</v>
      </c>
    </row>
    <row r="46" spans="1:21">
      <c r="A46" s="318" t="str">
        <f>'BD Team'!B53</f>
        <v>V5</v>
      </c>
      <c r="B46" s="318" t="str">
        <f>'BD Team'!C53</f>
        <v>-</v>
      </c>
      <c r="C46" s="318" t="str">
        <f>'BD Team'!D53</f>
        <v>GLASS LOUVERS</v>
      </c>
      <c r="D46" s="318" t="str">
        <f>'BD Team'!E53</f>
        <v>6MM (A)</v>
      </c>
      <c r="E46" s="318" t="str">
        <f>'BD Team'!G53</f>
        <v>GF &amp; FF - WALK IN CLOSET</v>
      </c>
      <c r="F46" s="318" t="str">
        <f>'BD Team'!F53</f>
        <v>NO</v>
      </c>
      <c r="I46" s="318">
        <f>'BD Team'!H53</f>
        <v>2490</v>
      </c>
      <c r="J46" s="318">
        <f>'BD Team'!I53</f>
        <v>458</v>
      </c>
      <c r="K46" s="318">
        <f>'BD Team'!J53</f>
        <v>2</v>
      </c>
      <c r="L46" s="319">
        <f>'BD Team'!K53</f>
        <v>58.43</v>
      </c>
      <c r="M46" s="318">
        <f>Pricing!O48</f>
        <v>1002</v>
      </c>
      <c r="N46" s="318">
        <f>Pricing!Q48</f>
        <v>0</v>
      </c>
      <c r="O46" s="318">
        <f>Pricing!R48</f>
        <v>0</v>
      </c>
      <c r="P46" s="318">
        <f>Pricing!S48</f>
        <v>0</v>
      </c>
      <c r="Q46" s="319">
        <f>'Cost Calculation'!L52</f>
        <v>0</v>
      </c>
      <c r="R46" s="319">
        <f>'Cost Calculation'!M52</f>
        <v>0</v>
      </c>
      <c r="S46" s="319">
        <f>'Cost Calculation'!N52</f>
        <v>0</v>
      </c>
      <c r="T46" s="318">
        <f>Pricing!P48</f>
        <v>0</v>
      </c>
      <c r="U46" s="317">
        <f>'Cost Calculation'!AC52</f>
        <v>0</v>
      </c>
    </row>
    <row r="47" spans="1:21">
      <c r="A47" s="318" t="str">
        <f>'BD Team'!B54</f>
        <v>V6</v>
      </c>
      <c r="B47" s="318" t="str">
        <f>'BD Team'!C54</f>
        <v>-</v>
      </c>
      <c r="C47" s="318" t="str">
        <f>'BD Team'!D54</f>
        <v>GLASS LOUVERS</v>
      </c>
      <c r="D47" s="318" t="str">
        <f>'BD Team'!E54</f>
        <v>6MM (A)</v>
      </c>
      <c r="E47" s="318" t="str">
        <f>'BD Team'!G54</f>
        <v>GF - CAR PARKING</v>
      </c>
      <c r="F47" s="318" t="str">
        <f>'BD Team'!F54</f>
        <v>NO</v>
      </c>
      <c r="I47" s="318">
        <f>'BD Team'!H54</f>
        <v>3868</v>
      </c>
      <c r="J47" s="318">
        <f>'BD Team'!I54</f>
        <v>610</v>
      </c>
      <c r="K47" s="318">
        <f>'BD Team'!J54</f>
        <v>1</v>
      </c>
      <c r="L47" s="319">
        <f>'BD Team'!K54</f>
        <v>86.08</v>
      </c>
      <c r="M47" s="318">
        <f>Pricing!O49</f>
        <v>1002</v>
      </c>
      <c r="N47" s="318">
        <f>Pricing!Q49</f>
        <v>0</v>
      </c>
      <c r="O47" s="318">
        <f>Pricing!R49</f>
        <v>0</v>
      </c>
      <c r="P47" s="318">
        <f>Pricing!S49</f>
        <v>0</v>
      </c>
      <c r="Q47" s="319">
        <f>'Cost Calculation'!L53</f>
        <v>0</v>
      </c>
      <c r="R47" s="319">
        <f>'Cost Calculation'!M53</f>
        <v>0</v>
      </c>
      <c r="S47" s="319">
        <f>'Cost Calculation'!N53</f>
        <v>0</v>
      </c>
      <c r="T47" s="318">
        <f>Pricing!P49</f>
        <v>0</v>
      </c>
      <c r="U47" s="317">
        <f>'Cost Calculation'!AC53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22" zoomScale="75" zoomScaleNormal="75" zoomScaleSheetLayoutView="75" workbookViewId="0">
      <selection activeCell="K54" sqref="K5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2.28515625" style="47" bestFit="1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420</v>
      </c>
      <c r="F2" s="137"/>
      <c r="G2" s="163"/>
      <c r="H2" s="331" t="s">
        <v>184</v>
      </c>
      <c r="I2" s="332"/>
      <c r="J2" s="165" t="s">
        <v>424</v>
      </c>
      <c r="K2" s="167"/>
      <c r="L2" s="104" t="s">
        <v>207</v>
      </c>
      <c r="M2" s="104" t="s">
        <v>379</v>
      </c>
    </row>
    <row r="3" spans="1:13" s="104" customFormat="1">
      <c r="A3" s="330" t="s">
        <v>127</v>
      </c>
      <c r="B3" s="330"/>
      <c r="C3" s="330"/>
      <c r="D3" s="330"/>
      <c r="E3" s="162" t="s">
        <v>421</v>
      </c>
      <c r="F3" s="136" t="s">
        <v>182</v>
      </c>
      <c r="G3" s="162" t="s">
        <v>423</v>
      </c>
      <c r="H3" s="331" t="s">
        <v>185</v>
      </c>
      <c r="I3" s="332"/>
      <c r="J3" s="166">
        <v>43724</v>
      </c>
      <c r="K3" s="167"/>
      <c r="L3" s="104" t="s">
        <v>256</v>
      </c>
      <c r="M3" s="104" t="s">
        <v>380</v>
      </c>
    </row>
    <row r="4" spans="1:13" s="104" customFormat="1" ht="18">
      <c r="A4" s="330" t="s">
        <v>168</v>
      </c>
      <c r="B4" s="330"/>
      <c r="C4" s="330"/>
      <c r="D4" s="330"/>
      <c r="E4" s="162" t="s">
        <v>281</v>
      </c>
      <c r="F4" s="135"/>
      <c r="G4" s="164"/>
      <c r="H4" s="331" t="s">
        <v>186</v>
      </c>
      <c r="I4" s="332"/>
      <c r="J4" s="165" t="s">
        <v>401</v>
      </c>
      <c r="K4" s="167"/>
      <c r="L4" s="104" t="s">
        <v>257</v>
      </c>
      <c r="M4" s="104" t="s">
        <v>381</v>
      </c>
    </row>
    <row r="5" spans="1:13" s="104" customFormat="1">
      <c r="A5" s="330" t="s">
        <v>176</v>
      </c>
      <c r="B5" s="330"/>
      <c r="C5" s="330"/>
      <c r="D5" s="330"/>
      <c r="E5" s="162" t="s">
        <v>422</v>
      </c>
      <c r="F5" s="136" t="s">
        <v>183</v>
      </c>
      <c r="G5" s="162" t="s">
        <v>207</v>
      </c>
      <c r="H5" s="331" t="s">
        <v>373</v>
      </c>
      <c r="I5" s="332"/>
      <c r="J5" s="165"/>
      <c r="K5" s="167"/>
      <c r="L5" s="104" t="s">
        <v>258</v>
      </c>
      <c r="M5" s="104" t="s">
        <v>382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259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260</v>
      </c>
      <c r="M7" s="47" t="s">
        <v>383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401</v>
      </c>
    </row>
    <row r="9" spans="1:13" ht="20.100000000000001" customHeight="1">
      <c r="A9" s="113">
        <v>1</v>
      </c>
      <c r="B9" s="113" t="s">
        <v>425</v>
      </c>
      <c r="C9" s="113" t="s">
        <v>426</v>
      </c>
      <c r="D9" s="113" t="s">
        <v>427</v>
      </c>
      <c r="E9" s="113" t="s">
        <v>262</v>
      </c>
      <c r="F9" s="113" t="s">
        <v>428</v>
      </c>
      <c r="G9" s="113" t="s">
        <v>429</v>
      </c>
      <c r="H9" s="113">
        <v>3354</v>
      </c>
      <c r="I9" s="113">
        <v>2440</v>
      </c>
      <c r="J9" s="113">
        <v>1</v>
      </c>
      <c r="K9" s="123">
        <v>750.29</v>
      </c>
    </row>
    <row r="10" spans="1:13" ht="20.100000000000001" customHeight="1">
      <c r="A10" s="113">
        <v>2</v>
      </c>
      <c r="B10" s="113" t="s">
        <v>430</v>
      </c>
      <c r="C10" s="113" t="s">
        <v>426</v>
      </c>
      <c r="D10" s="113" t="s">
        <v>427</v>
      </c>
      <c r="E10" s="113" t="s">
        <v>262</v>
      </c>
      <c r="F10" s="113" t="s">
        <v>428</v>
      </c>
      <c r="G10" s="113" t="s">
        <v>431</v>
      </c>
      <c r="H10" s="113">
        <v>5386</v>
      </c>
      <c r="I10" s="113">
        <v>2744</v>
      </c>
      <c r="J10" s="113">
        <v>2</v>
      </c>
      <c r="K10" s="123">
        <v>920.33</v>
      </c>
      <c r="L10" s="47" t="s">
        <v>281</v>
      </c>
    </row>
    <row r="11" spans="1:13" ht="20.100000000000001" customHeight="1">
      <c r="A11" s="113">
        <v>3</v>
      </c>
      <c r="B11" s="113" t="s">
        <v>432</v>
      </c>
      <c r="C11" s="113" t="s">
        <v>426</v>
      </c>
      <c r="D11" s="113" t="s">
        <v>433</v>
      </c>
      <c r="E11" s="113" t="s">
        <v>262</v>
      </c>
      <c r="F11" s="113" t="s">
        <v>434</v>
      </c>
      <c r="G11" s="113" t="s">
        <v>429</v>
      </c>
      <c r="H11" s="113">
        <v>1983</v>
      </c>
      <c r="I11" s="113">
        <v>2440</v>
      </c>
      <c r="J11" s="113">
        <v>1</v>
      </c>
      <c r="K11" s="123">
        <v>418</v>
      </c>
      <c r="L11" s="47" t="s">
        <v>280</v>
      </c>
    </row>
    <row r="12" spans="1:13" ht="20.100000000000001" customHeight="1">
      <c r="A12" s="113">
        <v>4</v>
      </c>
      <c r="B12" s="113" t="s">
        <v>435</v>
      </c>
      <c r="C12" s="113" t="s">
        <v>426</v>
      </c>
      <c r="D12" s="113" t="s">
        <v>433</v>
      </c>
      <c r="E12" s="113" t="s">
        <v>262</v>
      </c>
      <c r="F12" s="113" t="s">
        <v>434</v>
      </c>
      <c r="G12" s="113" t="s">
        <v>436</v>
      </c>
      <c r="H12" s="113">
        <v>2450</v>
      </c>
      <c r="I12" s="113">
        <v>2744</v>
      </c>
      <c r="J12" s="113">
        <v>2</v>
      </c>
      <c r="K12" s="123">
        <v>469.61</v>
      </c>
      <c r="L12" s="47" t="s">
        <v>364</v>
      </c>
    </row>
    <row r="13" spans="1:13" ht="20.100000000000001" customHeight="1">
      <c r="A13" s="113">
        <v>5</v>
      </c>
      <c r="B13" s="113" t="s">
        <v>440</v>
      </c>
      <c r="C13" s="113" t="s">
        <v>437</v>
      </c>
      <c r="D13" s="113" t="s">
        <v>438</v>
      </c>
      <c r="E13" s="113" t="s">
        <v>262</v>
      </c>
      <c r="F13" s="113" t="s">
        <v>434</v>
      </c>
      <c r="G13" s="113" t="s">
        <v>439</v>
      </c>
      <c r="H13" s="113">
        <v>1220</v>
      </c>
      <c r="I13" s="113">
        <v>1372</v>
      </c>
      <c r="J13" s="113">
        <v>1</v>
      </c>
      <c r="K13" s="123">
        <v>311.66000000000003</v>
      </c>
      <c r="L13" s="47" t="s">
        <v>365</v>
      </c>
    </row>
    <row r="14" spans="1:13">
      <c r="A14" s="113">
        <v>6</v>
      </c>
      <c r="B14" s="113" t="s">
        <v>441</v>
      </c>
      <c r="C14" s="113" t="s">
        <v>437</v>
      </c>
      <c r="D14" s="113" t="s">
        <v>442</v>
      </c>
      <c r="E14" s="113" t="s">
        <v>262</v>
      </c>
      <c r="F14" s="113" t="s">
        <v>434</v>
      </c>
      <c r="G14" s="113" t="s">
        <v>439</v>
      </c>
      <c r="H14" s="113">
        <v>916</v>
      </c>
      <c r="I14" s="113">
        <v>2440</v>
      </c>
      <c r="J14" s="113">
        <v>1</v>
      </c>
      <c r="K14" s="123">
        <v>362.4</v>
      </c>
      <c r="L14" s="47" t="s">
        <v>366</v>
      </c>
    </row>
    <row r="15" spans="1:13" ht="20.100000000000001" customHeight="1">
      <c r="A15" s="113">
        <v>7</v>
      </c>
      <c r="B15" s="113" t="s">
        <v>443</v>
      </c>
      <c r="C15" s="113" t="s">
        <v>444</v>
      </c>
      <c r="D15" s="113" t="s">
        <v>445</v>
      </c>
      <c r="E15" s="113" t="s">
        <v>446</v>
      </c>
      <c r="F15" s="113" t="s">
        <v>428</v>
      </c>
      <c r="G15" s="113" t="s">
        <v>447</v>
      </c>
      <c r="H15" s="113">
        <v>1068</v>
      </c>
      <c r="I15" s="113">
        <v>1372</v>
      </c>
      <c r="J15" s="113">
        <v>1</v>
      </c>
      <c r="K15" s="123">
        <v>65.930000000000007</v>
      </c>
      <c r="L15" s="47" t="s">
        <v>367</v>
      </c>
    </row>
    <row r="16" spans="1:13" ht="20.100000000000001" customHeight="1">
      <c r="A16" s="113">
        <v>8</v>
      </c>
      <c r="B16" s="113" t="s">
        <v>448</v>
      </c>
      <c r="C16" s="113" t="s">
        <v>437</v>
      </c>
      <c r="D16" s="113" t="s">
        <v>442</v>
      </c>
      <c r="E16" s="113" t="s">
        <v>262</v>
      </c>
      <c r="F16" s="113" t="s">
        <v>434</v>
      </c>
      <c r="G16" s="113" t="s">
        <v>447</v>
      </c>
      <c r="H16" s="113">
        <v>916</v>
      </c>
      <c r="I16" s="113">
        <v>2440</v>
      </c>
      <c r="J16" s="113">
        <v>1</v>
      </c>
      <c r="K16" s="123">
        <v>343.19</v>
      </c>
      <c r="L16" s="47" t="s">
        <v>368</v>
      </c>
    </row>
    <row r="17" spans="1:13" ht="20.100000000000001" customHeight="1">
      <c r="A17" s="113">
        <v>9</v>
      </c>
      <c r="B17" s="113" t="s">
        <v>449</v>
      </c>
      <c r="C17" s="113" t="s">
        <v>444</v>
      </c>
      <c r="D17" s="113" t="s">
        <v>445</v>
      </c>
      <c r="E17" s="113" t="s">
        <v>446</v>
      </c>
      <c r="F17" s="113" t="s">
        <v>428</v>
      </c>
      <c r="G17" s="113" t="s">
        <v>447</v>
      </c>
      <c r="H17" s="113">
        <v>610</v>
      </c>
      <c r="I17" s="113">
        <v>1372</v>
      </c>
      <c r="J17" s="113">
        <v>1</v>
      </c>
      <c r="K17" s="123">
        <v>50.95</v>
      </c>
      <c r="L17" s="47" t="s">
        <v>369</v>
      </c>
    </row>
    <row r="18" spans="1:13" ht="20.100000000000001" customHeight="1">
      <c r="A18" s="113">
        <v>10</v>
      </c>
      <c r="B18" s="113" t="s">
        <v>450</v>
      </c>
      <c r="C18" s="113" t="s">
        <v>437</v>
      </c>
      <c r="D18" s="113" t="s">
        <v>442</v>
      </c>
      <c r="E18" s="113" t="s">
        <v>262</v>
      </c>
      <c r="F18" s="113" t="s">
        <v>434</v>
      </c>
      <c r="G18" s="113" t="s">
        <v>451</v>
      </c>
      <c r="H18" s="113">
        <v>916</v>
      </c>
      <c r="I18" s="113">
        <v>2440</v>
      </c>
      <c r="J18" s="113">
        <v>1</v>
      </c>
      <c r="K18" s="123">
        <v>362.4</v>
      </c>
      <c r="L18" s="47" t="s">
        <v>370</v>
      </c>
    </row>
    <row r="19" spans="1:13" ht="20.100000000000001" customHeight="1">
      <c r="A19" s="113">
        <v>11</v>
      </c>
      <c r="B19" s="113" t="s">
        <v>452</v>
      </c>
      <c r="C19" s="113" t="s">
        <v>444</v>
      </c>
      <c r="D19" s="113" t="s">
        <v>445</v>
      </c>
      <c r="E19" s="113" t="s">
        <v>446</v>
      </c>
      <c r="F19" s="113" t="s">
        <v>428</v>
      </c>
      <c r="G19" s="113" t="s">
        <v>451</v>
      </c>
      <c r="H19" s="113">
        <v>864</v>
      </c>
      <c r="I19" s="113">
        <v>916</v>
      </c>
      <c r="J19" s="113">
        <v>1</v>
      </c>
      <c r="K19" s="123">
        <v>18.12</v>
      </c>
      <c r="L19" s="47" t="s">
        <v>371</v>
      </c>
    </row>
    <row r="20" spans="1:13">
      <c r="A20" s="113">
        <v>12</v>
      </c>
      <c r="B20" s="113" t="s">
        <v>453</v>
      </c>
      <c r="C20" s="113" t="s">
        <v>437</v>
      </c>
      <c r="D20" s="113" t="s">
        <v>442</v>
      </c>
      <c r="E20" s="113" t="s">
        <v>262</v>
      </c>
      <c r="F20" s="113" t="s">
        <v>434</v>
      </c>
      <c r="G20" s="113" t="s">
        <v>454</v>
      </c>
      <c r="H20" s="113">
        <v>712</v>
      </c>
      <c r="I20" s="113">
        <v>2134</v>
      </c>
      <c r="J20" s="113">
        <v>2</v>
      </c>
      <c r="K20" s="123">
        <v>320.64999999999998</v>
      </c>
      <c r="L20" s="47" t="s">
        <v>384</v>
      </c>
    </row>
    <row r="21" spans="1:13" ht="20.100000000000001" customHeight="1">
      <c r="A21" s="113">
        <v>13</v>
      </c>
      <c r="B21" s="113" t="s">
        <v>455</v>
      </c>
      <c r="C21" s="113" t="s">
        <v>437</v>
      </c>
      <c r="D21" s="113" t="s">
        <v>442</v>
      </c>
      <c r="E21" s="113" t="s">
        <v>262</v>
      </c>
      <c r="F21" s="113" t="s">
        <v>434</v>
      </c>
      <c r="G21" s="113" t="s">
        <v>456</v>
      </c>
      <c r="H21" s="113">
        <v>712</v>
      </c>
      <c r="I21" s="113">
        <v>1678</v>
      </c>
      <c r="J21" s="113">
        <v>8</v>
      </c>
      <c r="K21" s="123">
        <v>270.97000000000003</v>
      </c>
      <c r="L21" s="47" t="s">
        <v>385</v>
      </c>
    </row>
    <row r="22" spans="1:13" ht="20.100000000000001" customHeight="1">
      <c r="A22" s="113">
        <v>14</v>
      </c>
      <c r="B22" s="113" t="s">
        <v>457</v>
      </c>
      <c r="C22" s="113" t="s">
        <v>437</v>
      </c>
      <c r="D22" s="113" t="s">
        <v>458</v>
      </c>
      <c r="E22" s="113" t="s">
        <v>262</v>
      </c>
      <c r="F22" s="113" t="s">
        <v>434</v>
      </c>
      <c r="G22" s="113" t="s">
        <v>459</v>
      </c>
      <c r="H22" s="113">
        <v>3864</v>
      </c>
      <c r="I22" s="113">
        <v>1220</v>
      </c>
      <c r="J22" s="113">
        <v>1</v>
      </c>
      <c r="K22" s="123">
        <v>171.25</v>
      </c>
      <c r="L22" s="47" t="s">
        <v>386</v>
      </c>
    </row>
    <row r="23" spans="1:13" ht="20.100000000000001" customHeight="1">
      <c r="A23" s="113">
        <v>15</v>
      </c>
      <c r="B23" s="113" t="s">
        <v>460</v>
      </c>
      <c r="C23" s="113" t="s">
        <v>437</v>
      </c>
      <c r="D23" s="113" t="s">
        <v>458</v>
      </c>
      <c r="E23" s="113" t="s">
        <v>269</v>
      </c>
      <c r="F23" s="113" t="s">
        <v>434</v>
      </c>
      <c r="G23" s="113" t="s">
        <v>461</v>
      </c>
      <c r="H23" s="113">
        <v>6808</v>
      </c>
      <c r="I23" s="113">
        <v>306</v>
      </c>
      <c r="J23" s="113">
        <v>1</v>
      </c>
      <c r="K23" s="123">
        <v>201.38</v>
      </c>
      <c r="L23" s="47" t="s">
        <v>402</v>
      </c>
    </row>
    <row r="24" spans="1:13" ht="20.100000000000001" customHeight="1">
      <c r="A24" s="113">
        <v>16</v>
      </c>
      <c r="B24" s="113" t="s">
        <v>462</v>
      </c>
      <c r="C24" s="113" t="s">
        <v>437</v>
      </c>
      <c r="D24" s="113" t="s">
        <v>463</v>
      </c>
      <c r="E24" s="113" t="s">
        <v>269</v>
      </c>
      <c r="F24" s="113" t="s">
        <v>434</v>
      </c>
      <c r="G24" s="113" t="s">
        <v>461</v>
      </c>
      <c r="H24" s="113">
        <v>2186</v>
      </c>
      <c r="I24" s="113">
        <v>306</v>
      </c>
      <c r="J24" s="113">
        <v>1</v>
      </c>
      <c r="K24" s="123">
        <v>56.65</v>
      </c>
      <c r="L24" s="47" t="s">
        <v>415</v>
      </c>
    </row>
    <row r="25" spans="1:13" ht="20.100000000000001" customHeight="1">
      <c r="A25" s="113">
        <v>17</v>
      </c>
      <c r="B25" s="113" t="s">
        <v>464</v>
      </c>
      <c r="C25" s="113" t="s">
        <v>437</v>
      </c>
      <c r="D25" s="113" t="s">
        <v>463</v>
      </c>
      <c r="E25" s="113" t="s">
        <v>269</v>
      </c>
      <c r="F25" s="113" t="s">
        <v>434</v>
      </c>
      <c r="G25" s="113" t="s">
        <v>461</v>
      </c>
      <c r="H25" s="113">
        <v>610</v>
      </c>
      <c r="I25" s="113">
        <v>3272</v>
      </c>
      <c r="J25" s="113">
        <v>1</v>
      </c>
      <c r="K25" s="123">
        <v>80.87</v>
      </c>
      <c r="L25" s="47" t="s">
        <v>416</v>
      </c>
    </row>
    <row r="26" spans="1:13">
      <c r="A26" s="113">
        <v>18</v>
      </c>
      <c r="B26" s="113" t="s">
        <v>465</v>
      </c>
      <c r="C26" s="113" t="s">
        <v>466</v>
      </c>
      <c r="D26" s="113" t="s">
        <v>467</v>
      </c>
      <c r="E26" s="113" t="s">
        <v>468</v>
      </c>
      <c r="F26" s="113" t="s">
        <v>428</v>
      </c>
      <c r="G26" s="113" t="s">
        <v>469</v>
      </c>
      <c r="H26" s="113">
        <v>1170</v>
      </c>
      <c r="I26" s="113">
        <v>1372</v>
      </c>
      <c r="J26" s="113">
        <v>1</v>
      </c>
      <c r="K26" s="123">
        <f>109.26+36.16</f>
        <v>145.42000000000002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470</v>
      </c>
      <c r="C27" s="113" t="s">
        <v>466</v>
      </c>
      <c r="D27" s="113" t="s">
        <v>467</v>
      </c>
      <c r="E27" s="113" t="s">
        <v>468</v>
      </c>
      <c r="F27" s="113" t="s">
        <v>428</v>
      </c>
      <c r="G27" s="113" t="s">
        <v>429</v>
      </c>
      <c r="H27" s="113">
        <v>2490</v>
      </c>
      <c r="I27" s="113">
        <v>1524</v>
      </c>
      <c r="J27" s="113">
        <v>1</v>
      </c>
      <c r="K27" s="123">
        <f>145.76+50.25</f>
        <v>196.01</v>
      </c>
    </row>
    <row r="28" spans="1:13" ht="20.100000000000001" customHeight="1">
      <c r="A28" s="113">
        <v>20</v>
      </c>
      <c r="B28" s="113" t="s">
        <v>471</v>
      </c>
      <c r="C28" s="113" t="s">
        <v>426</v>
      </c>
      <c r="D28" s="113" t="s">
        <v>472</v>
      </c>
      <c r="E28" s="113" t="s">
        <v>262</v>
      </c>
      <c r="F28" s="113" t="s">
        <v>428</v>
      </c>
      <c r="G28" s="113" t="s">
        <v>473</v>
      </c>
      <c r="H28" s="113">
        <v>2948</v>
      </c>
      <c r="I28" s="113">
        <v>2134</v>
      </c>
      <c r="J28" s="113">
        <v>1</v>
      </c>
      <c r="K28" s="123">
        <v>453.54</v>
      </c>
    </row>
    <row r="29" spans="1:13" ht="20.100000000000001" customHeight="1">
      <c r="A29" s="113">
        <v>21</v>
      </c>
      <c r="B29" s="113" t="s">
        <v>474</v>
      </c>
      <c r="C29" s="113" t="s">
        <v>426</v>
      </c>
      <c r="D29" s="113" t="s">
        <v>467</v>
      </c>
      <c r="E29" s="113" t="s">
        <v>262</v>
      </c>
      <c r="F29" s="113" t="s">
        <v>428</v>
      </c>
      <c r="G29" s="113" t="s">
        <v>475</v>
      </c>
      <c r="H29" s="113">
        <v>3302</v>
      </c>
      <c r="I29" s="113">
        <v>1372</v>
      </c>
      <c r="J29" s="113">
        <v>1</v>
      </c>
      <c r="K29" s="123">
        <v>379.51</v>
      </c>
    </row>
    <row r="30" spans="1:13" ht="20.100000000000001" customHeight="1">
      <c r="A30" s="113">
        <v>22</v>
      </c>
      <c r="B30" s="113" t="s">
        <v>476</v>
      </c>
      <c r="C30" s="113" t="s">
        <v>466</v>
      </c>
      <c r="D30" s="113" t="s">
        <v>467</v>
      </c>
      <c r="E30" s="113" t="s">
        <v>468</v>
      </c>
      <c r="F30" s="113" t="s">
        <v>428</v>
      </c>
      <c r="G30" s="113" t="s">
        <v>469</v>
      </c>
      <c r="H30" s="113">
        <v>1322</v>
      </c>
      <c r="I30" s="113">
        <v>1372</v>
      </c>
      <c r="J30" s="113">
        <v>1</v>
      </c>
      <c r="K30" s="123">
        <f>112.76+37.53</f>
        <v>150.29000000000002</v>
      </c>
    </row>
    <row r="31" spans="1:13" ht="20.100000000000001" customHeight="1">
      <c r="A31" s="113">
        <v>23</v>
      </c>
      <c r="B31" s="113" t="s">
        <v>477</v>
      </c>
      <c r="C31" s="113" t="s">
        <v>426</v>
      </c>
      <c r="D31" s="113" t="s">
        <v>427</v>
      </c>
      <c r="E31" s="113" t="s">
        <v>262</v>
      </c>
      <c r="F31" s="113" t="s">
        <v>428</v>
      </c>
      <c r="G31" s="113" t="s">
        <v>478</v>
      </c>
      <c r="H31" s="113">
        <v>3862</v>
      </c>
      <c r="I31" s="113">
        <v>2134</v>
      </c>
      <c r="J31" s="113">
        <v>1</v>
      </c>
      <c r="K31" s="123">
        <v>745.23</v>
      </c>
    </row>
    <row r="32" spans="1:13">
      <c r="A32" s="113">
        <v>24</v>
      </c>
      <c r="B32" s="113" t="s">
        <v>479</v>
      </c>
      <c r="C32" s="113" t="s">
        <v>426</v>
      </c>
      <c r="D32" s="113" t="s">
        <v>472</v>
      </c>
      <c r="E32" s="113" t="s">
        <v>262</v>
      </c>
      <c r="F32" s="113" t="s">
        <v>428</v>
      </c>
      <c r="G32" s="113" t="s">
        <v>480</v>
      </c>
      <c r="H32" s="113">
        <v>1372</v>
      </c>
      <c r="I32" s="113">
        <v>2134</v>
      </c>
      <c r="J32" s="113">
        <v>1</v>
      </c>
      <c r="K32" s="123">
        <v>340.74</v>
      </c>
    </row>
    <row r="33" spans="1:11" ht="20.100000000000001" customHeight="1">
      <c r="A33" s="113">
        <v>25</v>
      </c>
      <c r="B33" s="113" t="s">
        <v>481</v>
      </c>
      <c r="C33" s="113" t="s">
        <v>466</v>
      </c>
      <c r="D33" s="113" t="s">
        <v>467</v>
      </c>
      <c r="E33" s="113" t="s">
        <v>468</v>
      </c>
      <c r="F33" s="113" t="s">
        <v>428</v>
      </c>
      <c r="G33" s="113" t="s">
        <v>482</v>
      </c>
      <c r="H33" s="113">
        <v>1778</v>
      </c>
      <c r="I33" s="113">
        <v>1372</v>
      </c>
      <c r="J33" s="113">
        <v>1</v>
      </c>
      <c r="K33" s="123">
        <f>123.26+41.64</f>
        <v>164.9</v>
      </c>
    </row>
    <row r="34" spans="1:11" ht="20.100000000000001" customHeight="1">
      <c r="A34" s="113">
        <v>26</v>
      </c>
      <c r="B34" s="113" t="s">
        <v>483</v>
      </c>
      <c r="C34" s="113" t="s">
        <v>426</v>
      </c>
      <c r="D34" s="113" t="s">
        <v>484</v>
      </c>
      <c r="E34" s="113" t="s">
        <v>262</v>
      </c>
      <c r="F34" s="113" t="s">
        <v>428</v>
      </c>
      <c r="G34" s="113" t="s">
        <v>485</v>
      </c>
      <c r="H34" s="113">
        <v>3862</v>
      </c>
      <c r="I34" s="113">
        <v>1678</v>
      </c>
      <c r="J34" s="113">
        <v>1</v>
      </c>
      <c r="K34" s="123">
        <v>662.18</v>
      </c>
    </row>
    <row r="35" spans="1:11" ht="20.100000000000001" customHeight="1">
      <c r="A35" s="113">
        <v>27</v>
      </c>
      <c r="B35" s="113" t="s">
        <v>486</v>
      </c>
      <c r="C35" s="113" t="s">
        <v>426</v>
      </c>
      <c r="D35" s="113" t="s">
        <v>467</v>
      </c>
      <c r="E35" s="113" t="s">
        <v>262</v>
      </c>
      <c r="F35" s="113" t="s">
        <v>428</v>
      </c>
      <c r="G35" s="113" t="s">
        <v>487</v>
      </c>
      <c r="H35" s="113">
        <v>3302</v>
      </c>
      <c r="I35" s="113">
        <v>1830</v>
      </c>
      <c r="J35" s="113">
        <v>1</v>
      </c>
      <c r="K35" s="123">
        <v>436.77</v>
      </c>
    </row>
    <row r="36" spans="1:11" ht="20.100000000000001" customHeight="1">
      <c r="A36" s="113">
        <v>28</v>
      </c>
      <c r="B36" s="113" t="s">
        <v>488</v>
      </c>
      <c r="C36" s="113" t="s">
        <v>489</v>
      </c>
      <c r="D36" s="113" t="s">
        <v>490</v>
      </c>
      <c r="E36" s="113" t="s">
        <v>262</v>
      </c>
      <c r="F36" s="113" t="s">
        <v>434</v>
      </c>
      <c r="G36" s="113" t="s">
        <v>485</v>
      </c>
      <c r="H36" s="113">
        <v>4572</v>
      </c>
      <c r="I36" s="113">
        <v>1830</v>
      </c>
      <c r="J36" s="113">
        <v>1</v>
      </c>
      <c r="K36" s="123">
        <v>1175.95</v>
      </c>
    </row>
    <row r="37" spans="1:11" ht="20.100000000000001" customHeight="1">
      <c r="A37" s="113">
        <v>29</v>
      </c>
      <c r="B37" s="113" t="s">
        <v>491</v>
      </c>
      <c r="C37" s="113" t="s">
        <v>437</v>
      </c>
      <c r="D37" s="113" t="s">
        <v>492</v>
      </c>
      <c r="E37" s="113" t="s">
        <v>262</v>
      </c>
      <c r="F37" s="113" t="s">
        <v>434</v>
      </c>
      <c r="G37" s="113" t="s">
        <v>482</v>
      </c>
      <c r="H37" s="113">
        <v>1728</v>
      </c>
      <c r="I37" s="113">
        <v>1372</v>
      </c>
      <c r="J37" s="113">
        <v>1</v>
      </c>
      <c r="K37" s="123">
        <v>298.60000000000002</v>
      </c>
    </row>
    <row r="38" spans="1:11">
      <c r="A38" s="113">
        <v>30</v>
      </c>
      <c r="B38" s="113" t="s">
        <v>493</v>
      </c>
      <c r="C38" s="113" t="s">
        <v>426</v>
      </c>
      <c r="D38" s="113" t="s">
        <v>467</v>
      </c>
      <c r="E38" s="113" t="s">
        <v>262</v>
      </c>
      <c r="F38" s="113" t="s">
        <v>428</v>
      </c>
      <c r="G38" s="113" t="s">
        <v>482</v>
      </c>
      <c r="H38" s="113">
        <v>2032</v>
      </c>
      <c r="I38" s="113">
        <v>1372</v>
      </c>
      <c r="J38" s="113">
        <v>1</v>
      </c>
      <c r="K38" s="123">
        <v>285.24</v>
      </c>
    </row>
    <row r="39" spans="1:11" ht="20.100000000000001" customHeight="1">
      <c r="A39" s="113">
        <v>31</v>
      </c>
      <c r="B39" s="113" t="s">
        <v>494</v>
      </c>
      <c r="C39" s="113" t="s">
        <v>426</v>
      </c>
      <c r="D39" s="113" t="s">
        <v>467</v>
      </c>
      <c r="E39" s="113" t="s">
        <v>262</v>
      </c>
      <c r="F39" s="113" t="s">
        <v>428</v>
      </c>
      <c r="G39" s="113" t="s">
        <v>495</v>
      </c>
      <c r="H39" s="113">
        <v>1524</v>
      </c>
      <c r="I39" s="113">
        <v>1678</v>
      </c>
      <c r="J39" s="113">
        <v>2</v>
      </c>
      <c r="K39" s="123">
        <v>300.74</v>
      </c>
    </row>
    <row r="40" spans="1:11" ht="20.100000000000001" customHeight="1">
      <c r="A40" s="113">
        <v>32</v>
      </c>
      <c r="B40" s="113" t="s">
        <v>496</v>
      </c>
      <c r="C40" s="113" t="s">
        <v>437</v>
      </c>
      <c r="D40" s="113" t="s">
        <v>497</v>
      </c>
      <c r="E40" s="113" t="s">
        <v>262</v>
      </c>
      <c r="F40" s="113" t="s">
        <v>434</v>
      </c>
      <c r="G40" s="113" t="s">
        <v>495</v>
      </c>
      <c r="H40" s="113">
        <v>2924</v>
      </c>
      <c r="I40" s="113">
        <v>1678</v>
      </c>
      <c r="J40" s="113">
        <v>2</v>
      </c>
      <c r="K40" s="123">
        <v>78.53</v>
      </c>
    </row>
    <row r="41" spans="1:11" ht="20.100000000000001" customHeight="1">
      <c r="A41" s="113">
        <v>33</v>
      </c>
      <c r="B41" s="113" t="s">
        <v>498</v>
      </c>
      <c r="C41" s="113" t="s">
        <v>426</v>
      </c>
      <c r="D41" s="113" t="s">
        <v>467</v>
      </c>
      <c r="E41" s="113" t="s">
        <v>262</v>
      </c>
      <c r="F41" s="113" t="s">
        <v>428</v>
      </c>
      <c r="G41" s="113" t="s">
        <v>495</v>
      </c>
      <c r="H41" s="113">
        <v>1830</v>
      </c>
      <c r="I41" s="113">
        <v>1678</v>
      </c>
      <c r="J41" s="113">
        <v>2</v>
      </c>
      <c r="K41" s="123">
        <v>318.37</v>
      </c>
    </row>
    <row r="42" spans="1:11">
      <c r="A42" s="113">
        <v>34</v>
      </c>
      <c r="B42" s="113" t="s">
        <v>499</v>
      </c>
      <c r="C42" s="113" t="s">
        <v>426</v>
      </c>
      <c r="D42" s="113" t="s">
        <v>467</v>
      </c>
      <c r="E42" s="113" t="s">
        <v>262</v>
      </c>
      <c r="F42" s="113" t="s">
        <v>428</v>
      </c>
      <c r="G42" s="113" t="s">
        <v>500</v>
      </c>
      <c r="H42" s="113">
        <v>1830</v>
      </c>
      <c r="I42" s="113">
        <v>1678</v>
      </c>
      <c r="J42" s="113">
        <v>2</v>
      </c>
      <c r="K42" s="123">
        <v>318.37</v>
      </c>
    </row>
    <row r="43" spans="1:11" ht="20.100000000000001" customHeight="1">
      <c r="A43" s="113">
        <v>35</v>
      </c>
      <c r="B43" s="113" t="s">
        <v>501</v>
      </c>
      <c r="C43" s="113" t="s">
        <v>437</v>
      </c>
      <c r="D43" s="113" t="s">
        <v>497</v>
      </c>
      <c r="E43" s="113" t="s">
        <v>262</v>
      </c>
      <c r="F43" s="113" t="s">
        <v>434</v>
      </c>
      <c r="G43" s="113" t="s">
        <v>500</v>
      </c>
      <c r="H43" s="113">
        <v>2694</v>
      </c>
      <c r="I43" s="113">
        <v>1678</v>
      </c>
      <c r="J43" s="113">
        <v>2</v>
      </c>
      <c r="K43" s="123">
        <v>75.31</v>
      </c>
    </row>
    <row r="44" spans="1:11" ht="20.100000000000001" customHeight="1">
      <c r="A44" s="113">
        <v>36</v>
      </c>
      <c r="B44" s="113" t="s">
        <v>502</v>
      </c>
      <c r="C44" s="113" t="s">
        <v>426</v>
      </c>
      <c r="D44" s="113" t="s">
        <v>467</v>
      </c>
      <c r="E44" s="113" t="s">
        <v>262</v>
      </c>
      <c r="F44" s="113" t="s">
        <v>428</v>
      </c>
      <c r="G44" s="113" t="s">
        <v>500</v>
      </c>
      <c r="H44" s="113">
        <v>1830</v>
      </c>
      <c r="I44" s="113">
        <v>1678</v>
      </c>
      <c r="J44" s="113">
        <v>2</v>
      </c>
      <c r="K44" s="123">
        <v>318.37</v>
      </c>
    </row>
    <row r="45" spans="1:11" ht="20.100000000000001" customHeight="1">
      <c r="A45" s="113">
        <v>37</v>
      </c>
      <c r="B45" s="113" t="s">
        <v>503</v>
      </c>
      <c r="C45" s="113" t="s">
        <v>426</v>
      </c>
      <c r="D45" s="113" t="s">
        <v>467</v>
      </c>
      <c r="E45" s="113" t="s">
        <v>262</v>
      </c>
      <c r="F45" s="113" t="s">
        <v>428</v>
      </c>
      <c r="G45" s="113" t="s">
        <v>478</v>
      </c>
      <c r="H45" s="113">
        <v>2694</v>
      </c>
      <c r="I45" s="113">
        <v>1678</v>
      </c>
      <c r="J45" s="113">
        <v>1</v>
      </c>
      <c r="K45" s="123">
        <v>760.52</v>
      </c>
    </row>
    <row r="46" spans="1:11" ht="20.100000000000001" customHeight="1">
      <c r="A46" s="113">
        <v>38</v>
      </c>
      <c r="B46" s="113" t="s">
        <v>504</v>
      </c>
      <c r="C46" s="113" t="s">
        <v>437</v>
      </c>
      <c r="D46" s="113" t="s">
        <v>497</v>
      </c>
      <c r="E46" s="113" t="s">
        <v>262</v>
      </c>
      <c r="F46" s="113" t="s">
        <v>434</v>
      </c>
      <c r="G46" s="113" t="s">
        <v>478</v>
      </c>
      <c r="H46" s="113">
        <v>2288</v>
      </c>
      <c r="I46" s="113">
        <v>1678</v>
      </c>
      <c r="J46" s="113">
        <v>1</v>
      </c>
      <c r="K46" s="123">
        <v>69.61</v>
      </c>
    </row>
    <row r="47" spans="1:11" ht="20.100000000000001" customHeight="1">
      <c r="A47" s="113">
        <v>39</v>
      </c>
      <c r="B47" s="113" t="s">
        <v>505</v>
      </c>
      <c r="C47" s="113" t="s">
        <v>426</v>
      </c>
      <c r="D47" s="113" t="s">
        <v>467</v>
      </c>
      <c r="E47" s="113" t="s">
        <v>262</v>
      </c>
      <c r="F47" s="113" t="s">
        <v>428</v>
      </c>
      <c r="G47" s="113" t="s">
        <v>478</v>
      </c>
      <c r="H47" s="113">
        <v>1830</v>
      </c>
      <c r="I47" s="113">
        <v>1678</v>
      </c>
      <c r="J47" s="113">
        <v>1</v>
      </c>
      <c r="K47" s="123">
        <v>318.37</v>
      </c>
    </row>
    <row r="48" spans="1:11">
      <c r="A48" s="113">
        <v>40</v>
      </c>
      <c r="B48" s="113" t="s">
        <v>506</v>
      </c>
      <c r="C48" s="113" t="s">
        <v>444</v>
      </c>
      <c r="D48" s="113" t="s">
        <v>445</v>
      </c>
      <c r="E48" s="113" t="s">
        <v>446</v>
      </c>
      <c r="F48" s="113" t="s">
        <v>434</v>
      </c>
      <c r="G48" s="113" t="s">
        <v>507</v>
      </c>
      <c r="H48" s="113">
        <v>610</v>
      </c>
      <c r="I48" s="113">
        <v>610</v>
      </c>
      <c r="J48" s="113">
        <v>1</v>
      </c>
      <c r="K48" s="123">
        <v>13.67</v>
      </c>
    </row>
    <row r="49" spans="1:11" ht="20.100000000000001" customHeight="1">
      <c r="A49" s="113">
        <v>41</v>
      </c>
      <c r="B49" s="113" t="s">
        <v>508</v>
      </c>
      <c r="C49" s="113" t="s">
        <v>444</v>
      </c>
      <c r="D49" s="113" t="s">
        <v>445</v>
      </c>
      <c r="E49" s="113" t="s">
        <v>446</v>
      </c>
      <c r="F49" s="113" t="s">
        <v>434</v>
      </c>
      <c r="G49" s="113" t="s">
        <v>456</v>
      </c>
      <c r="H49" s="113">
        <v>916</v>
      </c>
      <c r="I49" s="113">
        <v>916</v>
      </c>
      <c r="J49" s="113">
        <v>4</v>
      </c>
      <c r="K49" s="123">
        <v>18.61</v>
      </c>
    </row>
    <row r="50" spans="1:11" ht="20.100000000000001" customHeight="1">
      <c r="A50" s="113">
        <v>42</v>
      </c>
      <c r="B50" s="113" t="s">
        <v>509</v>
      </c>
      <c r="C50" s="113" t="s">
        <v>444</v>
      </c>
      <c r="D50" s="113" t="s">
        <v>445</v>
      </c>
      <c r="E50" s="113" t="s">
        <v>446</v>
      </c>
      <c r="F50" s="113" t="s">
        <v>434</v>
      </c>
      <c r="G50" s="113" t="s">
        <v>510</v>
      </c>
      <c r="H50" s="113">
        <v>3658</v>
      </c>
      <c r="I50" s="113">
        <v>610</v>
      </c>
      <c r="J50" s="113">
        <v>1</v>
      </c>
      <c r="K50" s="123">
        <v>82.16</v>
      </c>
    </row>
    <row r="51" spans="1:11" ht="20.100000000000001" customHeight="1">
      <c r="A51" s="113">
        <v>43</v>
      </c>
      <c r="B51" s="113" t="s">
        <v>511</v>
      </c>
      <c r="C51" s="113" t="s">
        <v>444</v>
      </c>
      <c r="D51" s="113" t="s">
        <v>445</v>
      </c>
      <c r="E51" s="113" t="s">
        <v>446</v>
      </c>
      <c r="F51" s="113" t="s">
        <v>434</v>
      </c>
      <c r="G51" s="113" t="s">
        <v>510</v>
      </c>
      <c r="H51" s="113">
        <v>3030</v>
      </c>
      <c r="I51" s="113">
        <v>610</v>
      </c>
      <c r="J51" s="113">
        <v>1</v>
      </c>
      <c r="K51" s="123">
        <v>70.42</v>
      </c>
    </row>
    <row r="52" spans="1:11" ht="20.100000000000001" customHeight="1">
      <c r="A52" s="113">
        <v>44</v>
      </c>
      <c r="B52" s="113" t="s">
        <v>512</v>
      </c>
      <c r="C52" s="113" t="s">
        <v>444</v>
      </c>
      <c r="D52" s="113" t="s">
        <v>445</v>
      </c>
      <c r="E52" s="113" t="s">
        <v>446</v>
      </c>
      <c r="F52" s="113" t="s">
        <v>434</v>
      </c>
      <c r="G52" s="113" t="s">
        <v>510</v>
      </c>
      <c r="H52" s="113">
        <v>3080</v>
      </c>
      <c r="I52" s="113">
        <v>610</v>
      </c>
      <c r="J52" s="113">
        <v>1</v>
      </c>
      <c r="K52" s="123">
        <v>71.349999999999994</v>
      </c>
    </row>
    <row r="53" spans="1:11" ht="20.100000000000001" customHeight="1">
      <c r="A53" s="113">
        <v>45</v>
      </c>
      <c r="B53" s="113" t="s">
        <v>513</v>
      </c>
      <c r="C53" s="113" t="s">
        <v>444</v>
      </c>
      <c r="D53" s="113" t="s">
        <v>445</v>
      </c>
      <c r="E53" s="113" t="s">
        <v>446</v>
      </c>
      <c r="F53" s="113" t="s">
        <v>434</v>
      </c>
      <c r="G53" s="113" t="s">
        <v>514</v>
      </c>
      <c r="H53" s="113">
        <v>2490</v>
      </c>
      <c r="I53" s="113">
        <v>458</v>
      </c>
      <c r="J53" s="113">
        <v>2</v>
      </c>
      <c r="K53" s="123">
        <v>58.43</v>
      </c>
    </row>
    <row r="54" spans="1:11">
      <c r="A54" s="113">
        <v>46</v>
      </c>
      <c r="B54" s="113" t="s">
        <v>515</v>
      </c>
      <c r="C54" s="113" t="s">
        <v>444</v>
      </c>
      <c r="D54" s="113" t="s">
        <v>445</v>
      </c>
      <c r="E54" s="113" t="s">
        <v>446</v>
      </c>
      <c r="F54" s="113" t="s">
        <v>434</v>
      </c>
      <c r="G54" s="113" t="s">
        <v>510</v>
      </c>
      <c r="H54" s="113">
        <v>3868</v>
      </c>
      <c r="I54" s="113">
        <v>610</v>
      </c>
      <c r="J54" s="113">
        <v>1</v>
      </c>
      <c r="K54" s="123">
        <v>86.08</v>
      </c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4" sqref="R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276</v>
      </c>
      <c r="Q2" s="169" t="s">
        <v>237</v>
      </c>
      <c r="R2" s="169" t="s">
        <v>238</v>
      </c>
      <c r="S2" s="310" t="s">
        <v>189</v>
      </c>
      <c r="T2" s="335" t="s">
        <v>397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388</v>
      </c>
      <c r="U3" s="313" t="s">
        <v>394</v>
      </c>
      <c r="V3" s="313" t="s">
        <v>389</v>
      </c>
      <c r="W3" s="313" t="s">
        <v>395</v>
      </c>
      <c r="X3" s="313" t="s">
        <v>396</v>
      </c>
      <c r="Y3" s="313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M14600</v>
      </c>
      <c r="D4" s="118" t="str">
        <f>'BD Team'!D9</f>
        <v>3 TRACK 4 SHUTTER SLIDING DOOR</v>
      </c>
      <c r="E4" s="118" t="str">
        <f>'BD Team'!F9</f>
        <v>SS</v>
      </c>
      <c r="F4" s="121" t="str">
        <f>'BD Team'!G9</f>
        <v>GF - STUDY &amp; LIVING</v>
      </c>
      <c r="G4" s="118">
        <f>'BD Team'!H9</f>
        <v>3354</v>
      </c>
      <c r="H4" s="118">
        <f>'BD Team'!I9</f>
        <v>2440</v>
      </c>
      <c r="I4" s="118">
        <f>'BD Team'!J9</f>
        <v>1</v>
      </c>
      <c r="J4" s="103">
        <f t="shared" ref="J4:J53" si="0">G4*H4*I4*10.764/1000000</f>
        <v>88.089992640000006</v>
      </c>
      <c r="K4" s="172">
        <f>'BD Team'!K9</f>
        <v>750.29</v>
      </c>
      <c r="L4" s="171">
        <f>K4*I4</f>
        <v>750.29</v>
      </c>
      <c r="M4" s="170">
        <f>L4*'Changable Values'!$D$4</f>
        <v>62274.07</v>
      </c>
      <c r="N4" s="170" t="str">
        <f>'BD Team'!E9</f>
        <v>24MM</v>
      </c>
      <c r="O4" s="172">
        <v>2938</v>
      </c>
      <c r="P4" s="241"/>
      <c r="Q4" s="173">
        <f>50*10.764</f>
        <v>538.19999999999993</v>
      </c>
      <c r="R4" s="185"/>
      <c r="S4" s="312"/>
      <c r="T4" s="313">
        <f>(G4+H4)*I4*2/300</f>
        <v>38.626666666666665</v>
      </c>
      <c r="U4" s="313">
        <f>SUM(G4:H4)*I4*2*4/1000</f>
        <v>46.351999999999997</v>
      </c>
      <c r="V4" s="313">
        <f>SUM(G4:H4)*I4*5*5*4/(1000*240)</f>
        <v>2.4141666666666666</v>
      </c>
      <c r="W4" s="313">
        <f>T4</f>
        <v>38.626666666666665</v>
      </c>
      <c r="X4" s="313">
        <f>W4*2</f>
        <v>77.25333333333333</v>
      </c>
      <c r="Y4" s="313">
        <f>SUM(G4:H4)*I4*4/1000</f>
        <v>23.175999999999998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4 SHUTTER SLIDING DOOR</v>
      </c>
      <c r="E5" s="118" t="str">
        <f>'BD Team'!F10</f>
        <v>SS</v>
      </c>
      <c r="F5" s="121" t="str">
        <f>'BD Team'!G10</f>
        <v>GF - GREAT ROOM</v>
      </c>
      <c r="G5" s="118">
        <f>'BD Team'!H10</f>
        <v>5386</v>
      </c>
      <c r="H5" s="118">
        <f>'BD Team'!I10</f>
        <v>2744</v>
      </c>
      <c r="I5" s="118">
        <f>'BD Team'!J10</f>
        <v>2</v>
      </c>
      <c r="J5" s="103">
        <f t="shared" si="0"/>
        <v>318.16627315200003</v>
      </c>
      <c r="K5" s="172">
        <f>'BD Team'!K10</f>
        <v>920.33</v>
      </c>
      <c r="L5" s="171">
        <f t="shared" ref="L5:L53" si="1">K5*I5</f>
        <v>1840.66</v>
      </c>
      <c r="M5" s="170">
        <f>L5*'Changable Values'!$D$4</f>
        <v>152774.78</v>
      </c>
      <c r="N5" s="170" t="str">
        <f>'BD Team'!E10</f>
        <v>24MM</v>
      </c>
      <c r="O5" s="172">
        <v>2938</v>
      </c>
      <c r="P5" s="241"/>
      <c r="Q5" s="173">
        <f>50*10.764</f>
        <v>538.19999999999993</v>
      </c>
      <c r="R5" s="185"/>
      <c r="S5" s="312"/>
      <c r="T5" s="313">
        <f t="shared" ref="T5:T68" si="2">(G5+H5)*I5*2/300</f>
        <v>108.4</v>
      </c>
      <c r="U5" s="313">
        <f t="shared" ref="U5:U68" si="3">SUM(G5:H5)*I5*2*4/1000</f>
        <v>130.08000000000001</v>
      </c>
      <c r="V5" s="313">
        <f t="shared" ref="V5:V68" si="4">SUM(G5:H5)*I5*5*5*4/(1000*240)</f>
        <v>6.7750000000000004</v>
      </c>
      <c r="W5" s="313">
        <f t="shared" ref="W5:W68" si="5">T5</f>
        <v>108.4</v>
      </c>
      <c r="X5" s="313">
        <f t="shared" ref="X5:X68" si="6">W5*2</f>
        <v>216.8</v>
      </c>
      <c r="Y5" s="313">
        <f t="shared" ref="Y5:Y68" si="7">SUM(G5:H5)*I5*4/1000</f>
        <v>65.040000000000006</v>
      </c>
    </row>
    <row r="6" spans="1:25">
      <c r="A6" s="118">
        <f>'BD Team'!A11</f>
        <v>3</v>
      </c>
      <c r="B6" s="118" t="str">
        <f>'BD Team'!B11</f>
        <v>PD1</v>
      </c>
      <c r="C6" s="118" t="str">
        <f>'BD Team'!C11</f>
        <v>M14600</v>
      </c>
      <c r="D6" s="118" t="str">
        <f>'BD Team'!D11</f>
        <v>POCKET DOOR</v>
      </c>
      <c r="E6" s="118" t="str">
        <f>'BD Team'!F11</f>
        <v>NO</v>
      </c>
      <c r="F6" s="121" t="str">
        <f>'BD Team'!G11</f>
        <v>GF - STUDY &amp; LIVING</v>
      </c>
      <c r="G6" s="118">
        <f>'BD Team'!H11</f>
        <v>1983</v>
      </c>
      <c r="H6" s="118">
        <f>'BD Team'!I11</f>
        <v>2440</v>
      </c>
      <c r="I6" s="118">
        <f>'BD Team'!J11</f>
        <v>1</v>
      </c>
      <c r="J6" s="103">
        <f t="shared" si="0"/>
        <v>52.081829279999994</v>
      </c>
      <c r="K6" s="172">
        <f>'BD Team'!K11</f>
        <v>418</v>
      </c>
      <c r="L6" s="171">
        <f t="shared" si="1"/>
        <v>418</v>
      </c>
      <c r="M6" s="170">
        <f>L6*'Changable Values'!$D$4</f>
        <v>34694</v>
      </c>
      <c r="N6" s="170" t="str">
        <f>'BD Team'!E11</f>
        <v>24MM</v>
      </c>
      <c r="O6" s="172">
        <v>2938</v>
      </c>
      <c r="P6" s="241"/>
      <c r="Q6" s="173"/>
      <c r="R6" s="185"/>
      <c r="S6" s="312"/>
      <c r="T6" s="313">
        <f t="shared" si="2"/>
        <v>29.486666666666668</v>
      </c>
      <c r="U6" s="313">
        <f t="shared" si="3"/>
        <v>35.384</v>
      </c>
      <c r="V6" s="313">
        <f t="shared" si="4"/>
        <v>1.8429166666666668</v>
      </c>
      <c r="W6" s="313">
        <f t="shared" si="5"/>
        <v>29.486666666666668</v>
      </c>
      <c r="X6" s="313">
        <f t="shared" si="6"/>
        <v>58.973333333333336</v>
      </c>
      <c r="Y6" s="313">
        <f t="shared" si="7"/>
        <v>17.692</v>
      </c>
    </row>
    <row r="7" spans="1:25">
      <c r="A7" s="118">
        <f>'BD Team'!A12</f>
        <v>4</v>
      </c>
      <c r="B7" s="118" t="str">
        <f>'BD Team'!B12</f>
        <v>PD2</v>
      </c>
      <c r="C7" s="118" t="str">
        <f>'BD Team'!C12</f>
        <v>M14600</v>
      </c>
      <c r="D7" s="118" t="str">
        <f>'BD Team'!D12</f>
        <v>POCKET DOOR</v>
      </c>
      <c r="E7" s="118" t="str">
        <f>'BD Team'!F12</f>
        <v>NO</v>
      </c>
      <c r="F7" s="121" t="str">
        <f>'BD Team'!G12</f>
        <v>GF - GREAT &amp; FAMILY</v>
      </c>
      <c r="G7" s="118">
        <f>'BD Team'!H12</f>
        <v>2450</v>
      </c>
      <c r="H7" s="118">
        <f>'BD Team'!I12</f>
        <v>2744</v>
      </c>
      <c r="I7" s="118">
        <f>'BD Team'!J12</f>
        <v>2</v>
      </c>
      <c r="J7" s="103">
        <f t="shared" si="0"/>
        <v>144.72843840000002</v>
      </c>
      <c r="K7" s="172">
        <f>'BD Team'!K12</f>
        <v>469.61</v>
      </c>
      <c r="L7" s="171">
        <f t="shared" si="1"/>
        <v>939.22</v>
      </c>
      <c r="M7" s="170">
        <f>L7*'Changable Values'!$D$4</f>
        <v>77955.260000000009</v>
      </c>
      <c r="N7" s="170" t="str">
        <f>'BD Team'!E12</f>
        <v>24MM</v>
      </c>
      <c r="O7" s="172">
        <v>2938</v>
      </c>
      <c r="P7" s="241"/>
      <c r="Q7" s="173"/>
      <c r="R7" s="185"/>
      <c r="S7" s="312"/>
      <c r="T7" s="313">
        <f t="shared" si="2"/>
        <v>69.25333333333333</v>
      </c>
      <c r="U7" s="313">
        <f t="shared" si="3"/>
        <v>83.103999999999999</v>
      </c>
      <c r="V7" s="313">
        <f t="shared" si="4"/>
        <v>4.3283333333333331</v>
      </c>
      <c r="W7" s="313">
        <f t="shared" si="5"/>
        <v>69.25333333333333</v>
      </c>
      <c r="X7" s="313">
        <f t="shared" si="6"/>
        <v>138.50666666666666</v>
      </c>
      <c r="Y7" s="313">
        <f t="shared" si="7"/>
        <v>41.552</v>
      </c>
    </row>
    <row r="8" spans="1:25">
      <c r="A8" s="118">
        <f>'BD Team'!A13</f>
        <v>5</v>
      </c>
      <c r="B8" s="118" t="str">
        <f>'BD Team'!B13</f>
        <v>DW1-A</v>
      </c>
      <c r="C8" s="118" t="str">
        <f>'BD Team'!C13</f>
        <v>M15000</v>
      </c>
      <c r="D8" s="118" t="str">
        <f>'BD Team'!D13</f>
        <v>FRENCH CASEMENT WINDOW</v>
      </c>
      <c r="E8" s="118" t="str">
        <f>'BD Team'!F13</f>
        <v>NO</v>
      </c>
      <c r="F8" s="121" t="str">
        <f>'BD Team'!G13</f>
        <v>GF - SERVANT ROOM</v>
      </c>
      <c r="G8" s="118">
        <f>'BD Team'!H13</f>
        <v>1220</v>
      </c>
      <c r="H8" s="118">
        <f>'BD Team'!I13</f>
        <v>1372</v>
      </c>
      <c r="I8" s="118">
        <f>'BD Team'!J13</f>
        <v>1</v>
      </c>
      <c r="J8" s="103">
        <f t="shared" si="0"/>
        <v>18.017213759999997</v>
      </c>
      <c r="K8" s="172">
        <f>'BD Team'!K13</f>
        <v>311.66000000000003</v>
      </c>
      <c r="L8" s="171">
        <f t="shared" si="1"/>
        <v>311.66000000000003</v>
      </c>
      <c r="M8" s="170">
        <f>L8*'Changable Values'!$D$4</f>
        <v>25867.780000000002</v>
      </c>
      <c r="N8" s="170" t="str">
        <f>'BD Team'!E13</f>
        <v>24MM</v>
      </c>
      <c r="O8" s="172">
        <v>2938</v>
      </c>
      <c r="P8" s="241"/>
      <c r="Q8" s="173"/>
      <c r="R8" s="185"/>
      <c r="S8" s="312"/>
      <c r="T8" s="313">
        <f t="shared" si="2"/>
        <v>17.28</v>
      </c>
      <c r="U8" s="313">
        <f t="shared" si="3"/>
        <v>20.736000000000001</v>
      </c>
      <c r="V8" s="313">
        <f t="shared" si="4"/>
        <v>1.08</v>
      </c>
      <c r="W8" s="313">
        <f t="shared" si="5"/>
        <v>17.28</v>
      </c>
      <c r="X8" s="313">
        <f t="shared" si="6"/>
        <v>34.56</v>
      </c>
      <c r="Y8" s="313">
        <f t="shared" si="7"/>
        <v>10.368</v>
      </c>
    </row>
    <row r="9" spans="1:25">
      <c r="A9" s="118">
        <f>'BD Team'!A14</f>
        <v>6</v>
      </c>
      <c r="B9" s="118" t="str">
        <f>'BD Team'!B14</f>
        <v>DW1-B</v>
      </c>
      <c r="C9" s="118" t="str">
        <f>'BD Team'!C14</f>
        <v>M15000</v>
      </c>
      <c r="D9" s="118" t="str">
        <f>'BD Team'!D14</f>
        <v>SINGLE DOOR</v>
      </c>
      <c r="E9" s="118" t="str">
        <f>'BD Team'!F14</f>
        <v>NO</v>
      </c>
      <c r="F9" s="121" t="str">
        <f>'BD Team'!G14</f>
        <v>GF - SERVANT ROOM</v>
      </c>
      <c r="G9" s="118">
        <f>'BD Team'!H14</f>
        <v>916</v>
      </c>
      <c r="H9" s="118">
        <f>'BD Team'!I14</f>
        <v>2440</v>
      </c>
      <c r="I9" s="118">
        <f>'BD Team'!J14</f>
        <v>1</v>
      </c>
      <c r="J9" s="103">
        <f t="shared" si="0"/>
        <v>24.057970559999998</v>
      </c>
      <c r="K9" s="172">
        <f>'BD Team'!K14</f>
        <v>362.4</v>
      </c>
      <c r="L9" s="171">
        <f t="shared" si="1"/>
        <v>362.4</v>
      </c>
      <c r="M9" s="170">
        <f>L9*'Changable Values'!$D$4</f>
        <v>30079.199999999997</v>
      </c>
      <c r="N9" s="170" t="str">
        <f>'BD Team'!E14</f>
        <v>24MM</v>
      </c>
      <c r="O9" s="172">
        <v>2938</v>
      </c>
      <c r="P9" s="241"/>
      <c r="Q9" s="173"/>
      <c r="R9" s="185"/>
      <c r="S9" s="312"/>
      <c r="T9" s="313">
        <f t="shared" si="2"/>
        <v>22.373333333333335</v>
      </c>
      <c r="U9" s="313">
        <f t="shared" si="3"/>
        <v>26.847999999999999</v>
      </c>
      <c r="V9" s="313">
        <f t="shared" si="4"/>
        <v>1.3983333333333334</v>
      </c>
      <c r="W9" s="313">
        <f t="shared" si="5"/>
        <v>22.373333333333335</v>
      </c>
      <c r="X9" s="313">
        <f t="shared" si="6"/>
        <v>44.74666666666667</v>
      </c>
      <c r="Y9" s="313">
        <f t="shared" si="7"/>
        <v>13.423999999999999</v>
      </c>
    </row>
    <row r="10" spans="1:25">
      <c r="A10" s="118">
        <f>'BD Team'!A15</f>
        <v>7</v>
      </c>
      <c r="B10" s="118" t="str">
        <f>'BD Team'!B15</f>
        <v>DW2-A</v>
      </c>
      <c r="C10" s="118" t="str">
        <f>'BD Team'!C15</f>
        <v>-</v>
      </c>
      <c r="D10" s="118" t="str">
        <f>'BD Team'!D15</f>
        <v>GLASS LOUVERS</v>
      </c>
      <c r="E10" s="118" t="str">
        <f>'BD Team'!F15</f>
        <v>SS</v>
      </c>
      <c r="F10" s="121" t="str">
        <f>'BD Team'!G15</f>
        <v>GF - UTILITY</v>
      </c>
      <c r="G10" s="118">
        <f>'BD Team'!H15</f>
        <v>1068</v>
      </c>
      <c r="H10" s="118">
        <f>'BD Team'!I15</f>
        <v>1372</v>
      </c>
      <c r="I10" s="118">
        <f>'BD Team'!J15</f>
        <v>1</v>
      </c>
      <c r="J10" s="103">
        <f t="shared" si="0"/>
        <v>15.772446144</v>
      </c>
      <c r="K10" s="172">
        <f>'BD Team'!K15</f>
        <v>65.930000000000007</v>
      </c>
      <c r="L10" s="171">
        <f t="shared" si="1"/>
        <v>65.930000000000007</v>
      </c>
      <c r="M10" s="170">
        <f>L10*'Changable Values'!$D$4</f>
        <v>5472.1900000000005</v>
      </c>
      <c r="N10" s="170" t="str">
        <f>'BD Team'!E15</f>
        <v>6MM (A)</v>
      </c>
      <c r="O10" s="172">
        <v>1002</v>
      </c>
      <c r="P10" s="241"/>
      <c r="Q10" s="173">
        <f>50*10.764</f>
        <v>538.19999999999993</v>
      </c>
      <c r="R10" s="185"/>
      <c r="S10" s="312"/>
      <c r="T10" s="313">
        <f t="shared" si="2"/>
        <v>16.266666666666666</v>
      </c>
      <c r="U10" s="313">
        <f t="shared" si="3"/>
        <v>19.52</v>
      </c>
      <c r="V10" s="313">
        <f t="shared" si="4"/>
        <v>1.0166666666666666</v>
      </c>
      <c r="W10" s="313">
        <f t="shared" si="5"/>
        <v>16.266666666666666</v>
      </c>
      <c r="X10" s="313">
        <f t="shared" si="6"/>
        <v>32.533333333333331</v>
      </c>
      <c r="Y10" s="313">
        <f t="shared" si="7"/>
        <v>9.76</v>
      </c>
    </row>
    <row r="11" spans="1:25">
      <c r="A11" s="118">
        <f>'BD Team'!A16</f>
        <v>8</v>
      </c>
      <c r="B11" s="118" t="str">
        <f>'BD Team'!B16</f>
        <v>DW2-B</v>
      </c>
      <c r="C11" s="118" t="str">
        <f>'BD Team'!C16</f>
        <v>M15000</v>
      </c>
      <c r="D11" s="118" t="str">
        <f>'BD Team'!D16</f>
        <v>SINGLE DOOR</v>
      </c>
      <c r="E11" s="118" t="str">
        <f>'BD Team'!F16</f>
        <v>NO</v>
      </c>
      <c r="F11" s="121" t="str">
        <f>'BD Team'!G16</f>
        <v>GF - UTILITY</v>
      </c>
      <c r="G11" s="118">
        <f>'BD Team'!H16</f>
        <v>916</v>
      </c>
      <c r="H11" s="118">
        <f>'BD Team'!I16</f>
        <v>2440</v>
      </c>
      <c r="I11" s="118">
        <f>'BD Team'!J16</f>
        <v>1</v>
      </c>
      <c r="J11" s="103">
        <f t="shared" si="0"/>
        <v>24.057970559999998</v>
      </c>
      <c r="K11" s="172">
        <f>'BD Team'!K16</f>
        <v>343.19</v>
      </c>
      <c r="L11" s="171">
        <f t="shared" si="1"/>
        <v>343.19</v>
      </c>
      <c r="M11" s="170">
        <f>L11*'Changable Values'!$D$4</f>
        <v>28484.77</v>
      </c>
      <c r="N11" s="170" t="str">
        <f>'BD Team'!E16</f>
        <v>24MM</v>
      </c>
      <c r="O11" s="172">
        <v>2938</v>
      </c>
      <c r="P11" s="241"/>
      <c r="Q11" s="173"/>
      <c r="R11" s="185"/>
      <c r="S11" s="312"/>
      <c r="T11" s="313">
        <f t="shared" si="2"/>
        <v>22.373333333333335</v>
      </c>
      <c r="U11" s="313">
        <f t="shared" si="3"/>
        <v>26.847999999999999</v>
      </c>
      <c r="V11" s="313">
        <f t="shared" si="4"/>
        <v>1.3983333333333334</v>
      </c>
      <c r="W11" s="313">
        <f t="shared" si="5"/>
        <v>22.373333333333335</v>
      </c>
      <c r="X11" s="313">
        <f t="shared" si="6"/>
        <v>44.74666666666667</v>
      </c>
      <c r="Y11" s="313">
        <f t="shared" si="7"/>
        <v>13.423999999999999</v>
      </c>
    </row>
    <row r="12" spans="1:25">
      <c r="A12" s="118">
        <f>'BD Team'!A17</f>
        <v>9</v>
      </c>
      <c r="B12" s="118" t="str">
        <f>'BD Team'!B17</f>
        <v>DW2-C</v>
      </c>
      <c r="C12" s="118" t="str">
        <f>'BD Team'!C17</f>
        <v>-</v>
      </c>
      <c r="D12" s="118" t="str">
        <f>'BD Team'!D17</f>
        <v>GLASS LOUVERS</v>
      </c>
      <c r="E12" s="118" t="str">
        <f>'BD Team'!F17</f>
        <v>SS</v>
      </c>
      <c r="F12" s="121" t="str">
        <f>'BD Team'!G17</f>
        <v>GF - UTILITY</v>
      </c>
      <c r="G12" s="118">
        <f>'BD Team'!H17</f>
        <v>610</v>
      </c>
      <c r="H12" s="118">
        <f>'BD Team'!I17</f>
        <v>1372</v>
      </c>
      <c r="I12" s="118">
        <f>'BD Team'!J17</f>
        <v>1</v>
      </c>
      <c r="J12" s="103">
        <f t="shared" si="0"/>
        <v>9.0086068799999985</v>
      </c>
      <c r="K12" s="172">
        <f>'BD Team'!K17</f>
        <v>50.95</v>
      </c>
      <c r="L12" s="171">
        <f t="shared" si="1"/>
        <v>50.95</v>
      </c>
      <c r="M12" s="170">
        <f>L12*'Changable Values'!$D$4</f>
        <v>4228.8500000000004</v>
      </c>
      <c r="N12" s="170" t="str">
        <f>'BD Team'!E17</f>
        <v>6MM (A)</v>
      </c>
      <c r="O12" s="172">
        <v>1002</v>
      </c>
      <c r="P12" s="241"/>
      <c r="Q12" s="173">
        <f>50*10.764</f>
        <v>538.19999999999993</v>
      </c>
      <c r="R12" s="185"/>
      <c r="S12" s="312"/>
      <c r="T12" s="313">
        <f t="shared" si="2"/>
        <v>13.213333333333333</v>
      </c>
      <c r="U12" s="313">
        <f t="shared" si="3"/>
        <v>15.856</v>
      </c>
      <c r="V12" s="313">
        <f t="shared" si="4"/>
        <v>0.82583333333333331</v>
      </c>
      <c r="W12" s="313">
        <f t="shared" si="5"/>
        <v>13.213333333333333</v>
      </c>
      <c r="X12" s="313">
        <f t="shared" si="6"/>
        <v>26.426666666666666</v>
      </c>
      <c r="Y12" s="313">
        <f t="shared" si="7"/>
        <v>7.9279999999999999</v>
      </c>
    </row>
    <row r="13" spans="1:25">
      <c r="A13" s="118">
        <f>'BD Team'!A18</f>
        <v>10</v>
      </c>
      <c r="B13" s="118" t="str">
        <f>'BD Team'!B18</f>
        <v>DV1-A</v>
      </c>
      <c r="C13" s="118" t="str">
        <f>'BD Team'!C18</f>
        <v>M15000</v>
      </c>
      <c r="D13" s="118" t="str">
        <f>'BD Team'!D18</f>
        <v>SINGLE DOOR</v>
      </c>
      <c r="E13" s="118" t="str">
        <f>'BD Team'!F18</f>
        <v>NO</v>
      </c>
      <c r="F13" s="121" t="str">
        <f>'BD Team'!G18</f>
        <v>GF - SERVANT TOILET</v>
      </c>
      <c r="G13" s="118">
        <f>'BD Team'!H18</f>
        <v>916</v>
      </c>
      <c r="H13" s="118">
        <f>'BD Team'!I18</f>
        <v>2440</v>
      </c>
      <c r="I13" s="118">
        <f>'BD Team'!J18</f>
        <v>1</v>
      </c>
      <c r="J13" s="103">
        <f t="shared" si="0"/>
        <v>24.057970559999998</v>
      </c>
      <c r="K13" s="172">
        <f>'BD Team'!K18</f>
        <v>362.4</v>
      </c>
      <c r="L13" s="171">
        <f t="shared" si="1"/>
        <v>362.4</v>
      </c>
      <c r="M13" s="170">
        <f>L13*'Changable Values'!$D$4</f>
        <v>30079.199999999997</v>
      </c>
      <c r="N13" s="170" t="str">
        <f>'BD Team'!E18</f>
        <v>24MM</v>
      </c>
      <c r="O13" s="172">
        <v>2938</v>
      </c>
      <c r="P13" s="241"/>
      <c r="Q13" s="173"/>
      <c r="R13" s="185"/>
      <c r="S13" s="312"/>
      <c r="T13" s="313">
        <f t="shared" si="2"/>
        <v>22.373333333333335</v>
      </c>
      <c r="U13" s="313">
        <f t="shared" si="3"/>
        <v>26.847999999999999</v>
      </c>
      <c r="V13" s="313">
        <f t="shared" si="4"/>
        <v>1.3983333333333334</v>
      </c>
      <c r="W13" s="313">
        <f t="shared" si="5"/>
        <v>22.373333333333335</v>
      </c>
      <c r="X13" s="313">
        <f t="shared" si="6"/>
        <v>44.74666666666667</v>
      </c>
      <c r="Y13" s="313">
        <f t="shared" si="7"/>
        <v>13.423999999999999</v>
      </c>
    </row>
    <row r="14" spans="1:25">
      <c r="A14" s="118">
        <f>'BD Team'!A19</f>
        <v>11</v>
      </c>
      <c r="B14" s="118" t="str">
        <f>'BD Team'!B19</f>
        <v>DV1-B</v>
      </c>
      <c r="C14" s="118" t="str">
        <f>'BD Team'!C19</f>
        <v>-</v>
      </c>
      <c r="D14" s="118" t="str">
        <f>'BD Team'!D19</f>
        <v>GLASS LOUVERS</v>
      </c>
      <c r="E14" s="118" t="str">
        <f>'BD Team'!F19</f>
        <v>SS</v>
      </c>
      <c r="F14" s="121" t="str">
        <f>'BD Team'!G19</f>
        <v>GF - SERVANT TOILET</v>
      </c>
      <c r="G14" s="118">
        <f>'BD Team'!H19</f>
        <v>864</v>
      </c>
      <c r="H14" s="118">
        <f>'BD Team'!I19</f>
        <v>916</v>
      </c>
      <c r="I14" s="118">
        <f>'BD Team'!J19</f>
        <v>1</v>
      </c>
      <c r="J14" s="103">
        <f t="shared" si="0"/>
        <v>8.5188879359999987</v>
      </c>
      <c r="K14" s="172">
        <f>'BD Team'!K19</f>
        <v>18.12</v>
      </c>
      <c r="L14" s="171">
        <f t="shared" si="1"/>
        <v>18.12</v>
      </c>
      <c r="M14" s="170">
        <f>L14*'Changable Values'!$D$4</f>
        <v>1503.96</v>
      </c>
      <c r="N14" s="170" t="str">
        <f>'BD Team'!E19</f>
        <v>6MM (A)</v>
      </c>
      <c r="O14" s="172">
        <v>1002</v>
      </c>
      <c r="P14" s="241"/>
      <c r="Q14" s="173">
        <f>50*10.764</f>
        <v>538.19999999999993</v>
      </c>
      <c r="R14" s="185"/>
      <c r="S14" s="312"/>
      <c r="T14" s="313">
        <f t="shared" si="2"/>
        <v>11.866666666666667</v>
      </c>
      <c r="U14" s="313">
        <f t="shared" si="3"/>
        <v>14.24</v>
      </c>
      <c r="V14" s="313">
        <f t="shared" si="4"/>
        <v>0.7416666666666667</v>
      </c>
      <c r="W14" s="313">
        <f t="shared" si="5"/>
        <v>11.866666666666667</v>
      </c>
      <c r="X14" s="313">
        <f t="shared" si="6"/>
        <v>23.733333333333334</v>
      </c>
      <c r="Y14" s="313">
        <f t="shared" si="7"/>
        <v>7.12</v>
      </c>
    </row>
    <row r="15" spans="1:25">
      <c r="A15" s="118">
        <f>'BD Team'!A20</f>
        <v>12</v>
      </c>
      <c r="B15" s="118" t="str">
        <f>'BD Team'!B20</f>
        <v>W1</v>
      </c>
      <c r="C15" s="118" t="str">
        <f>'BD Team'!C20</f>
        <v>M15000</v>
      </c>
      <c r="D15" s="118" t="str">
        <f>'BD Team'!D20</f>
        <v>SINGLE DOOR</v>
      </c>
      <c r="E15" s="118" t="str">
        <f>'BD Team'!F20</f>
        <v>NO</v>
      </c>
      <c r="F15" s="121" t="str">
        <f>'BD Team'!G20</f>
        <v>GF / FF - STAIRCASE</v>
      </c>
      <c r="G15" s="118">
        <f>'BD Team'!H20</f>
        <v>712</v>
      </c>
      <c r="H15" s="118">
        <f>'BD Team'!I20</f>
        <v>2134</v>
      </c>
      <c r="I15" s="118">
        <f>'BD Team'!J20</f>
        <v>2</v>
      </c>
      <c r="J15" s="103">
        <f t="shared" si="0"/>
        <v>32.709815423999999</v>
      </c>
      <c r="K15" s="172">
        <f>'BD Team'!K20</f>
        <v>320.64999999999998</v>
      </c>
      <c r="L15" s="171">
        <f t="shared" si="1"/>
        <v>641.29999999999995</v>
      </c>
      <c r="M15" s="170">
        <f>L15*'Changable Values'!$D$4</f>
        <v>53227.899999999994</v>
      </c>
      <c r="N15" s="170" t="str">
        <f>'BD Team'!E20</f>
        <v>24MM</v>
      </c>
      <c r="O15" s="172">
        <v>2938</v>
      </c>
      <c r="P15" s="241"/>
      <c r="Q15" s="173"/>
      <c r="R15" s="185"/>
      <c r="S15" s="312"/>
      <c r="T15" s="313">
        <f t="shared" si="2"/>
        <v>37.946666666666665</v>
      </c>
      <c r="U15" s="313">
        <f t="shared" si="3"/>
        <v>45.536000000000001</v>
      </c>
      <c r="V15" s="313">
        <f t="shared" si="4"/>
        <v>2.3716666666666666</v>
      </c>
      <c r="W15" s="313">
        <f t="shared" si="5"/>
        <v>37.946666666666665</v>
      </c>
      <c r="X15" s="313">
        <f t="shared" si="6"/>
        <v>75.893333333333331</v>
      </c>
      <c r="Y15" s="313">
        <f t="shared" si="7"/>
        <v>22.768000000000001</v>
      </c>
    </row>
    <row r="16" spans="1:25" ht="28.5">
      <c r="A16" s="118">
        <f>'BD Team'!A21</f>
        <v>13</v>
      </c>
      <c r="B16" s="118" t="str">
        <f>'BD Team'!B21</f>
        <v>W2</v>
      </c>
      <c r="C16" s="118" t="str">
        <f>'BD Team'!C21</f>
        <v>M15000</v>
      </c>
      <c r="D16" s="118" t="str">
        <f>'BD Team'!D21</f>
        <v>SINGLE DOOR</v>
      </c>
      <c r="E16" s="118" t="str">
        <f>'BD Team'!F21</f>
        <v>NO</v>
      </c>
      <c r="F16" s="121" t="str">
        <f>'BD Team'!G21</f>
        <v>GF - MBR, GBR &amp; FF - BR 1 &amp; BR 2</v>
      </c>
      <c r="G16" s="118">
        <f>'BD Team'!H21</f>
        <v>712</v>
      </c>
      <c r="H16" s="118">
        <f>'BD Team'!I21</f>
        <v>1678</v>
      </c>
      <c r="I16" s="118">
        <f>'BD Team'!J21</f>
        <v>8</v>
      </c>
      <c r="J16" s="103">
        <f t="shared" si="0"/>
        <v>102.881106432</v>
      </c>
      <c r="K16" s="172">
        <f>'BD Team'!K21</f>
        <v>270.97000000000003</v>
      </c>
      <c r="L16" s="171">
        <f t="shared" si="1"/>
        <v>2167.7600000000002</v>
      </c>
      <c r="M16" s="170">
        <f>L16*'Changable Values'!$D$4</f>
        <v>179924.08000000002</v>
      </c>
      <c r="N16" s="170" t="str">
        <f>'BD Team'!E21</f>
        <v>24MM</v>
      </c>
      <c r="O16" s="172">
        <v>2938</v>
      </c>
      <c r="P16" s="241"/>
      <c r="Q16" s="173"/>
      <c r="R16" s="185"/>
      <c r="S16" s="312"/>
      <c r="T16" s="313">
        <f t="shared" si="2"/>
        <v>127.46666666666667</v>
      </c>
      <c r="U16" s="313">
        <f t="shared" si="3"/>
        <v>152.96</v>
      </c>
      <c r="V16" s="313">
        <f t="shared" si="4"/>
        <v>7.9666666666666668</v>
      </c>
      <c r="W16" s="313">
        <f t="shared" si="5"/>
        <v>127.46666666666667</v>
      </c>
      <c r="X16" s="313">
        <f t="shared" si="6"/>
        <v>254.93333333333334</v>
      </c>
      <c r="Y16" s="313">
        <f t="shared" si="7"/>
        <v>76.48</v>
      </c>
    </row>
    <row r="17" spans="1:25">
      <c r="A17" s="118">
        <f>'BD Team'!A22</f>
        <v>14</v>
      </c>
      <c r="B17" s="118" t="str">
        <f>'BD Team'!B22</f>
        <v>W3</v>
      </c>
      <c r="C17" s="118" t="str">
        <f>'BD Team'!C22</f>
        <v>M15000</v>
      </c>
      <c r="D17" s="118" t="str">
        <f>'BD Team'!D22</f>
        <v>FIXED GLASS 3 NO'S</v>
      </c>
      <c r="E17" s="118" t="str">
        <f>'BD Team'!F22</f>
        <v>NO</v>
      </c>
      <c r="F17" s="121" t="str">
        <f>'BD Team'!G22</f>
        <v>FF - BR 1</v>
      </c>
      <c r="G17" s="118">
        <f>'BD Team'!H22</f>
        <v>3864</v>
      </c>
      <c r="H17" s="118">
        <f>'BD Team'!I22</f>
        <v>1220</v>
      </c>
      <c r="I17" s="118">
        <f>'BD Team'!J22</f>
        <v>1</v>
      </c>
      <c r="J17" s="103">
        <f t="shared" si="0"/>
        <v>50.742357119999994</v>
      </c>
      <c r="K17" s="172">
        <f>'BD Team'!K22</f>
        <v>171.25</v>
      </c>
      <c r="L17" s="171">
        <f t="shared" si="1"/>
        <v>171.25</v>
      </c>
      <c r="M17" s="170">
        <f>L17*'Changable Values'!$D$4</f>
        <v>14213.75</v>
      </c>
      <c r="N17" s="170" t="str">
        <f>'BD Team'!E22</f>
        <v>24MM</v>
      </c>
      <c r="O17" s="172">
        <v>2938</v>
      </c>
      <c r="P17" s="241"/>
      <c r="Q17" s="173"/>
      <c r="R17" s="185"/>
      <c r="S17" s="312"/>
      <c r="T17" s="313">
        <f t="shared" si="2"/>
        <v>33.893333333333331</v>
      </c>
      <c r="U17" s="313">
        <f t="shared" si="3"/>
        <v>40.671999999999997</v>
      </c>
      <c r="V17" s="313">
        <f t="shared" si="4"/>
        <v>2.1183333333333332</v>
      </c>
      <c r="W17" s="313">
        <f t="shared" si="5"/>
        <v>33.893333333333331</v>
      </c>
      <c r="X17" s="313">
        <f t="shared" si="6"/>
        <v>67.786666666666662</v>
      </c>
      <c r="Y17" s="313">
        <f t="shared" si="7"/>
        <v>20.335999999999999</v>
      </c>
    </row>
    <row r="18" spans="1:25">
      <c r="A18" s="118">
        <f>'BD Team'!A23</f>
        <v>15</v>
      </c>
      <c r="B18" s="118" t="str">
        <f>'BD Team'!B23</f>
        <v>W4-A</v>
      </c>
      <c r="C18" s="118" t="str">
        <f>'BD Team'!C23</f>
        <v>M15000</v>
      </c>
      <c r="D18" s="118" t="str">
        <f>'BD Team'!D23</f>
        <v>FIXED GLASS 3 NO'S</v>
      </c>
      <c r="E18" s="118" t="str">
        <f>'BD Team'!F23</f>
        <v>NO</v>
      </c>
      <c r="F18" s="121" t="str">
        <f>'BD Team'!G23</f>
        <v>FF - GREAT ROOM</v>
      </c>
      <c r="G18" s="118">
        <f>'BD Team'!H23</f>
        <v>6808</v>
      </c>
      <c r="H18" s="118">
        <f>'BD Team'!I23</f>
        <v>306</v>
      </c>
      <c r="I18" s="118">
        <f>'BD Team'!J23</f>
        <v>1</v>
      </c>
      <c r="J18" s="103">
        <f t="shared" si="0"/>
        <v>22.424081471999997</v>
      </c>
      <c r="K18" s="172">
        <f>'BD Team'!K23</f>
        <v>201.38</v>
      </c>
      <c r="L18" s="171">
        <f t="shared" si="1"/>
        <v>201.38</v>
      </c>
      <c r="M18" s="170">
        <f>L18*'Changable Values'!$D$4</f>
        <v>16714.54</v>
      </c>
      <c r="N18" s="170" t="str">
        <f>'BD Team'!E23</f>
        <v>10MM</v>
      </c>
      <c r="O18" s="172">
        <v>1589</v>
      </c>
      <c r="P18" s="241"/>
      <c r="Q18" s="173"/>
      <c r="R18" s="185"/>
      <c r="S18" s="312"/>
      <c r="T18" s="313">
        <f t="shared" si="2"/>
        <v>47.426666666666669</v>
      </c>
      <c r="U18" s="313">
        <f t="shared" si="3"/>
        <v>56.911999999999999</v>
      </c>
      <c r="V18" s="313">
        <f t="shared" si="4"/>
        <v>2.9641666666666668</v>
      </c>
      <c r="W18" s="313">
        <f t="shared" si="5"/>
        <v>47.426666666666669</v>
      </c>
      <c r="X18" s="313">
        <f t="shared" si="6"/>
        <v>94.853333333333339</v>
      </c>
      <c r="Y18" s="313">
        <f t="shared" si="7"/>
        <v>28.456</v>
      </c>
    </row>
    <row r="19" spans="1:25">
      <c r="A19" s="118">
        <f>'BD Team'!A24</f>
        <v>16</v>
      </c>
      <c r="B19" s="118" t="str">
        <f>'BD Team'!B24</f>
        <v>W4-B</v>
      </c>
      <c r="C19" s="118" t="str">
        <f>'BD Team'!C24</f>
        <v>M15000</v>
      </c>
      <c r="D19" s="118" t="str">
        <f>'BD Team'!D24</f>
        <v>FIXED GLASS</v>
      </c>
      <c r="E19" s="118" t="str">
        <f>'BD Team'!F24</f>
        <v>NO</v>
      </c>
      <c r="F19" s="121" t="str">
        <f>'BD Team'!G24</f>
        <v>FF - GREAT ROOM</v>
      </c>
      <c r="G19" s="118">
        <f>'BD Team'!H24</f>
        <v>2186</v>
      </c>
      <c r="H19" s="118">
        <f>'BD Team'!I24</f>
        <v>306</v>
      </c>
      <c r="I19" s="118">
        <f>'BD Team'!J24</f>
        <v>1</v>
      </c>
      <c r="J19" s="103">
        <f t="shared" si="0"/>
        <v>7.2002118240000001</v>
      </c>
      <c r="K19" s="172">
        <f>'BD Team'!K24</f>
        <v>56.65</v>
      </c>
      <c r="L19" s="171">
        <f t="shared" si="1"/>
        <v>56.65</v>
      </c>
      <c r="M19" s="170">
        <f>L19*'Changable Values'!$D$4</f>
        <v>4701.95</v>
      </c>
      <c r="N19" s="170" t="str">
        <f>'BD Team'!E24</f>
        <v>10MM</v>
      </c>
      <c r="O19" s="172">
        <v>1589</v>
      </c>
      <c r="P19" s="241"/>
      <c r="Q19" s="173"/>
      <c r="R19" s="185"/>
      <c r="S19" s="312"/>
      <c r="T19" s="313">
        <f t="shared" si="2"/>
        <v>16.613333333333333</v>
      </c>
      <c r="U19" s="313">
        <f t="shared" si="3"/>
        <v>19.936</v>
      </c>
      <c r="V19" s="313">
        <f t="shared" si="4"/>
        <v>1.0383333333333333</v>
      </c>
      <c r="W19" s="313">
        <f t="shared" si="5"/>
        <v>16.613333333333333</v>
      </c>
      <c r="X19" s="313">
        <f t="shared" si="6"/>
        <v>33.226666666666667</v>
      </c>
      <c r="Y19" s="313">
        <f t="shared" si="7"/>
        <v>9.968</v>
      </c>
    </row>
    <row r="20" spans="1:25">
      <c r="A20" s="118">
        <f>'BD Team'!A25</f>
        <v>17</v>
      </c>
      <c r="B20" s="118" t="str">
        <f>'BD Team'!B25</f>
        <v>W4-C</v>
      </c>
      <c r="C20" s="118" t="str">
        <f>'BD Team'!C25</f>
        <v>M15000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FF - GREAT ROOM</v>
      </c>
      <c r="G20" s="118">
        <f>'BD Team'!H25</f>
        <v>610</v>
      </c>
      <c r="H20" s="118">
        <f>'BD Team'!I25</f>
        <v>3272</v>
      </c>
      <c r="I20" s="118">
        <f>'BD Team'!J25</f>
        <v>1</v>
      </c>
      <c r="J20" s="103">
        <f t="shared" si="0"/>
        <v>21.484082879999999</v>
      </c>
      <c r="K20" s="172">
        <f>'BD Team'!K25</f>
        <v>80.87</v>
      </c>
      <c r="L20" s="171">
        <f t="shared" si="1"/>
        <v>80.87</v>
      </c>
      <c r="M20" s="170">
        <f>L20*'Changable Values'!$D$4</f>
        <v>6712.21</v>
      </c>
      <c r="N20" s="170" t="str">
        <f>'BD Team'!E25</f>
        <v>10MM</v>
      </c>
      <c r="O20" s="172">
        <v>1589</v>
      </c>
      <c r="P20" s="241"/>
      <c r="Q20" s="173"/>
      <c r="R20" s="185"/>
      <c r="S20" s="312"/>
      <c r="T20" s="313">
        <f t="shared" si="2"/>
        <v>25.88</v>
      </c>
      <c r="U20" s="313">
        <f t="shared" si="3"/>
        <v>31.056000000000001</v>
      </c>
      <c r="V20" s="313">
        <f t="shared" si="4"/>
        <v>1.6174999999999999</v>
      </c>
      <c r="W20" s="313">
        <f t="shared" si="5"/>
        <v>25.88</v>
      </c>
      <c r="X20" s="313">
        <f t="shared" si="6"/>
        <v>51.76</v>
      </c>
      <c r="Y20" s="313">
        <f t="shared" si="7"/>
        <v>15.528</v>
      </c>
    </row>
    <row r="21" spans="1:25" ht="28.5">
      <c r="A21" s="118">
        <f>'BD Team'!A26</f>
        <v>18</v>
      </c>
      <c r="B21" s="118" t="str">
        <f>'BD Team'!B26</f>
        <v>SW1</v>
      </c>
      <c r="C21" s="118" t="str">
        <f>'BD Team'!C26</f>
        <v>M900</v>
      </c>
      <c r="D21" s="118" t="str">
        <f>'BD Team'!D26</f>
        <v>3 TRACK 2 SHUTTER SLIDING WINDOW</v>
      </c>
      <c r="E21" s="118" t="str">
        <f>'BD Team'!F26</f>
        <v>SS</v>
      </c>
      <c r="F21" s="121" t="str">
        <f>'BD Team'!G26</f>
        <v>GF - STAFF RECEPTION ROOM</v>
      </c>
      <c r="G21" s="118">
        <f>'BD Team'!H26</f>
        <v>1170</v>
      </c>
      <c r="H21" s="118">
        <f>'BD Team'!I26</f>
        <v>1372</v>
      </c>
      <c r="I21" s="118">
        <f>'BD Team'!J26</f>
        <v>1</v>
      </c>
      <c r="J21" s="103">
        <f t="shared" si="0"/>
        <v>17.278803359999998</v>
      </c>
      <c r="K21" s="172">
        <f>'BD Team'!K26</f>
        <v>145.42000000000002</v>
      </c>
      <c r="L21" s="171">
        <f t="shared" si="1"/>
        <v>145.42000000000002</v>
      </c>
      <c r="M21" s="170">
        <f>L21*'Changable Values'!$D$4</f>
        <v>12069.86</v>
      </c>
      <c r="N21" s="170" t="str">
        <f>'BD Team'!E26</f>
        <v>20MM</v>
      </c>
      <c r="O21" s="172">
        <v>2538</v>
      </c>
      <c r="P21" s="241"/>
      <c r="Q21" s="173">
        <f t="shared" ref="Q21:Q30" si="8">50*10.764</f>
        <v>538.19999999999993</v>
      </c>
      <c r="R21" s="185"/>
      <c r="S21" s="312"/>
      <c r="T21" s="313">
        <f t="shared" si="2"/>
        <v>16.946666666666665</v>
      </c>
      <c r="U21" s="313">
        <f t="shared" si="3"/>
        <v>20.335999999999999</v>
      </c>
      <c r="V21" s="313">
        <f t="shared" si="4"/>
        <v>1.0591666666666666</v>
      </c>
      <c r="W21" s="313">
        <f t="shared" si="5"/>
        <v>16.946666666666665</v>
      </c>
      <c r="X21" s="313">
        <f t="shared" si="6"/>
        <v>33.893333333333331</v>
      </c>
      <c r="Y21" s="313">
        <f t="shared" si="7"/>
        <v>10.167999999999999</v>
      </c>
    </row>
    <row r="22" spans="1:25">
      <c r="A22" s="118">
        <f>'BD Team'!A27</f>
        <v>19</v>
      </c>
      <c r="B22" s="118" t="str">
        <f>'BD Team'!B27</f>
        <v>SW3</v>
      </c>
      <c r="C22" s="118" t="str">
        <f>'BD Team'!C27</f>
        <v>M900</v>
      </c>
      <c r="D22" s="118" t="str">
        <f>'BD Team'!D27</f>
        <v>3 TRACK 2 SHUTTER SLIDING WINDOW</v>
      </c>
      <c r="E22" s="118" t="str">
        <f>'BD Team'!F27</f>
        <v>SS</v>
      </c>
      <c r="F22" s="121" t="str">
        <f>'BD Team'!G27</f>
        <v>GF - STUDY &amp; LIVING</v>
      </c>
      <c r="G22" s="118">
        <f>'BD Team'!H27</f>
        <v>2490</v>
      </c>
      <c r="H22" s="118">
        <f>'BD Team'!I27</f>
        <v>1524</v>
      </c>
      <c r="I22" s="118">
        <f>'BD Team'!J27</f>
        <v>1</v>
      </c>
      <c r="J22" s="103">
        <f t="shared" si="0"/>
        <v>40.846796640000001</v>
      </c>
      <c r="K22" s="172">
        <f>'BD Team'!K27</f>
        <v>196.01</v>
      </c>
      <c r="L22" s="171">
        <f t="shared" si="1"/>
        <v>196.01</v>
      </c>
      <c r="M22" s="170">
        <f>L22*'Changable Values'!$D$4</f>
        <v>16268.83</v>
      </c>
      <c r="N22" s="170" t="str">
        <f>'BD Team'!E27</f>
        <v>20MM</v>
      </c>
      <c r="O22" s="172">
        <v>2538</v>
      </c>
      <c r="P22" s="241"/>
      <c r="Q22" s="173">
        <f t="shared" si="8"/>
        <v>538.19999999999993</v>
      </c>
      <c r="R22" s="185"/>
      <c r="S22" s="312"/>
      <c r="T22" s="313">
        <f t="shared" si="2"/>
        <v>26.76</v>
      </c>
      <c r="U22" s="313">
        <f t="shared" si="3"/>
        <v>32.112000000000002</v>
      </c>
      <c r="V22" s="313">
        <f t="shared" si="4"/>
        <v>1.6725000000000001</v>
      </c>
      <c r="W22" s="313">
        <f t="shared" si="5"/>
        <v>26.76</v>
      </c>
      <c r="X22" s="313">
        <f t="shared" si="6"/>
        <v>53.52</v>
      </c>
      <c r="Y22" s="313">
        <f t="shared" si="7"/>
        <v>16.056000000000001</v>
      </c>
    </row>
    <row r="23" spans="1:25">
      <c r="A23" s="118">
        <f>'BD Team'!A28</f>
        <v>20</v>
      </c>
      <c r="B23" s="118" t="str">
        <f>'BD Team'!B28</f>
        <v>SW4</v>
      </c>
      <c r="C23" s="118" t="str">
        <f>'BD Team'!C28</f>
        <v>M14600</v>
      </c>
      <c r="D23" s="118" t="str">
        <f>'BD Team'!D28</f>
        <v>3 TRACK 2 SHUTTER SLIDING DOOR</v>
      </c>
      <c r="E23" s="118" t="str">
        <f>'BD Team'!F28</f>
        <v>SS</v>
      </c>
      <c r="F23" s="121" t="str">
        <f>'BD Team'!G28</f>
        <v>GF - FAMILY AREA</v>
      </c>
      <c r="G23" s="118">
        <f>'BD Team'!H28</f>
        <v>2948</v>
      </c>
      <c r="H23" s="118">
        <f>'BD Team'!I28</f>
        <v>2134</v>
      </c>
      <c r="I23" s="118">
        <f>'BD Team'!J28</f>
        <v>1</v>
      </c>
      <c r="J23" s="103">
        <f t="shared" si="0"/>
        <v>67.716668447999993</v>
      </c>
      <c r="K23" s="172">
        <f>'BD Team'!K28</f>
        <v>453.54</v>
      </c>
      <c r="L23" s="171">
        <f t="shared" si="1"/>
        <v>453.54</v>
      </c>
      <c r="M23" s="170">
        <f>L23*'Changable Values'!$D$4</f>
        <v>37643.82</v>
      </c>
      <c r="N23" s="170" t="str">
        <f>'BD Team'!E28</f>
        <v>24MM</v>
      </c>
      <c r="O23" s="172">
        <v>2938</v>
      </c>
      <c r="P23" s="241"/>
      <c r="Q23" s="173">
        <f t="shared" si="8"/>
        <v>538.19999999999993</v>
      </c>
      <c r="R23" s="185"/>
      <c r="S23" s="312"/>
      <c r="T23" s="313">
        <f t="shared" si="2"/>
        <v>33.880000000000003</v>
      </c>
      <c r="U23" s="313">
        <f t="shared" si="3"/>
        <v>40.655999999999999</v>
      </c>
      <c r="V23" s="313">
        <f t="shared" si="4"/>
        <v>2.1175000000000002</v>
      </c>
      <c r="W23" s="313">
        <f t="shared" si="5"/>
        <v>33.880000000000003</v>
      </c>
      <c r="X23" s="313">
        <f t="shared" si="6"/>
        <v>67.760000000000005</v>
      </c>
      <c r="Y23" s="313">
        <f t="shared" si="7"/>
        <v>20.327999999999999</v>
      </c>
    </row>
    <row r="24" spans="1:25">
      <c r="A24" s="118">
        <f>'BD Team'!A29</f>
        <v>21</v>
      </c>
      <c r="B24" s="118" t="str">
        <f>'BD Team'!B29</f>
        <v>SW5</v>
      </c>
      <c r="C24" s="118" t="str">
        <f>'BD Team'!C29</f>
        <v>M14600</v>
      </c>
      <c r="D24" s="118" t="str">
        <f>'BD Team'!D29</f>
        <v>3 TRACK 2 SHUTTER SLIDING WINDOW</v>
      </c>
      <c r="E24" s="118" t="str">
        <f>'BD Team'!F29</f>
        <v>SS</v>
      </c>
      <c r="F24" s="121" t="str">
        <f>'BD Team'!G29</f>
        <v>GF - STUDY ROOM</v>
      </c>
      <c r="G24" s="118">
        <f>'BD Team'!H29</f>
        <v>3302</v>
      </c>
      <c r="H24" s="118">
        <f>'BD Team'!I29</f>
        <v>1372</v>
      </c>
      <c r="I24" s="118">
        <f>'BD Team'!J29</f>
        <v>1</v>
      </c>
      <c r="J24" s="103">
        <f t="shared" si="0"/>
        <v>48.764622815999999</v>
      </c>
      <c r="K24" s="172">
        <f>'BD Team'!K29</f>
        <v>379.51</v>
      </c>
      <c r="L24" s="171">
        <f t="shared" si="1"/>
        <v>379.51</v>
      </c>
      <c r="M24" s="170">
        <f>L24*'Changable Values'!$D$4</f>
        <v>31499.329999999998</v>
      </c>
      <c r="N24" s="170" t="str">
        <f>'BD Team'!E29</f>
        <v>24MM</v>
      </c>
      <c r="O24" s="172">
        <v>2938</v>
      </c>
      <c r="P24" s="241"/>
      <c r="Q24" s="173">
        <f t="shared" si="8"/>
        <v>538.19999999999993</v>
      </c>
      <c r="R24" s="185"/>
      <c r="S24" s="312"/>
      <c r="T24" s="313">
        <f t="shared" si="2"/>
        <v>31.16</v>
      </c>
      <c r="U24" s="313">
        <f t="shared" si="3"/>
        <v>37.392000000000003</v>
      </c>
      <c r="V24" s="313">
        <f t="shared" si="4"/>
        <v>1.9475</v>
      </c>
      <c r="W24" s="313">
        <f t="shared" si="5"/>
        <v>31.16</v>
      </c>
      <c r="X24" s="313">
        <f t="shared" si="6"/>
        <v>62.32</v>
      </c>
      <c r="Y24" s="313">
        <f t="shared" si="7"/>
        <v>18.696000000000002</v>
      </c>
    </row>
    <row r="25" spans="1:25" ht="28.5">
      <c r="A25" s="118">
        <f>'BD Team'!A30</f>
        <v>22</v>
      </c>
      <c r="B25" s="118" t="str">
        <f>'BD Team'!B30</f>
        <v>SW6</v>
      </c>
      <c r="C25" s="118" t="str">
        <f>'BD Team'!C30</f>
        <v>M900</v>
      </c>
      <c r="D25" s="118" t="str">
        <f>'BD Team'!D30</f>
        <v>3 TRACK 2 SHUTTER SLIDING WINDOW</v>
      </c>
      <c r="E25" s="118" t="str">
        <f>'BD Team'!F30</f>
        <v>SS</v>
      </c>
      <c r="F25" s="121" t="str">
        <f>'BD Team'!G30</f>
        <v>GF - STAFF RECEPTION ROOM</v>
      </c>
      <c r="G25" s="118">
        <f>'BD Team'!H30</f>
        <v>1322</v>
      </c>
      <c r="H25" s="118">
        <f>'BD Team'!I30</f>
        <v>1372</v>
      </c>
      <c r="I25" s="118">
        <f>'BD Team'!J30</f>
        <v>1</v>
      </c>
      <c r="J25" s="103">
        <f t="shared" si="0"/>
        <v>19.523570975999998</v>
      </c>
      <c r="K25" s="172">
        <f>'BD Team'!K30</f>
        <v>150.29000000000002</v>
      </c>
      <c r="L25" s="171">
        <f t="shared" si="1"/>
        <v>150.29000000000002</v>
      </c>
      <c r="M25" s="170">
        <f>L25*'Changable Values'!$D$4</f>
        <v>12474.070000000002</v>
      </c>
      <c r="N25" s="170" t="str">
        <f>'BD Team'!E30</f>
        <v>20MM</v>
      </c>
      <c r="O25" s="172">
        <v>2538</v>
      </c>
      <c r="P25" s="241"/>
      <c r="Q25" s="173">
        <f t="shared" si="8"/>
        <v>538.19999999999993</v>
      </c>
      <c r="R25" s="185"/>
      <c r="S25" s="312"/>
      <c r="T25" s="313">
        <f t="shared" si="2"/>
        <v>17.96</v>
      </c>
      <c r="U25" s="313">
        <f t="shared" si="3"/>
        <v>21.552</v>
      </c>
      <c r="V25" s="313">
        <f t="shared" si="4"/>
        <v>1.1225000000000001</v>
      </c>
      <c r="W25" s="313">
        <f t="shared" si="5"/>
        <v>17.96</v>
      </c>
      <c r="X25" s="313">
        <f t="shared" si="6"/>
        <v>35.92</v>
      </c>
      <c r="Y25" s="313">
        <f t="shared" si="7"/>
        <v>10.776</v>
      </c>
    </row>
    <row r="26" spans="1:25">
      <c r="A26" s="118">
        <f>'BD Team'!A31</f>
        <v>23</v>
      </c>
      <c r="B26" s="118" t="str">
        <f>'BD Team'!B31</f>
        <v>SW7</v>
      </c>
      <c r="C26" s="118" t="str">
        <f>'BD Team'!C31</f>
        <v>M14600</v>
      </c>
      <c r="D26" s="118" t="str">
        <f>'BD Team'!D31</f>
        <v>3 TRACK 4 SHUTTER SLIDING DOOR</v>
      </c>
      <c r="E26" s="118" t="str">
        <f>'BD Team'!F31</f>
        <v>SS</v>
      </c>
      <c r="F26" s="121" t="str">
        <f>'BD Team'!G31</f>
        <v>GF - DINING</v>
      </c>
      <c r="G26" s="118">
        <f>'BD Team'!H31</f>
        <v>3862</v>
      </c>
      <c r="H26" s="118">
        <f>'BD Team'!I31</f>
        <v>2134</v>
      </c>
      <c r="I26" s="118">
        <f>'BD Team'!J31</f>
        <v>1</v>
      </c>
      <c r="J26" s="103">
        <f t="shared" si="0"/>
        <v>88.711592111999991</v>
      </c>
      <c r="K26" s="172">
        <f>'BD Team'!K31</f>
        <v>745.23</v>
      </c>
      <c r="L26" s="171">
        <f t="shared" si="1"/>
        <v>745.23</v>
      </c>
      <c r="M26" s="170">
        <f>L26*'Changable Values'!$D$4</f>
        <v>61854.090000000004</v>
      </c>
      <c r="N26" s="170" t="str">
        <f>'BD Team'!E31</f>
        <v>24MM</v>
      </c>
      <c r="O26" s="172">
        <v>2938</v>
      </c>
      <c r="P26" s="241"/>
      <c r="Q26" s="173">
        <f t="shared" si="8"/>
        <v>538.19999999999993</v>
      </c>
      <c r="R26" s="185"/>
      <c r="S26" s="312"/>
      <c r="T26" s="313">
        <f t="shared" si="2"/>
        <v>39.973333333333336</v>
      </c>
      <c r="U26" s="313">
        <f t="shared" si="3"/>
        <v>47.968000000000004</v>
      </c>
      <c r="V26" s="313">
        <f t="shared" si="4"/>
        <v>2.4983333333333335</v>
      </c>
      <c r="W26" s="313">
        <f t="shared" si="5"/>
        <v>39.973333333333336</v>
      </c>
      <c r="X26" s="313">
        <f t="shared" si="6"/>
        <v>79.946666666666673</v>
      </c>
      <c r="Y26" s="313">
        <f t="shared" si="7"/>
        <v>23.984000000000002</v>
      </c>
    </row>
    <row r="27" spans="1:25">
      <c r="A27" s="118">
        <f>'BD Team'!A32</f>
        <v>24</v>
      </c>
      <c r="B27" s="118" t="str">
        <f>'BD Team'!B32</f>
        <v>SW8</v>
      </c>
      <c r="C27" s="118" t="str">
        <f>'BD Team'!C32</f>
        <v>M14600</v>
      </c>
      <c r="D27" s="118" t="str">
        <f>'BD Team'!D32</f>
        <v>3 TRACK 2 SHUTTER SLIDING DOOR</v>
      </c>
      <c r="E27" s="118" t="str">
        <f>'BD Team'!F32</f>
        <v>SS</v>
      </c>
      <c r="F27" s="121" t="str">
        <f>'BD Team'!G32</f>
        <v>GF - POOJA ROOM</v>
      </c>
      <c r="G27" s="118">
        <f>'BD Team'!H32</f>
        <v>1372</v>
      </c>
      <c r="H27" s="118">
        <f>'BD Team'!I32</f>
        <v>2134</v>
      </c>
      <c r="I27" s="118">
        <f>'BD Team'!J32</f>
        <v>1</v>
      </c>
      <c r="J27" s="103">
        <f t="shared" si="0"/>
        <v>31.515355871999997</v>
      </c>
      <c r="K27" s="172">
        <f>'BD Team'!K32</f>
        <v>340.74</v>
      </c>
      <c r="L27" s="171">
        <f t="shared" si="1"/>
        <v>340.74</v>
      </c>
      <c r="M27" s="170">
        <f>L27*'Changable Values'!$D$4</f>
        <v>28281.420000000002</v>
      </c>
      <c r="N27" s="170" t="str">
        <f>'BD Team'!E32</f>
        <v>24MM</v>
      </c>
      <c r="O27" s="172">
        <v>2938</v>
      </c>
      <c r="P27" s="241"/>
      <c r="Q27" s="173">
        <f t="shared" si="8"/>
        <v>538.19999999999993</v>
      </c>
      <c r="R27" s="185"/>
      <c r="S27" s="312"/>
      <c r="T27" s="313">
        <f t="shared" si="2"/>
        <v>23.373333333333335</v>
      </c>
      <c r="U27" s="313">
        <f t="shared" si="3"/>
        <v>28.047999999999998</v>
      </c>
      <c r="V27" s="313">
        <f t="shared" si="4"/>
        <v>1.4608333333333334</v>
      </c>
      <c r="W27" s="313">
        <f t="shared" si="5"/>
        <v>23.373333333333335</v>
      </c>
      <c r="X27" s="313">
        <f t="shared" si="6"/>
        <v>46.74666666666667</v>
      </c>
      <c r="Y27" s="313">
        <f t="shared" si="7"/>
        <v>14.023999999999999</v>
      </c>
    </row>
    <row r="28" spans="1:25">
      <c r="A28" s="118">
        <f>'BD Team'!A33</f>
        <v>25</v>
      </c>
      <c r="B28" s="118" t="str">
        <f>'BD Team'!B33</f>
        <v>SW9</v>
      </c>
      <c r="C28" s="118" t="str">
        <f>'BD Team'!C33</f>
        <v>M900</v>
      </c>
      <c r="D28" s="118" t="str">
        <f>'BD Team'!D33</f>
        <v>3 TRACK 2 SHUTTER SLIDING WINDOW</v>
      </c>
      <c r="E28" s="118" t="str">
        <f>'BD Team'!F33</f>
        <v>SS</v>
      </c>
      <c r="F28" s="121" t="str">
        <f>'BD Team'!G33</f>
        <v>GF - KITCHEN</v>
      </c>
      <c r="G28" s="118">
        <f>'BD Team'!H33</f>
        <v>1778</v>
      </c>
      <c r="H28" s="118">
        <f>'BD Team'!I33</f>
        <v>1372</v>
      </c>
      <c r="I28" s="118">
        <f>'BD Team'!J33</f>
        <v>1</v>
      </c>
      <c r="J28" s="103">
        <f t="shared" si="0"/>
        <v>26.257873823999997</v>
      </c>
      <c r="K28" s="172">
        <f>'BD Team'!K33</f>
        <v>164.9</v>
      </c>
      <c r="L28" s="171">
        <f t="shared" si="1"/>
        <v>164.9</v>
      </c>
      <c r="M28" s="170">
        <f>L28*'Changable Values'!$D$4</f>
        <v>13686.7</v>
      </c>
      <c r="N28" s="170" t="str">
        <f>'BD Team'!E33</f>
        <v>20MM</v>
      </c>
      <c r="O28" s="172">
        <v>2538</v>
      </c>
      <c r="P28" s="241"/>
      <c r="Q28" s="173">
        <f t="shared" si="8"/>
        <v>538.19999999999993</v>
      </c>
      <c r="R28" s="185"/>
      <c r="S28" s="312"/>
      <c r="T28" s="313">
        <f t="shared" si="2"/>
        <v>21</v>
      </c>
      <c r="U28" s="313">
        <f t="shared" si="3"/>
        <v>25.2</v>
      </c>
      <c r="V28" s="313">
        <f t="shared" si="4"/>
        <v>1.3125</v>
      </c>
      <c r="W28" s="313">
        <f t="shared" si="5"/>
        <v>21</v>
      </c>
      <c r="X28" s="313">
        <f t="shared" si="6"/>
        <v>42</v>
      </c>
      <c r="Y28" s="313">
        <f t="shared" si="7"/>
        <v>12.6</v>
      </c>
    </row>
    <row r="29" spans="1:25">
      <c r="A29" s="118">
        <f>'BD Team'!A34</f>
        <v>26</v>
      </c>
      <c r="B29" s="118" t="str">
        <f>'BD Team'!B34</f>
        <v>SW10</v>
      </c>
      <c r="C29" s="118" t="str">
        <f>'BD Team'!C34</f>
        <v>M14600</v>
      </c>
      <c r="D29" s="118" t="str">
        <f>'BD Team'!D34</f>
        <v>3 TRACK 4 SHUTTER SLIDING WINDOW</v>
      </c>
      <c r="E29" s="118" t="str">
        <f>'BD Team'!F34</f>
        <v>SS</v>
      </c>
      <c r="F29" s="121" t="str">
        <f>'BD Team'!G34</f>
        <v>FF - FAMILY ROOM</v>
      </c>
      <c r="G29" s="118">
        <f>'BD Team'!H34</f>
        <v>3862</v>
      </c>
      <c r="H29" s="118">
        <f>'BD Team'!I34</f>
        <v>1678</v>
      </c>
      <c r="I29" s="118">
        <f>'BD Team'!J34</f>
        <v>1</v>
      </c>
      <c r="J29" s="103">
        <f t="shared" si="0"/>
        <v>69.755413103999999</v>
      </c>
      <c r="K29" s="172">
        <f>'BD Team'!K34</f>
        <v>662.18</v>
      </c>
      <c r="L29" s="171">
        <f t="shared" si="1"/>
        <v>662.18</v>
      </c>
      <c r="M29" s="170">
        <f>L29*'Changable Values'!$D$4</f>
        <v>54960.939999999995</v>
      </c>
      <c r="N29" s="170" t="str">
        <f>'BD Team'!E34</f>
        <v>24MM</v>
      </c>
      <c r="O29" s="172">
        <v>2938</v>
      </c>
      <c r="P29" s="241"/>
      <c r="Q29" s="173">
        <f t="shared" si="8"/>
        <v>538.19999999999993</v>
      </c>
      <c r="R29" s="185"/>
      <c r="S29" s="312"/>
      <c r="T29" s="313">
        <f t="shared" si="2"/>
        <v>36.93333333333333</v>
      </c>
      <c r="U29" s="313">
        <f t="shared" si="3"/>
        <v>44.32</v>
      </c>
      <c r="V29" s="313">
        <f t="shared" si="4"/>
        <v>2.3083333333333331</v>
      </c>
      <c r="W29" s="313">
        <f t="shared" si="5"/>
        <v>36.93333333333333</v>
      </c>
      <c r="X29" s="313">
        <f t="shared" si="6"/>
        <v>73.86666666666666</v>
      </c>
      <c r="Y29" s="313">
        <f t="shared" si="7"/>
        <v>22.16</v>
      </c>
    </row>
    <row r="30" spans="1:25">
      <c r="A30" s="118">
        <f>'BD Team'!A35</f>
        <v>27</v>
      </c>
      <c r="B30" s="118" t="str">
        <f>'BD Team'!B35</f>
        <v>SW11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FF - BAR</v>
      </c>
      <c r="G30" s="118">
        <f>'BD Team'!H35</f>
        <v>3302</v>
      </c>
      <c r="H30" s="118">
        <f>'BD Team'!I35</f>
        <v>1830</v>
      </c>
      <c r="I30" s="118">
        <f>'BD Team'!J35</f>
        <v>1</v>
      </c>
      <c r="J30" s="103">
        <f t="shared" si="0"/>
        <v>65.043192239999996</v>
      </c>
      <c r="K30" s="172">
        <f>'BD Team'!K35</f>
        <v>436.77</v>
      </c>
      <c r="L30" s="171">
        <f t="shared" si="1"/>
        <v>436.77</v>
      </c>
      <c r="M30" s="170">
        <f>L30*'Changable Values'!$D$4</f>
        <v>36251.909999999996</v>
      </c>
      <c r="N30" s="170" t="str">
        <f>'BD Team'!E35</f>
        <v>24MM</v>
      </c>
      <c r="O30" s="172">
        <v>2938</v>
      </c>
      <c r="P30" s="241"/>
      <c r="Q30" s="173">
        <f t="shared" si="8"/>
        <v>538.19999999999993</v>
      </c>
      <c r="R30" s="185"/>
      <c r="S30" s="312"/>
      <c r="T30" s="313">
        <f t="shared" si="2"/>
        <v>34.213333333333331</v>
      </c>
      <c r="U30" s="313">
        <f t="shared" si="3"/>
        <v>41.055999999999997</v>
      </c>
      <c r="V30" s="313">
        <f t="shared" si="4"/>
        <v>2.1383333333333332</v>
      </c>
      <c r="W30" s="313">
        <f t="shared" si="5"/>
        <v>34.213333333333331</v>
      </c>
      <c r="X30" s="313">
        <f t="shared" si="6"/>
        <v>68.426666666666662</v>
      </c>
      <c r="Y30" s="313">
        <f t="shared" si="7"/>
        <v>20.527999999999999</v>
      </c>
    </row>
    <row r="31" spans="1:25">
      <c r="A31" s="118">
        <f>'BD Team'!A36</f>
        <v>28</v>
      </c>
      <c r="B31" s="118" t="str">
        <f>'BD Team'!B36</f>
        <v>SFW1</v>
      </c>
      <c r="C31" s="118" t="str">
        <f>'BD Team'!C36</f>
        <v>M9800</v>
      </c>
      <c r="D31" s="118" t="str">
        <f>'BD Team'!D36</f>
        <v>5 LEAF SLIDING FOLDING WINDOW</v>
      </c>
      <c r="E31" s="118" t="str">
        <f>'BD Team'!F36</f>
        <v>NO</v>
      </c>
      <c r="F31" s="121" t="str">
        <f>'BD Team'!G36</f>
        <v>FF - FAMILY ROOM</v>
      </c>
      <c r="G31" s="118">
        <f>'BD Team'!H36</f>
        <v>4572</v>
      </c>
      <c r="H31" s="118">
        <f>'BD Team'!I36</f>
        <v>1830</v>
      </c>
      <c r="I31" s="118">
        <f>'BD Team'!J36</f>
        <v>1</v>
      </c>
      <c r="J31" s="103">
        <f t="shared" si="0"/>
        <v>90.059804639999996</v>
      </c>
      <c r="K31" s="172">
        <f>'BD Team'!K36</f>
        <v>1175.95</v>
      </c>
      <c r="L31" s="171">
        <f t="shared" si="1"/>
        <v>1175.95</v>
      </c>
      <c r="M31" s="170">
        <f>L31*'Changable Values'!$D$4</f>
        <v>97603.85</v>
      </c>
      <c r="N31" s="170" t="str">
        <f>'BD Team'!E36</f>
        <v>24MM</v>
      </c>
      <c r="O31" s="172">
        <v>2938</v>
      </c>
      <c r="P31" s="241"/>
      <c r="Q31" s="173"/>
      <c r="R31" s="185"/>
      <c r="S31" s="312"/>
      <c r="T31" s="313">
        <f t="shared" si="2"/>
        <v>42.68</v>
      </c>
      <c r="U31" s="313">
        <f t="shared" si="3"/>
        <v>51.216000000000001</v>
      </c>
      <c r="V31" s="313">
        <f t="shared" si="4"/>
        <v>2.6675</v>
      </c>
      <c r="W31" s="313">
        <f t="shared" si="5"/>
        <v>42.68</v>
      </c>
      <c r="X31" s="313">
        <f t="shared" si="6"/>
        <v>85.36</v>
      </c>
      <c r="Y31" s="313">
        <f t="shared" si="7"/>
        <v>25.608000000000001</v>
      </c>
    </row>
    <row r="32" spans="1:25">
      <c r="A32" s="118">
        <f>'BD Team'!A37</f>
        <v>29</v>
      </c>
      <c r="B32" s="118" t="str">
        <f>'BD Team'!B37</f>
        <v>CW1-A</v>
      </c>
      <c r="C32" s="118" t="str">
        <f>'BD Team'!C37</f>
        <v>M15000</v>
      </c>
      <c r="D32" s="118" t="str">
        <f>'BD Team'!D37</f>
        <v>SIDE HUNG WITH FIXED GLASS</v>
      </c>
      <c r="E32" s="118" t="str">
        <f>'BD Team'!F37</f>
        <v>NO</v>
      </c>
      <c r="F32" s="121" t="str">
        <f>'BD Team'!G37</f>
        <v>GF - KITCHEN</v>
      </c>
      <c r="G32" s="118">
        <f>'BD Team'!H37</f>
        <v>1728</v>
      </c>
      <c r="H32" s="118">
        <f>'BD Team'!I37</f>
        <v>1372</v>
      </c>
      <c r="I32" s="118">
        <f>'BD Team'!J37</f>
        <v>1</v>
      </c>
      <c r="J32" s="103">
        <f t="shared" si="0"/>
        <v>25.519463423999998</v>
      </c>
      <c r="K32" s="172">
        <f>'BD Team'!K37</f>
        <v>298.60000000000002</v>
      </c>
      <c r="L32" s="171">
        <f t="shared" si="1"/>
        <v>298.60000000000002</v>
      </c>
      <c r="M32" s="170">
        <f>L32*'Changable Values'!$D$4</f>
        <v>24783.800000000003</v>
      </c>
      <c r="N32" s="170" t="str">
        <f>'BD Team'!E37</f>
        <v>24MM</v>
      </c>
      <c r="O32" s="172">
        <v>2938</v>
      </c>
      <c r="P32" s="241"/>
      <c r="Q32" s="173"/>
      <c r="R32" s="185"/>
      <c r="S32" s="312"/>
      <c r="T32" s="313">
        <f t="shared" si="2"/>
        <v>20.666666666666668</v>
      </c>
      <c r="U32" s="313">
        <f t="shared" si="3"/>
        <v>24.8</v>
      </c>
      <c r="V32" s="313">
        <f t="shared" si="4"/>
        <v>1.2916666666666667</v>
      </c>
      <c r="W32" s="313">
        <f t="shared" si="5"/>
        <v>20.666666666666668</v>
      </c>
      <c r="X32" s="313">
        <f t="shared" si="6"/>
        <v>41.333333333333336</v>
      </c>
      <c r="Y32" s="313">
        <f t="shared" si="7"/>
        <v>12.4</v>
      </c>
    </row>
    <row r="33" spans="1:25">
      <c r="A33" s="118">
        <f>'BD Team'!A38</f>
        <v>30</v>
      </c>
      <c r="B33" s="118" t="str">
        <f>'BD Team'!B38</f>
        <v>CW1-B</v>
      </c>
      <c r="C33" s="118" t="str">
        <f>'BD Team'!C38</f>
        <v>M14600</v>
      </c>
      <c r="D33" s="118" t="str">
        <f>'BD Team'!D38</f>
        <v>3 TRACK 2 SHUTTER SLIDING WINDOW</v>
      </c>
      <c r="E33" s="118" t="str">
        <f>'BD Team'!F38</f>
        <v>SS</v>
      </c>
      <c r="F33" s="121" t="str">
        <f>'BD Team'!G38</f>
        <v>GF - KITCHEN</v>
      </c>
      <c r="G33" s="118">
        <f>'BD Team'!H38</f>
        <v>2032</v>
      </c>
      <c r="H33" s="118">
        <f>'BD Team'!I38</f>
        <v>1372</v>
      </c>
      <c r="I33" s="118">
        <f>'BD Team'!J38</f>
        <v>1</v>
      </c>
      <c r="J33" s="103">
        <f t="shared" si="0"/>
        <v>30.008998655999999</v>
      </c>
      <c r="K33" s="172">
        <f>'BD Team'!K38</f>
        <v>285.24</v>
      </c>
      <c r="L33" s="171">
        <f t="shared" si="1"/>
        <v>285.24</v>
      </c>
      <c r="M33" s="170">
        <f>L33*'Changable Values'!$D$4</f>
        <v>23674.920000000002</v>
      </c>
      <c r="N33" s="170" t="str">
        <f>'BD Team'!E38</f>
        <v>24MM</v>
      </c>
      <c r="O33" s="172">
        <v>2938</v>
      </c>
      <c r="P33" s="241"/>
      <c r="Q33" s="173">
        <f t="shared" ref="Q33:Q34" si="9">50*10.764</f>
        <v>538.19999999999993</v>
      </c>
      <c r="R33" s="185"/>
      <c r="S33" s="312"/>
      <c r="T33" s="313">
        <f t="shared" si="2"/>
        <v>22.693333333333332</v>
      </c>
      <c r="U33" s="313">
        <f t="shared" si="3"/>
        <v>27.231999999999999</v>
      </c>
      <c r="V33" s="313">
        <f t="shared" si="4"/>
        <v>1.4183333333333332</v>
      </c>
      <c r="W33" s="313">
        <f t="shared" si="5"/>
        <v>22.693333333333332</v>
      </c>
      <c r="X33" s="313">
        <f t="shared" si="6"/>
        <v>45.386666666666663</v>
      </c>
      <c r="Y33" s="313">
        <f t="shared" si="7"/>
        <v>13.616</v>
      </c>
    </row>
    <row r="34" spans="1:25">
      <c r="A34" s="118">
        <f>'BD Team'!A39</f>
        <v>31</v>
      </c>
      <c r="B34" s="118" t="str">
        <f>'BD Team'!B39</f>
        <v>CW2-A</v>
      </c>
      <c r="C34" s="118" t="str">
        <f>'BD Team'!C39</f>
        <v>M14600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GF - MBR &amp; FF - BR 1</v>
      </c>
      <c r="G34" s="118">
        <f>'BD Team'!H39</f>
        <v>1524</v>
      </c>
      <c r="H34" s="118">
        <f>'BD Team'!I39</f>
        <v>1678</v>
      </c>
      <c r="I34" s="118">
        <f>'BD Team'!J39</f>
        <v>2</v>
      </c>
      <c r="J34" s="103">
        <f t="shared" si="0"/>
        <v>55.052951615999994</v>
      </c>
      <c r="K34" s="172">
        <f>'BD Team'!K39</f>
        <v>300.74</v>
      </c>
      <c r="L34" s="171">
        <f t="shared" si="1"/>
        <v>601.48</v>
      </c>
      <c r="M34" s="170">
        <f>L34*'Changable Values'!$D$4</f>
        <v>49922.840000000004</v>
      </c>
      <c r="N34" s="170" t="str">
        <f>'BD Team'!E39</f>
        <v>24MM</v>
      </c>
      <c r="O34" s="172">
        <v>2938</v>
      </c>
      <c r="P34" s="241"/>
      <c r="Q34" s="173">
        <f t="shared" si="9"/>
        <v>538.19999999999993</v>
      </c>
      <c r="R34" s="185"/>
      <c r="S34" s="312"/>
      <c r="T34" s="313">
        <f t="shared" si="2"/>
        <v>42.693333333333335</v>
      </c>
      <c r="U34" s="313">
        <f t="shared" si="3"/>
        <v>51.231999999999999</v>
      </c>
      <c r="V34" s="313">
        <f t="shared" si="4"/>
        <v>2.6683333333333334</v>
      </c>
      <c r="W34" s="313">
        <f t="shared" si="5"/>
        <v>42.693333333333335</v>
      </c>
      <c r="X34" s="313">
        <f t="shared" si="6"/>
        <v>85.38666666666667</v>
      </c>
      <c r="Y34" s="313">
        <f t="shared" si="7"/>
        <v>25.616</v>
      </c>
    </row>
    <row r="35" spans="1:25">
      <c r="A35" s="118">
        <f>'BD Team'!A40</f>
        <v>32</v>
      </c>
      <c r="B35" s="118" t="str">
        <f>'BD Team'!B40</f>
        <v>CW2-B</v>
      </c>
      <c r="C35" s="118" t="str">
        <f>'BD Team'!C40</f>
        <v>M15000</v>
      </c>
      <c r="D35" s="118" t="str">
        <f>'BD Team'!D40</f>
        <v>FIXED GLASS CORNOR WINDOW</v>
      </c>
      <c r="E35" s="118" t="str">
        <f>'BD Team'!F40</f>
        <v>NO</v>
      </c>
      <c r="F35" s="121" t="str">
        <f>'BD Team'!G40</f>
        <v>GF - MBR &amp; FF - BR 1</v>
      </c>
      <c r="G35" s="118">
        <f>'BD Team'!H40</f>
        <v>2924</v>
      </c>
      <c r="H35" s="118">
        <f>'BD Team'!I40</f>
        <v>1678</v>
      </c>
      <c r="I35" s="118">
        <f>'BD Team'!J40</f>
        <v>2</v>
      </c>
      <c r="J35" s="103">
        <f t="shared" si="0"/>
        <v>105.62652921599999</v>
      </c>
      <c r="K35" s="172">
        <f>'BD Team'!K40</f>
        <v>78.53</v>
      </c>
      <c r="L35" s="171">
        <f t="shared" si="1"/>
        <v>157.06</v>
      </c>
      <c r="M35" s="170">
        <f>L35*'Changable Values'!$D$4</f>
        <v>13035.98</v>
      </c>
      <c r="N35" s="170" t="str">
        <f>'BD Team'!E40</f>
        <v>24MM</v>
      </c>
      <c r="O35" s="172">
        <v>2938</v>
      </c>
      <c r="P35" s="241"/>
      <c r="Q35" s="173"/>
      <c r="R35" s="185"/>
      <c r="S35" s="312"/>
      <c r="T35" s="313">
        <f t="shared" si="2"/>
        <v>61.36</v>
      </c>
      <c r="U35" s="313">
        <f t="shared" si="3"/>
        <v>73.632000000000005</v>
      </c>
      <c r="V35" s="313">
        <f t="shared" si="4"/>
        <v>3.835</v>
      </c>
      <c r="W35" s="313">
        <f t="shared" si="5"/>
        <v>61.36</v>
      </c>
      <c r="X35" s="313">
        <f t="shared" si="6"/>
        <v>122.72</v>
      </c>
      <c r="Y35" s="313">
        <f t="shared" si="7"/>
        <v>36.816000000000003</v>
      </c>
    </row>
    <row r="36" spans="1:25">
      <c r="A36" s="118">
        <f>'BD Team'!A41</f>
        <v>33</v>
      </c>
      <c r="B36" s="118" t="str">
        <f>'BD Team'!B41</f>
        <v>CW2-C</v>
      </c>
      <c r="C36" s="118" t="str">
        <f>'BD Team'!C41</f>
        <v>M14600</v>
      </c>
      <c r="D36" s="118" t="str">
        <f>'BD Team'!D41</f>
        <v>3 TRACK 2 SHUTTER SLIDING WINDOW</v>
      </c>
      <c r="E36" s="118" t="str">
        <f>'BD Team'!F41</f>
        <v>SS</v>
      </c>
      <c r="F36" s="121" t="str">
        <f>'BD Team'!G41</f>
        <v>GF - MBR &amp; FF - BR 1</v>
      </c>
      <c r="G36" s="118">
        <f>'BD Team'!H41</f>
        <v>1830</v>
      </c>
      <c r="H36" s="118">
        <f>'BD Team'!I41</f>
        <v>1678</v>
      </c>
      <c r="I36" s="118">
        <f>'BD Team'!J41</f>
        <v>2</v>
      </c>
      <c r="J36" s="103">
        <f t="shared" si="0"/>
        <v>66.106890719999996</v>
      </c>
      <c r="K36" s="172">
        <f>'BD Team'!K41</f>
        <v>318.37</v>
      </c>
      <c r="L36" s="171">
        <f t="shared" si="1"/>
        <v>636.74</v>
      </c>
      <c r="M36" s="170">
        <f>L36*'Changable Values'!$D$4</f>
        <v>52849.42</v>
      </c>
      <c r="N36" s="170" t="str">
        <f>'BD Team'!E41</f>
        <v>24MM</v>
      </c>
      <c r="O36" s="172">
        <v>2938</v>
      </c>
      <c r="P36" s="241"/>
      <c r="Q36" s="173">
        <f t="shared" ref="Q36:Q37" si="10">50*10.764</f>
        <v>538.19999999999993</v>
      </c>
      <c r="R36" s="185"/>
      <c r="S36" s="312"/>
      <c r="T36" s="313">
        <f t="shared" si="2"/>
        <v>46.773333333333333</v>
      </c>
      <c r="U36" s="313">
        <f t="shared" si="3"/>
        <v>56.128</v>
      </c>
      <c r="V36" s="313">
        <f t="shared" si="4"/>
        <v>2.9233333333333333</v>
      </c>
      <c r="W36" s="313">
        <f t="shared" si="5"/>
        <v>46.773333333333333</v>
      </c>
      <c r="X36" s="313">
        <f t="shared" si="6"/>
        <v>93.546666666666667</v>
      </c>
      <c r="Y36" s="313">
        <f t="shared" si="7"/>
        <v>28.064</v>
      </c>
    </row>
    <row r="37" spans="1:25">
      <c r="A37" s="118">
        <f>'BD Team'!A42</f>
        <v>34</v>
      </c>
      <c r="B37" s="118" t="str">
        <f>'BD Team'!B42</f>
        <v>CW3-A</v>
      </c>
      <c r="C37" s="118" t="str">
        <f>'BD Team'!C42</f>
        <v>M14600</v>
      </c>
      <c r="D37" s="118" t="str">
        <f>'BD Team'!D42</f>
        <v>3 TRACK 2 SHUTTER SLIDING WINDOW</v>
      </c>
      <c r="E37" s="118" t="str">
        <f>'BD Team'!F42</f>
        <v>SS</v>
      </c>
      <c r="F37" s="121" t="str">
        <f>'BD Team'!G42</f>
        <v>GF - GBR &amp; FF - BR 2</v>
      </c>
      <c r="G37" s="118">
        <f>'BD Team'!H42</f>
        <v>1830</v>
      </c>
      <c r="H37" s="118">
        <f>'BD Team'!I42</f>
        <v>1678</v>
      </c>
      <c r="I37" s="118">
        <f>'BD Team'!J42</f>
        <v>2</v>
      </c>
      <c r="J37" s="103">
        <f t="shared" si="0"/>
        <v>66.106890719999996</v>
      </c>
      <c r="K37" s="172">
        <f>'BD Team'!K42</f>
        <v>318.37</v>
      </c>
      <c r="L37" s="171">
        <f t="shared" si="1"/>
        <v>636.74</v>
      </c>
      <c r="M37" s="170">
        <f>L37*'Changable Values'!$D$4</f>
        <v>52849.42</v>
      </c>
      <c r="N37" s="170" t="str">
        <f>'BD Team'!E42</f>
        <v>24MM</v>
      </c>
      <c r="O37" s="172">
        <v>2938</v>
      </c>
      <c r="P37" s="241"/>
      <c r="Q37" s="173">
        <f t="shared" si="10"/>
        <v>538.19999999999993</v>
      </c>
      <c r="R37" s="185"/>
      <c r="S37" s="312"/>
      <c r="T37" s="313">
        <f t="shared" si="2"/>
        <v>46.773333333333333</v>
      </c>
      <c r="U37" s="313">
        <f t="shared" si="3"/>
        <v>56.128</v>
      </c>
      <c r="V37" s="313">
        <f t="shared" si="4"/>
        <v>2.9233333333333333</v>
      </c>
      <c r="W37" s="313">
        <f t="shared" si="5"/>
        <v>46.773333333333333</v>
      </c>
      <c r="X37" s="313">
        <f t="shared" si="6"/>
        <v>93.546666666666667</v>
      </c>
      <c r="Y37" s="313">
        <f t="shared" si="7"/>
        <v>28.064</v>
      </c>
    </row>
    <row r="38" spans="1:25">
      <c r="A38" s="118">
        <f>'BD Team'!A43</f>
        <v>35</v>
      </c>
      <c r="B38" s="118" t="str">
        <f>'BD Team'!B43</f>
        <v>CW3-B</v>
      </c>
      <c r="C38" s="118" t="str">
        <f>'BD Team'!C43</f>
        <v>M15000</v>
      </c>
      <c r="D38" s="118" t="str">
        <f>'BD Team'!D43</f>
        <v>FIXED GLASS CORNOR WINDOW</v>
      </c>
      <c r="E38" s="118" t="str">
        <f>'BD Team'!F43</f>
        <v>NO</v>
      </c>
      <c r="F38" s="121" t="str">
        <f>'BD Team'!G43</f>
        <v>GF - GBR &amp; FF - BR 2</v>
      </c>
      <c r="G38" s="118">
        <f>'BD Team'!H43</f>
        <v>2694</v>
      </c>
      <c r="H38" s="118">
        <f>'BD Team'!I43</f>
        <v>1678</v>
      </c>
      <c r="I38" s="118">
        <f>'BD Team'!J43</f>
        <v>2</v>
      </c>
      <c r="J38" s="103">
        <f t="shared" si="0"/>
        <v>97.318012895999999</v>
      </c>
      <c r="K38" s="172">
        <f>'BD Team'!K43</f>
        <v>75.31</v>
      </c>
      <c r="L38" s="171">
        <f t="shared" si="1"/>
        <v>150.62</v>
      </c>
      <c r="M38" s="170">
        <f>L38*'Changable Values'!$D$4</f>
        <v>12501.460000000001</v>
      </c>
      <c r="N38" s="170" t="str">
        <f>'BD Team'!E43</f>
        <v>24MM</v>
      </c>
      <c r="O38" s="172">
        <v>2938</v>
      </c>
      <c r="P38" s="241"/>
      <c r="Q38" s="173"/>
      <c r="R38" s="185"/>
      <c r="S38" s="312"/>
      <c r="T38" s="313">
        <f t="shared" si="2"/>
        <v>58.293333333333337</v>
      </c>
      <c r="U38" s="313">
        <f t="shared" si="3"/>
        <v>69.951999999999998</v>
      </c>
      <c r="V38" s="313">
        <f t="shared" si="4"/>
        <v>3.6433333333333335</v>
      </c>
      <c r="W38" s="313">
        <f t="shared" si="5"/>
        <v>58.293333333333337</v>
      </c>
      <c r="X38" s="313">
        <f t="shared" si="6"/>
        <v>116.58666666666667</v>
      </c>
      <c r="Y38" s="313">
        <f t="shared" si="7"/>
        <v>34.975999999999999</v>
      </c>
    </row>
    <row r="39" spans="1:25">
      <c r="A39" s="118">
        <f>'BD Team'!A44</f>
        <v>36</v>
      </c>
      <c r="B39" s="118" t="str">
        <f>'BD Team'!B44</f>
        <v>CW3-C</v>
      </c>
      <c r="C39" s="118" t="str">
        <f>'BD Team'!C44</f>
        <v>M14600</v>
      </c>
      <c r="D39" s="118" t="str">
        <f>'BD Team'!D44</f>
        <v>3 TRACK 2 SHUTTER SLIDING WINDOW</v>
      </c>
      <c r="E39" s="118" t="str">
        <f>'BD Team'!F44</f>
        <v>SS</v>
      </c>
      <c r="F39" s="121" t="str">
        <f>'BD Team'!G44</f>
        <v>GF - GBR &amp; FF - BR 2</v>
      </c>
      <c r="G39" s="118">
        <f>'BD Team'!H44</f>
        <v>1830</v>
      </c>
      <c r="H39" s="118">
        <f>'BD Team'!I44</f>
        <v>1678</v>
      </c>
      <c r="I39" s="118">
        <f>'BD Team'!J44</f>
        <v>2</v>
      </c>
      <c r="J39" s="103">
        <f t="shared" si="0"/>
        <v>66.106890719999996</v>
      </c>
      <c r="K39" s="172">
        <f>'BD Team'!K44</f>
        <v>318.37</v>
      </c>
      <c r="L39" s="171">
        <f t="shared" si="1"/>
        <v>636.74</v>
      </c>
      <c r="M39" s="170">
        <f>L39*'Changable Values'!$D$4</f>
        <v>52849.42</v>
      </c>
      <c r="N39" s="170" t="str">
        <f>'BD Team'!E44</f>
        <v>24MM</v>
      </c>
      <c r="O39" s="172">
        <v>2938</v>
      </c>
      <c r="P39" s="241"/>
      <c r="Q39" s="173">
        <f t="shared" ref="Q39:Q40" si="11">50*10.764</f>
        <v>538.19999999999993</v>
      </c>
      <c r="R39" s="185"/>
      <c r="S39" s="312"/>
      <c r="T39" s="313">
        <f t="shared" si="2"/>
        <v>46.773333333333333</v>
      </c>
      <c r="U39" s="313">
        <f t="shared" si="3"/>
        <v>56.128</v>
      </c>
      <c r="V39" s="313">
        <f t="shared" si="4"/>
        <v>2.9233333333333333</v>
      </c>
      <c r="W39" s="313">
        <f t="shared" si="5"/>
        <v>46.773333333333333</v>
      </c>
      <c r="X39" s="313">
        <f t="shared" si="6"/>
        <v>93.546666666666667</v>
      </c>
      <c r="Y39" s="313">
        <f t="shared" si="7"/>
        <v>28.064</v>
      </c>
    </row>
    <row r="40" spans="1:25">
      <c r="A40" s="118">
        <f>'BD Team'!A45</f>
        <v>37</v>
      </c>
      <c r="B40" s="118" t="str">
        <f>'BD Team'!B45</f>
        <v>CW4-A</v>
      </c>
      <c r="C40" s="118" t="str">
        <f>'BD Team'!C45</f>
        <v>M14600</v>
      </c>
      <c r="D40" s="118" t="str">
        <f>'BD Team'!D45</f>
        <v>3 TRACK 2 SHUTTER SLIDING WINDOW</v>
      </c>
      <c r="E40" s="118" t="str">
        <f>'BD Team'!F45</f>
        <v>SS</v>
      </c>
      <c r="F40" s="121" t="str">
        <f>'BD Team'!G45</f>
        <v>GF - DINING</v>
      </c>
      <c r="G40" s="118">
        <f>'BD Team'!H45</f>
        <v>2694</v>
      </c>
      <c r="H40" s="118">
        <f>'BD Team'!I45</f>
        <v>1678</v>
      </c>
      <c r="I40" s="118">
        <f>'BD Team'!J45</f>
        <v>1</v>
      </c>
      <c r="J40" s="103">
        <f t="shared" si="0"/>
        <v>48.659006448</v>
      </c>
      <c r="K40" s="172">
        <f>'BD Team'!K45</f>
        <v>760.52</v>
      </c>
      <c r="L40" s="171">
        <f t="shared" si="1"/>
        <v>760.52</v>
      </c>
      <c r="M40" s="170">
        <f>L40*'Changable Values'!$D$4</f>
        <v>63123.159999999996</v>
      </c>
      <c r="N40" s="170" t="str">
        <f>'BD Team'!E45</f>
        <v>24MM</v>
      </c>
      <c r="O40" s="172">
        <v>2938</v>
      </c>
      <c r="P40" s="241"/>
      <c r="Q40" s="173">
        <f t="shared" si="11"/>
        <v>538.19999999999993</v>
      </c>
      <c r="R40" s="185"/>
      <c r="S40" s="312"/>
      <c r="T40" s="313">
        <f t="shared" si="2"/>
        <v>29.146666666666668</v>
      </c>
      <c r="U40" s="313">
        <f t="shared" si="3"/>
        <v>34.975999999999999</v>
      </c>
      <c r="V40" s="313">
        <f t="shared" si="4"/>
        <v>1.8216666666666668</v>
      </c>
      <c r="W40" s="313">
        <f t="shared" si="5"/>
        <v>29.146666666666668</v>
      </c>
      <c r="X40" s="313">
        <f t="shared" si="6"/>
        <v>58.293333333333337</v>
      </c>
      <c r="Y40" s="313">
        <f t="shared" si="7"/>
        <v>17.488</v>
      </c>
    </row>
    <row r="41" spans="1:25">
      <c r="A41" s="118">
        <f>'BD Team'!A46</f>
        <v>38</v>
      </c>
      <c r="B41" s="118" t="str">
        <f>'BD Team'!B46</f>
        <v>CW4-B</v>
      </c>
      <c r="C41" s="118" t="str">
        <f>'BD Team'!C46</f>
        <v>M15000</v>
      </c>
      <c r="D41" s="118" t="str">
        <f>'BD Team'!D46</f>
        <v>FIXED GLASS CORNOR WINDOW</v>
      </c>
      <c r="E41" s="118" t="str">
        <f>'BD Team'!F46</f>
        <v>NO</v>
      </c>
      <c r="F41" s="121" t="str">
        <f>'BD Team'!G46</f>
        <v>GF - DINING</v>
      </c>
      <c r="G41" s="118">
        <f>'BD Team'!H46</f>
        <v>2288</v>
      </c>
      <c r="H41" s="118">
        <f>'BD Team'!I46</f>
        <v>1678</v>
      </c>
      <c r="I41" s="118">
        <f>'BD Team'!J46</f>
        <v>1</v>
      </c>
      <c r="J41" s="103">
        <f t="shared" si="0"/>
        <v>41.325837695999994</v>
      </c>
      <c r="K41" s="172">
        <f>'BD Team'!K46</f>
        <v>69.61</v>
      </c>
      <c r="L41" s="171">
        <f t="shared" si="1"/>
        <v>69.61</v>
      </c>
      <c r="M41" s="170">
        <f>L41*'Changable Values'!$D$4</f>
        <v>5777.63</v>
      </c>
      <c r="N41" s="170" t="str">
        <f>'BD Team'!E46</f>
        <v>24MM</v>
      </c>
      <c r="O41" s="172">
        <v>2938</v>
      </c>
      <c r="P41" s="241"/>
      <c r="Q41" s="173"/>
      <c r="R41" s="185"/>
      <c r="S41" s="312"/>
      <c r="T41" s="313">
        <f t="shared" si="2"/>
        <v>26.44</v>
      </c>
      <c r="U41" s="313">
        <f t="shared" si="3"/>
        <v>31.728000000000002</v>
      </c>
      <c r="V41" s="313">
        <f t="shared" si="4"/>
        <v>1.6525000000000001</v>
      </c>
      <c r="W41" s="313">
        <f t="shared" si="5"/>
        <v>26.44</v>
      </c>
      <c r="X41" s="313">
        <f t="shared" si="6"/>
        <v>52.88</v>
      </c>
      <c r="Y41" s="313">
        <f t="shared" si="7"/>
        <v>15.864000000000001</v>
      </c>
    </row>
    <row r="42" spans="1:25">
      <c r="A42" s="118">
        <f>'BD Team'!A47</f>
        <v>39</v>
      </c>
      <c r="B42" s="118" t="str">
        <f>'BD Team'!B47</f>
        <v>CW4-C</v>
      </c>
      <c r="C42" s="118" t="str">
        <f>'BD Team'!C47</f>
        <v>M14600</v>
      </c>
      <c r="D42" s="118" t="str">
        <f>'BD Team'!D47</f>
        <v>3 TRACK 2 SHUTTER SLIDING WINDOW</v>
      </c>
      <c r="E42" s="118" t="str">
        <f>'BD Team'!F47</f>
        <v>SS</v>
      </c>
      <c r="F42" s="121" t="str">
        <f>'BD Team'!G47</f>
        <v>GF - DINING</v>
      </c>
      <c r="G42" s="118">
        <f>'BD Team'!H47</f>
        <v>1830</v>
      </c>
      <c r="H42" s="118">
        <f>'BD Team'!I47</f>
        <v>1678</v>
      </c>
      <c r="I42" s="118">
        <f>'BD Team'!J47</f>
        <v>1</v>
      </c>
      <c r="J42" s="103">
        <f t="shared" si="0"/>
        <v>33.053445359999998</v>
      </c>
      <c r="K42" s="172">
        <f>'BD Team'!K47</f>
        <v>318.37</v>
      </c>
      <c r="L42" s="171">
        <f t="shared" si="1"/>
        <v>318.37</v>
      </c>
      <c r="M42" s="170">
        <f>L42*'Changable Values'!$D$4</f>
        <v>26424.71</v>
      </c>
      <c r="N42" s="170" t="str">
        <f>'BD Team'!E47</f>
        <v>24MM</v>
      </c>
      <c r="O42" s="172">
        <v>2938</v>
      </c>
      <c r="P42" s="241"/>
      <c r="Q42" s="173">
        <f>50*10.764</f>
        <v>538.19999999999993</v>
      </c>
      <c r="R42" s="185"/>
      <c r="S42" s="312"/>
      <c r="T42" s="313">
        <f t="shared" si="2"/>
        <v>23.386666666666667</v>
      </c>
      <c r="U42" s="313">
        <f t="shared" si="3"/>
        <v>28.064</v>
      </c>
      <c r="V42" s="313">
        <f t="shared" si="4"/>
        <v>1.4616666666666667</v>
      </c>
      <c r="W42" s="313">
        <f t="shared" si="5"/>
        <v>23.386666666666667</v>
      </c>
      <c r="X42" s="313">
        <f t="shared" si="6"/>
        <v>46.773333333333333</v>
      </c>
      <c r="Y42" s="313">
        <f t="shared" si="7"/>
        <v>14.032</v>
      </c>
    </row>
    <row r="43" spans="1:25" ht="28.5">
      <c r="A43" s="118">
        <f>'BD Team'!A48</f>
        <v>40</v>
      </c>
      <c r="B43" s="118" t="str">
        <f>'BD Team'!B48</f>
        <v>V1</v>
      </c>
      <c r="C43" s="118" t="str">
        <f>'BD Team'!C48</f>
        <v>-</v>
      </c>
      <c r="D43" s="118" t="str">
        <f>'BD Team'!D48</f>
        <v>GLASS LOUVERS</v>
      </c>
      <c r="E43" s="118" t="str">
        <f>'BD Team'!F48</f>
        <v>NO</v>
      </c>
      <c r="F43" s="121" t="str">
        <f>'BD Team'!G48</f>
        <v>GF - POWDER ROOM TOILET</v>
      </c>
      <c r="G43" s="118">
        <f>'BD Team'!H48</f>
        <v>610</v>
      </c>
      <c r="H43" s="118">
        <f>'BD Team'!I48</f>
        <v>610</v>
      </c>
      <c r="I43" s="118">
        <f>'BD Team'!J48</f>
        <v>1</v>
      </c>
      <c r="J43" s="103">
        <f t="shared" si="0"/>
        <v>4.0052843999999999</v>
      </c>
      <c r="K43" s="172">
        <f>'BD Team'!K48</f>
        <v>13.67</v>
      </c>
      <c r="L43" s="171">
        <f t="shared" si="1"/>
        <v>13.67</v>
      </c>
      <c r="M43" s="170">
        <f>L43*'Changable Values'!$D$4</f>
        <v>1134.6099999999999</v>
      </c>
      <c r="N43" s="170" t="str">
        <f>'BD Team'!E48</f>
        <v>6MM (A)</v>
      </c>
      <c r="O43" s="172">
        <v>1002</v>
      </c>
      <c r="P43" s="241"/>
      <c r="Q43" s="173"/>
      <c r="R43" s="185"/>
      <c r="S43" s="312"/>
      <c r="T43" s="313">
        <f t="shared" si="2"/>
        <v>8.1333333333333329</v>
      </c>
      <c r="U43" s="313">
        <f t="shared" si="3"/>
        <v>9.76</v>
      </c>
      <c r="V43" s="313">
        <f t="shared" si="4"/>
        <v>0.5083333333333333</v>
      </c>
      <c r="W43" s="313">
        <f t="shared" si="5"/>
        <v>8.1333333333333329</v>
      </c>
      <c r="X43" s="313">
        <f t="shared" si="6"/>
        <v>16.266666666666666</v>
      </c>
      <c r="Y43" s="313">
        <f t="shared" si="7"/>
        <v>4.88</v>
      </c>
    </row>
    <row r="44" spans="1:25" ht="28.5">
      <c r="A44" s="118">
        <f>'BD Team'!A49</f>
        <v>41</v>
      </c>
      <c r="B44" s="118" t="str">
        <f>'BD Team'!B49</f>
        <v>V2</v>
      </c>
      <c r="C44" s="118" t="str">
        <f>'BD Team'!C49</f>
        <v>-</v>
      </c>
      <c r="D44" s="118" t="str">
        <f>'BD Team'!D49</f>
        <v>GLASS LOUVERS</v>
      </c>
      <c r="E44" s="118" t="str">
        <f>'BD Team'!F49</f>
        <v>NO</v>
      </c>
      <c r="F44" s="121" t="str">
        <f>'BD Team'!G49</f>
        <v>GF - MBR, GBR &amp; FF - BR 1 &amp; BR 2</v>
      </c>
      <c r="G44" s="118">
        <f>'BD Team'!H49</f>
        <v>916</v>
      </c>
      <c r="H44" s="118">
        <f>'BD Team'!I49</f>
        <v>916</v>
      </c>
      <c r="I44" s="118">
        <f>'BD Team'!J49</f>
        <v>4</v>
      </c>
      <c r="J44" s="103">
        <f t="shared" si="0"/>
        <v>36.126395135999999</v>
      </c>
      <c r="K44" s="172">
        <f>'BD Team'!K49</f>
        <v>18.61</v>
      </c>
      <c r="L44" s="171">
        <f t="shared" si="1"/>
        <v>74.44</v>
      </c>
      <c r="M44" s="170">
        <f>L44*'Changable Values'!$D$4</f>
        <v>6178.5199999999995</v>
      </c>
      <c r="N44" s="170" t="str">
        <f>'BD Team'!E49</f>
        <v>6MM (A)</v>
      </c>
      <c r="O44" s="172">
        <v>1002</v>
      </c>
      <c r="P44" s="241"/>
      <c r="Q44" s="173"/>
      <c r="R44" s="185"/>
      <c r="S44" s="312"/>
      <c r="T44" s="313">
        <f t="shared" si="2"/>
        <v>48.853333333333332</v>
      </c>
      <c r="U44" s="313">
        <f t="shared" si="3"/>
        <v>58.624000000000002</v>
      </c>
      <c r="V44" s="313">
        <f t="shared" si="4"/>
        <v>3.0533333333333332</v>
      </c>
      <c r="W44" s="313">
        <f t="shared" si="5"/>
        <v>48.853333333333332</v>
      </c>
      <c r="X44" s="313">
        <f t="shared" si="6"/>
        <v>97.706666666666663</v>
      </c>
      <c r="Y44" s="313">
        <f t="shared" si="7"/>
        <v>29.312000000000001</v>
      </c>
    </row>
    <row r="45" spans="1:25">
      <c r="A45" s="118">
        <f>'BD Team'!A50</f>
        <v>42</v>
      </c>
      <c r="B45" s="118" t="str">
        <f>'BD Team'!B50</f>
        <v>V3</v>
      </c>
      <c r="C45" s="118" t="str">
        <f>'BD Team'!C50</f>
        <v>-</v>
      </c>
      <c r="D45" s="118" t="str">
        <f>'BD Team'!D50</f>
        <v>GLASS LOUVERS</v>
      </c>
      <c r="E45" s="118" t="str">
        <f>'BD Team'!F50</f>
        <v>NO</v>
      </c>
      <c r="F45" s="121" t="str">
        <f>'BD Team'!G50</f>
        <v>GF - CAR PARKING</v>
      </c>
      <c r="G45" s="118">
        <f>'BD Team'!H50</f>
        <v>3658</v>
      </c>
      <c r="H45" s="118">
        <f>'BD Team'!I50</f>
        <v>610</v>
      </c>
      <c r="I45" s="118">
        <f>'BD Team'!J50</f>
        <v>1</v>
      </c>
      <c r="J45" s="103">
        <f t="shared" si="0"/>
        <v>24.018574319999999</v>
      </c>
      <c r="K45" s="172">
        <f>'BD Team'!K50</f>
        <v>82.16</v>
      </c>
      <c r="L45" s="171">
        <f t="shared" si="1"/>
        <v>82.16</v>
      </c>
      <c r="M45" s="170">
        <f>L45*'Changable Values'!$D$4</f>
        <v>6819.28</v>
      </c>
      <c r="N45" s="170" t="str">
        <f>'BD Team'!E50</f>
        <v>6MM (A)</v>
      </c>
      <c r="O45" s="172">
        <v>1002</v>
      </c>
      <c r="P45" s="241"/>
      <c r="Q45" s="173"/>
      <c r="R45" s="185"/>
      <c r="S45" s="312"/>
      <c r="T45" s="313">
        <f t="shared" si="2"/>
        <v>28.453333333333333</v>
      </c>
      <c r="U45" s="313">
        <f t="shared" si="3"/>
        <v>34.143999999999998</v>
      </c>
      <c r="V45" s="313">
        <f t="shared" si="4"/>
        <v>1.7783333333333333</v>
      </c>
      <c r="W45" s="313">
        <f t="shared" si="5"/>
        <v>28.453333333333333</v>
      </c>
      <c r="X45" s="313">
        <f t="shared" si="6"/>
        <v>56.906666666666666</v>
      </c>
      <c r="Y45" s="313">
        <f t="shared" si="7"/>
        <v>17.071999999999999</v>
      </c>
    </row>
    <row r="46" spans="1:25">
      <c r="A46" s="118">
        <f>'BD Team'!A51</f>
        <v>43</v>
      </c>
      <c r="B46" s="118" t="str">
        <f>'BD Team'!B51</f>
        <v>V4-A</v>
      </c>
      <c r="C46" s="118" t="str">
        <f>'BD Team'!C51</f>
        <v>-</v>
      </c>
      <c r="D46" s="118" t="str">
        <f>'BD Team'!D51</f>
        <v>GLASS LOUVERS</v>
      </c>
      <c r="E46" s="118" t="str">
        <f>'BD Team'!F51</f>
        <v>NO</v>
      </c>
      <c r="F46" s="121" t="str">
        <f>'BD Team'!G51</f>
        <v>GF - CAR PARKING</v>
      </c>
      <c r="G46" s="118">
        <f>'BD Team'!H51</f>
        <v>3030</v>
      </c>
      <c r="H46" s="118">
        <f>'BD Team'!I51</f>
        <v>610</v>
      </c>
      <c r="I46" s="118">
        <f>'BD Team'!J51</f>
        <v>1</v>
      </c>
      <c r="J46" s="103">
        <f t="shared" si="0"/>
        <v>19.895101199999999</v>
      </c>
      <c r="K46" s="172">
        <f>'BD Team'!K51</f>
        <v>70.42</v>
      </c>
      <c r="L46" s="171">
        <f t="shared" si="1"/>
        <v>70.42</v>
      </c>
      <c r="M46" s="170">
        <f>L46*'Changable Values'!$D$4</f>
        <v>5844.8600000000006</v>
      </c>
      <c r="N46" s="170" t="str">
        <f>'BD Team'!E51</f>
        <v>6MM (A)</v>
      </c>
      <c r="O46" s="172">
        <v>1002</v>
      </c>
      <c r="P46" s="241"/>
      <c r="Q46" s="173"/>
      <c r="R46" s="185"/>
      <c r="S46" s="312"/>
      <c r="T46" s="313">
        <f t="shared" si="2"/>
        <v>24.266666666666666</v>
      </c>
      <c r="U46" s="313">
        <f t="shared" si="3"/>
        <v>29.12</v>
      </c>
      <c r="V46" s="313">
        <f t="shared" si="4"/>
        <v>1.5166666666666666</v>
      </c>
      <c r="W46" s="313">
        <f t="shared" si="5"/>
        <v>24.266666666666666</v>
      </c>
      <c r="X46" s="313">
        <f t="shared" si="6"/>
        <v>48.533333333333331</v>
      </c>
      <c r="Y46" s="313">
        <f t="shared" si="7"/>
        <v>14.56</v>
      </c>
    </row>
    <row r="47" spans="1:25">
      <c r="A47" s="118">
        <f>'BD Team'!A52</f>
        <v>44</v>
      </c>
      <c r="B47" s="118" t="str">
        <f>'BD Team'!B52</f>
        <v>V4-B</v>
      </c>
      <c r="C47" s="118" t="str">
        <f>'BD Team'!C52</f>
        <v>-</v>
      </c>
      <c r="D47" s="118" t="str">
        <f>'BD Team'!D52</f>
        <v>GLASS LOUVERS</v>
      </c>
      <c r="E47" s="118" t="str">
        <f>'BD Team'!F52</f>
        <v>NO</v>
      </c>
      <c r="F47" s="121" t="str">
        <f>'BD Team'!G52</f>
        <v>GF - CAR PARKING</v>
      </c>
      <c r="G47" s="118">
        <f>'BD Team'!H52</f>
        <v>3080</v>
      </c>
      <c r="H47" s="118">
        <f>'BD Team'!I52</f>
        <v>610</v>
      </c>
      <c r="I47" s="118">
        <f>'BD Team'!J52</f>
        <v>1</v>
      </c>
      <c r="J47" s="103">
        <f t="shared" si="0"/>
        <v>20.2234032</v>
      </c>
      <c r="K47" s="172">
        <f>'BD Team'!K52</f>
        <v>71.349999999999994</v>
      </c>
      <c r="L47" s="171">
        <f t="shared" si="1"/>
        <v>71.349999999999994</v>
      </c>
      <c r="M47" s="170">
        <f>L47*'Changable Values'!$D$4</f>
        <v>5922.0499999999993</v>
      </c>
      <c r="N47" s="170" t="str">
        <f>'BD Team'!E52</f>
        <v>6MM (A)</v>
      </c>
      <c r="O47" s="172">
        <v>1002</v>
      </c>
      <c r="P47" s="241"/>
      <c r="Q47" s="173"/>
      <c r="R47" s="185"/>
      <c r="S47" s="312"/>
      <c r="T47" s="313">
        <f t="shared" si="2"/>
        <v>24.6</v>
      </c>
      <c r="U47" s="313">
        <f t="shared" si="3"/>
        <v>29.52</v>
      </c>
      <c r="V47" s="313">
        <f t="shared" si="4"/>
        <v>1.5375000000000001</v>
      </c>
      <c r="W47" s="313">
        <f t="shared" si="5"/>
        <v>24.6</v>
      </c>
      <c r="X47" s="313">
        <f t="shared" si="6"/>
        <v>49.2</v>
      </c>
      <c r="Y47" s="313">
        <f t="shared" si="7"/>
        <v>14.76</v>
      </c>
    </row>
    <row r="48" spans="1:25">
      <c r="A48" s="118">
        <f>'BD Team'!A53</f>
        <v>45</v>
      </c>
      <c r="B48" s="118" t="str">
        <f>'BD Team'!B53</f>
        <v>V5</v>
      </c>
      <c r="C48" s="118" t="str">
        <f>'BD Team'!C53</f>
        <v>-</v>
      </c>
      <c r="D48" s="118" t="str">
        <f>'BD Team'!D53</f>
        <v>GLASS LOUVERS</v>
      </c>
      <c r="E48" s="118" t="str">
        <f>'BD Team'!F53</f>
        <v>NO</v>
      </c>
      <c r="F48" s="121" t="str">
        <f>'BD Team'!G53</f>
        <v>GF &amp; FF - WALK IN CLOSET</v>
      </c>
      <c r="G48" s="118">
        <f>'BD Team'!H53</f>
        <v>2490</v>
      </c>
      <c r="H48" s="118">
        <f>'BD Team'!I53</f>
        <v>458</v>
      </c>
      <c r="I48" s="118">
        <f>'BD Team'!J53</f>
        <v>2</v>
      </c>
      <c r="J48" s="103">
        <f t="shared" si="0"/>
        <v>24.550961759999996</v>
      </c>
      <c r="K48" s="172">
        <f>'BD Team'!K53</f>
        <v>58.43</v>
      </c>
      <c r="L48" s="171">
        <f t="shared" si="1"/>
        <v>116.86</v>
      </c>
      <c r="M48" s="170">
        <f>L48*'Changable Values'!$D$4</f>
        <v>9699.3799999999992</v>
      </c>
      <c r="N48" s="170" t="str">
        <f>'BD Team'!E53</f>
        <v>6MM (A)</v>
      </c>
      <c r="O48" s="172">
        <v>1002</v>
      </c>
      <c r="P48" s="241"/>
      <c r="Q48" s="173"/>
      <c r="R48" s="185"/>
      <c r="S48" s="312"/>
      <c r="T48" s="313">
        <f t="shared" si="2"/>
        <v>39.306666666666665</v>
      </c>
      <c r="U48" s="313">
        <f t="shared" si="3"/>
        <v>47.167999999999999</v>
      </c>
      <c r="V48" s="313">
        <f t="shared" si="4"/>
        <v>2.4566666666666666</v>
      </c>
      <c r="W48" s="313">
        <f t="shared" si="5"/>
        <v>39.306666666666665</v>
      </c>
      <c r="X48" s="313">
        <f t="shared" si="6"/>
        <v>78.61333333333333</v>
      </c>
      <c r="Y48" s="313">
        <f t="shared" si="7"/>
        <v>23.584</v>
      </c>
    </row>
    <row r="49" spans="1:25">
      <c r="A49" s="118">
        <f>'BD Team'!A54</f>
        <v>46</v>
      </c>
      <c r="B49" s="118" t="str">
        <f>'BD Team'!B54</f>
        <v>V6</v>
      </c>
      <c r="C49" s="118" t="str">
        <f>'BD Team'!C54</f>
        <v>-</v>
      </c>
      <c r="D49" s="118" t="str">
        <f>'BD Team'!D54</f>
        <v>GLASS LOUVERS</v>
      </c>
      <c r="E49" s="118" t="str">
        <f>'BD Team'!F54</f>
        <v>NO</v>
      </c>
      <c r="F49" s="121" t="str">
        <f>'BD Team'!G54</f>
        <v>GF - CAR PARKING</v>
      </c>
      <c r="G49" s="118">
        <f>'BD Team'!H54</f>
        <v>3868</v>
      </c>
      <c r="H49" s="118">
        <f>'BD Team'!I54</f>
        <v>610</v>
      </c>
      <c r="I49" s="118">
        <f>'BD Team'!J54</f>
        <v>1</v>
      </c>
      <c r="J49" s="103">
        <f t="shared" si="0"/>
        <v>25.397442719999997</v>
      </c>
      <c r="K49" s="172">
        <f>'BD Team'!K54</f>
        <v>86.08</v>
      </c>
      <c r="L49" s="171">
        <f t="shared" si="1"/>
        <v>86.08</v>
      </c>
      <c r="M49" s="170">
        <f>L49*'Changable Values'!$D$4</f>
        <v>7144.6399999999994</v>
      </c>
      <c r="N49" s="170" t="str">
        <f>'BD Team'!E54</f>
        <v>6MM (A)</v>
      </c>
      <c r="O49" s="172">
        <v>1002</v>
      </c>
      <c r="P49" s="241"/>
      <c r="Q49" s="173"/>
      <c r="R49" s="185"/>
      <c r="S49" s="312"/>
      <c r="T49" s="313">
        <f t="shared" si="2"/>
        <v>29.853333333333332</v>
      </c>
      <c r="U49" s="313">
        <f t="shared" si="3"/>
        <v>35.823999999999998</v>
      </c>
      <c r="V49" s="313">
        <f t="shared" si="4"/>
        <v>1.8658333333333332</v>
      </c>
      <c r="W49" s="313">
        <f t="shared" si="5"/>
        <v>29.853333333333332</v>
      </c>
      <c r="X49" s="313">
        <f t="shared" si="6"/>
        <v>59.706666666666663</v>
      </c>
      <c r="Y49" s="313">
        <f t="shared" si="7"/>
        <v>17.911999999999999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2"/>
        <v>0</v>
      </c>
      <c r="K55" s="172">
        <f>'BD Team'!K60</f>
        <v>0</v>
      </c>
      <c r="L55" s="171">
        <f t="shared" ref="L55:L103" si="1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2"/>
        <v>0</v>
      </c>
      <c r="K56" s="172">
        <f>'BD Team'!K61</f>
        <v>0</v>
      </c>
      <c r="L56" s="171">
        <f t="shared" si="1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2"/>
        <v>0</v>
      </c>
      <c r="K57" s="172">
        <f>'BD Team'!K62</f>
        <v>0</v>
      </c>
      <c r="L57" s="171">
        <f t="shared" si="1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2"/>
        <v>0</v>
      </c>
      <c r="K58" s="172">
        <f>'BD Team'!K63</f>
        <v>0</v>
      </c>
      <c r="L58" s="171">
        <f t="shared" si="1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2"/>
        <v>0</v>
      </c>
      <c r="K59" s="172">
        <f>'BD Team'!K64</f>
        <v>0</v>
      </c>
      <c r="L59" s="171">
        <f t="shared" si="1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2"/>
        <v>0</v>
      </c>
      <c r="K60" s="172">
        <f>'BD Team'!K65</f>
        <v>0</v>
      </c>
      <c r="L60" s="171">
        <f t="shared" si="1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2"/>
        <v>0</v>
      </c>
      <c r="K61" s="172">
        <f>'BD Team'!K66</f>
        <v>0</v>
      </c>
      <c r="L61" s="171">
        <f t="shared" si="1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2"/>
        <v>0</v>
      </c>
      <c r="K62" s="172">
        <f>'BD Team'!K67</f>
        <v>0</v>
      </c>
      <c r="L62" s="171">
        <f t="shared" si="1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2"/>
        <v>0</v>
      </c>
      <c r="K63" s="172">
        <f>'BD Team'!K68</f>
        <v>0</v>
      </c>
      <c r="L63" s="171">
        <f t="shared" si="1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2"/>
        <v>0</v>
      </c>
      <c r="K64" s="172">
        <f>'BD Team'!K69</f>
        <v>0</v>
      </c>
      <c r="L64" s="171">
        <f t="shared" si="1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2"/>
        <v>0</v>
      </c>
      <c r="K65" s="172">
        <f>'BD Team'!K70</f>
        <v>0</v>
      </c>
      <c r="L65" s="171">
        <f t="shared" si="1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2"/>
        <v>0</v>
      </c>
      <c r="K66" s="172">
        <f>'BD Team'!K71</f>
        <v>0</v>
      </c>
      <c r="L66" s="171">
        <f t="shared" si="1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2"/>
        <v>0</v>
      </c>
      <c r="K67" s="172">
        <f>'BD Team'!K72</f>
        <v>0</v>
      </c>
      <c r="L67" s="171">
        <f t="shared" si="1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2"/>
        <v>0</v>
      </c>
      <c r="K68" s="172">
        <f>'BD Team'!K73</f>
        <v>0</v>
      </c>
      <c r="L68" s="171">
        <f t="shared" si="1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2"/>
        <v>0</v>
      </c>
      <c r="K69" s="172">
        <f>'BD Team'!K74</f>
        <v>0</v>
      </c>
      <c r="L69" s="171">
        <f t="shared" si="1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4">(G69+H69)*I69*2/300</f>
        <v>0</v>
      </c>
      <c r="U69" s="313">
        <f t="shared" ref="U69:U103" si="15">SUM(G69:H69)*I69*2*4/1000</f>
        <v>0</v>
      </c>
      <c r="V69" s="313">
        <f t="shared" ref="V69:V103" si="16">SUM(G69:H69)*I69*5*5*4/(1000*240)</f>
        <v>0</v>
      </c>
      <c r="W69" s="313">
        <f t="shared" ref="W69:W103" si="17">T69</f>
        <v>0</v>
      </c>
      <c r="X69" s="313">
        <f t="shared" ref="X69:X103" si="18">W69*2</f>
        <v>0</v>
      </c>
      <c r="Y69" s="313">
        <f t="shared" ref="Y69:Y103" si="19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2"/>
        <v>0</v>
      </c>
      <c r="K70" s="172">
        <f>'BD Team'!K75</f>
        <v>0</v>
      </c>
      <c r="L70" s="171">
        <f t="shared" si="1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4"/>
        <v>0</v>
      </c>
      <c r="U70" s="313">
        <f t="shared" si="15"/>
        <v>0</v>
      </c>
      <c r="V70" s="313">
        <f t="shared" si="16"/>
        <v>0</v>
      </c>
      <c r="W70" s="313">
        <f t="shared" si="17"/>
        <v>0</v>
      </c>
      <c r="X70" s="313">
        <f t="shared" si="18"/>
        <v>0</v>
      </c>
      <c r="Y70" s="313">
        <f t="shared" si="19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2"/>
        <v>0</v>
      </c>
      <c r="K71" s="172">
        <f>'BD Team'!K76</f>
        <v>0</v>
      </c>
      <c r="L71" s="171">
        <f t="shared" si="1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4"/>
        <v>0</v>
      </c>
      <c r="U71" s="313">
        <f t="shared" si="15"/>
        <v>0</v>
      </c>
      <c r="V71" s="313">
        <f t="shared" si="16"/>
        <v>0</v>
      </c>
      <c r="W71" s="313">
        <f t="shared" si="17"/>
        <v>0</v>
      </c>
      <c r="X71" s="313">
        <f t="shared" si="18"/>
        <v>0</v>
      </c>
      <c r="Y71" s="313">
        <f t="shared" si="19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2"/>
        <v>0</v>
      </c>
      <c r="K72" s="172">
        <f>'BD Team'!K77</f>
        <v>0</v>
      </c>
      <c r="L72" s="171">
        <f t="shared" si="1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4"/>
        <v>0</v>
      </c>
      <c r="U72" s="313">
        <f t="shared" si="15"/>
        <v>0</v>
      </c>
      <c r="V72" s="313">
        <f t="shared" si="16"/>
        <v>0</v>
      </c>
      <c r="W72" s="313">
        <f t="shared" si="17"/>
        <v>0</v>
      </c>
      <c r="X72" s="313">
        <f t="shared" si="18"/>
        <v>0</v>
      </c>
      <c r="Y72" s="313">
        <f t="shared" si="19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2"/>
        <v>0</v>
      </c>
      <c r="K73" s="172">
        <f>'BD Team'!K78</f>
        <v>0</v>
      </c>
      <c r="L73" s="171">
        <f t="shared" si="1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4"/>
        <v>0</v>
      </c>
      <c r="U73" s="313">
        <f t="shared" si="15"/>
        <v>0</v>
      </c>
      <c r="V73" s="313">
        <f t="shared" si="16"/>
        <v>0</v>
      </c>
      <c r="W73" s="313">
        <f t="shared" si="17"/>
        <v>0</v>
      </c>
      <c r="X73" s="313">
        <f t="shared" si="18"/>
        <v>0</v>
      </c>
      <c r="Y73" s="313">
        <f t="shared" si="19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2"/>
        <v>0</v>
      </c>
      <c r="K74" s="172">
        <f>'BD Team'!K79</f>
        <v>0</v>
      </c>
      <c r="L74" s="171">
        <f t="shared" si="1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4"/>
        <v>0</v>
      </c>
      <c r="U74" s="313">
        <f t="shared" si="15"/>
        <v>0</v>
      </c>
      <c r="V74" s="313">
        <f t="shared" si="16"/>
        <v>0</v>
      </c>
      <c r="W74" s="313">
        <f t="shared" si="17"/>
        <v>0</v>
      </c>
      <c r="X74" s="313">
        <f t="shared" si="18"/>
        <v>0</v>
      </c>
      <c r="Y74" s="313">
        <f t="shared" si="19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2"/>
        <v>0</v>
      </c>
      <c r="K75" s="172">
        <f>'BD Team'!K80</f>
        <v>0</v>
      </c>
      <c r="L75" s="171">
        <f t="shared" si="1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4"/>
        <v>0</v>
      </c>
      <c r="U75" s="313">
        <f t="shared" si="15"/>
        <v>0</v>
      </c>
      <c r="V75" s="313">
        <f t="shared" si="16"/>
        <v>0</v>
      </c>
      <c r="W75" s="313">
        <f t="shared" si="17"/>
        <v>0</v>
      </c>
      <c r="X75" s="313">
        <f t="shared" si="18"/>
        <v>0</v>
      </c>
      <c r="Y75" s="313">
        <f t="shared" si="19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2"/>
        <v>0</v>
      </c>
      <c r="K76" s="172">
        <f>'BD Team'!K81</f>
        <v>0</v>
      </c>
      <c r="L76" s="171">
        <f t="shared" si="1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4"/>
        <v>0</v>
      </c>
      <c r="U76" s="313">
        <f t="shared" si="15"/>
        <v>0</v>
      </c>
      <c r="V76" s="313">
        <f t="shared" si="16"/>
        <v>0</v>
      </c>
      <c r="W76" s="313">
        <f t="shared" si="17"/>
        <v>0</v>
      </c>
      <c r="X76" s="313">
        <f t="shared" si="18"/>
        <v>0</v>
      </c>
      <c r="Y76" s="313">
        <f t="shared" si="19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2"/>
        <v>0</v>
      </c>
      <c r="K77" s="172">
        <f>'BD Team'!K82</f>
        <v>0</v>
      </c>
      <c r="L77" s="171">
        <f t="shared" si="1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4"/>
        <v>0</v>
      </c>
      <c r="U77" s="313">
        <f t="shared" si="15"/>
        <v>0</v>
      </c>
      <c r="V77" s="313">
        <f t="shared" si="16"/>
        <v>0</v>
      </c>
      <c r="W77" s="313">
        <f t="shared" si="17"/>
        <v>0</v>
      </c>
      <c r="X77" s="313">
        <f t="shared" si="18"/>
        <v>0</v>
      </c>
      <c r="Y77" s="313">
        <f t="shared" si="19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2"/>
        <v>0</v>
      </c>
      <c r="K78" s="172">
        <f>'BD Team'!K83</f>
        <v>0</v>
      </c>
      <c r="L78" s="171">
        <f t="shared" si="1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4"/>
        <v>0</v>
      </c>
      <c r="U78" s="313">
        <f t="shared" si="15"/>
        <v>0</v>
      </c>
      <c r="V78" s="313">
        <f t="shared" si="16"/>
        <v>0</v>
      </c>
      <c r="W78" s="313">
        <f t="shared" si="17"/>
        <v>0</v>
      </c>
      <c r="X78" s="313">
        <f t="shared" si="18"/>
        <v>0</v>
      </c>
      <c r="Y78" s="313">
        <f t="shared" si="19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2"/>
        <v>0</v>
      </c>
      <c r="K79" s="172">
        <f>'BD Team'!K84</f>
        <v>0</v>
      </c>
      <c r="L79" s="171">
        <f t="shared" si="1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4"/>
        <v>0</v>
      </c>
      <c r="U79" s="313">
        <f t="shared" si="15"/>
        <v>0</v>
      </c>
      <c r="V79" s="313">
        <f t="shared" si="16"/>
        <v>0</v>
      </c>
      <c r="W79" s="313">
        <f t="shared" si="17"/>
        <v>0</v>
      </c>
      <c r="X79" s="313">
        <f t="shared" si="18"/>
        <v>0</v>
      </c>
      <c r="Y79" s="313">
        <f t="shared" si="19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2"/>
        <v>0</v>
      </c>
      <c r="K80" s="172">
        <f>'BD Team'!K85</f>
        <v>0</v>
      </c>
      <c r="L80" s="171">
        <f t="shared" si="1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4"/>
        <v>0</v>
      </c>
      <c r="U80" s="313">
        <f t="shared" si="15"/>
        <v>0</v>
      </c>
      <c r="V80" s="313">
        <f t="shared" si="16"/>
        <v>0</v>
      </c>
      <c r="W80" s="313">
        <f t="shared" si="17"/>
        <v>0</v>
      </c>
      <c r="X80" s="313">
        <f t="shared" si="18"/>
        <v>0</v>
      </c>
      <c r="Y80" s="313">
        <f t="shared" si="19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2"/>
        <v>0</v>
      </c>
      <c r="K81" s="172">
        <f>'BD Team'!K86</f>
        <v>0</v>
      </c>
      <c r="L81" s="171">
        <f t="shared" si="1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4"/>
        <v>0</v>
      </c>
      <c r="U81" s="313">
        <f t="shared" si="15"/>
        <v>0</v>
      </c>
      <c r="V81" s="313">
        <f t="shared" si="16"/>
        <v>0</v>
      </c>
      <c r="W81" s="313">
        <f t="shared" si="17"/>
        <v>0</v>
      </c>
      <c r="X81" s="313">
        <f t="shared" si="18"/>
        <v>0</v>
      </c>
      <c r="Y81" s="313">
        <f t="shared" si="19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2"/>
        <v>0</v>
      </c>
      <c r="K82" s="172">
        <f>'BD Team'!K87</f>
        <v>0</v>
      </c>
      <c r="L82" s="171">
        <f t="shared" si="1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4"/>
        <v>0</v>
      </c>
      <c r="U82" s="313">
        <f t="shared" si="15"/>
        <v>0</v>
      </c>
      <c r="V82" s="313">
        <f t="shared" si="16"/>
        <v>0</v>
      </c>
      <c r="W82" s="313">
        <f t="shared" si="17"/>
        <v>0</v>
      </c>
      <c r="X82" s="313">
        <f t="shared" si="18"/>
        <v>0</v>
      </c>
      <c r="Y82" s="313">
        <f t="shared" si="19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2"/>
        <v>0</v>
      </c>
      <c r="K83" s="172">
        <f>'BD Team'!K88</f>
        <v>0</v>
      </c>
      <c r="L83" s="171">
        <f t="shared" si="1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4"/>
        <v>0</v>
      </c>
      <c r="U83" s="313">
        <f t="shared" si="15"/>
        <v>0</v>
      </c>
      <c r="V83" s="313">
        <f t="shared" si="16"/>
        <v>0</v>
      </c>
      <c r="W83" s="313">
        <f t="shared" si="17"/>
        <v>0</v>
      </c>
      <c r="X83" s="313">
        <f t="shared" si="18"/>
        <v>0</v>
      </c>
      <c r="Y83" s="313">
        <f t="shared" si="19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2"/>
        <v>0</v>
      </c>
      <c r="K84" s="172">
        <f>'BD Team'!K89</f>
        <v>0</v>
      </c>
      <c r="L84" s="171">
        <f t="shared" si="1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4"/>
        <v>0</v>
      </c>
      <c r="U84" s="313">
        <f t="shared" si="15"/>
        <v>0</v>
      </c>
      <c r="V84" s="313">
        <f t="shared" si="16"/>
        <v>0</v>
      </c>
      <c r="W84" s="313">
        <f t="shared" si="17"/>
        <v>0</v>
      </c>
      <c r="X84" s="313">
        <f t="shared" si="18"/>
        <v>0</v>
      </c>
      <c r="Y84" s="313">
        <f t="shared" si="19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2"/>
        <v>0</v>
      </c>
      <c r="K85" s="172">
        <f>'BD Team'!K90</f>
        <v>0</v>
      </c>
      <c r="L85" s="171">
        <f t="shared" si="1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4"/>
        <v>0</v>
      </c>
      <c r="U85" s="313">
        <f t="shared" si="15"/>
        <v>0</v>
      </c>
      <c r="V85" s="313">
        <f t="shared" si="16"/>
        <v>0</v>
      </c>
      <c r="W85" s="313">
        <f t="shared" si="17"/>
        <v>0</v>
      </c>
      <c r="X85" s="313">
        <f t="shared" si="18"/>
        <v>0</v>
      </c>
      <c r="Y85" s="313">
        <f t="shared" si="19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2"/>
        <v>0</v>
      </c>
      <c r="K86" s="172">
        <f>'BD Team'!K91</f>
        <v>0</v>
      </c>
      <c r="L86" s="171">
        <f t="shared" si="1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4"/>
        <v>0</v>
      </c>
      <c r="U86" s="313">
        <f t="shared" si="15"/>
        <v>0</v>
      </c>
      <c r="V86" s="313">
        <f t="shared" si="16"/>
        <v>0</v>
      </c>
      <c r="W86" s="313">
        <f t="shared" si="17"/>
        <v>0</v>
      </c>
      <c r="X86" s="313">
        <f t="shared" si="18"/>
        <v>0</v>
      </c>
      <c r="Y86" s="313">
        <f t="shared" si="19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2"/>
        <v>0</v>
      </c>
      <c r="K87" s="172">
        <f>'BD Team'!K92</f>
        <v>0</v>
      </c>
      <c r="L87" s="171">
        <f t="shared" si="1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4"/>
        <v>0</v>
      </c>
      <c r="U87" s="313">
        <f t="shared" si="15"/>
        <v>0</v>
      </c>
      <c r="V87" s="313">
        <f t="shared" si="16"/>
        <v>0</v>
      </c>
      <c r="W87" s="313">
        <f t="shared" si="17"/>
        <v>0</v>
      </c>
      <c r="X87" s="313">
        <f t="shared" si="18"/>
        <v>0</v>
      </c>
      <c r="Y87" s="313">
        <f t="shared" si="19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2"/>
        <v>0</v>
      </c>
      <c r="K88" s="172">
        <f>'BD Team'!K93</f>
        <v>0</v>
      </c>
      <c r="L88" s="171">
        <f t="shared" si="1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4"/>
        <v>0</v>
      </c>
      <c r="U88" s="313">
        <f t="shared" si="15"/>
        <v>0</v>
      </c>
      <c r="V88" s="313">
        <f t="shared" si="16"/>
        <v>0</v>
      </c>
      <c r="W88" s="313">
        <f t="shared" si="17"/>
        <v>0</v>
      </c>
      <c r="X88" s="313">
        <f t="shared" si="18"/>
        <v>0</v>
      </c>
      <c r="Y88" s="313">
        <f t="shared" si="19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2"/>
        <v>0</v>
      </c>
      <c r="K89" s="172">
        <f>'BD Team'!K94</f>
        <v>0</v>
      </c>
      <c r="L89" s="171">
        <f t="shared" si="1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4"/>
        <v>0</v>
      </c>
      <c r="U89" s="313">
        <f t="shared" si="15"/>
        <v>0</v>
      </c>
      <c r="V89" s="313">
        <f t="shared" si="16"/>
        <v>0</v>
      </c>
      <c r="W89" s="313">
        <f t="shared" si="17"/>
        <v>0</v>
      </c>
      <c r="X89" s="313">
        <f t="shared" si="18"/>
        <v>0</v>
      </c>
      <c r="Y89" s="313">
        <f t="shared" si="19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2"/>
        <v>0</v>
      </c>
      <c r="K90" s="172">
        <f>'BD Team'!K95</f>
        <v>0</v>
      </c>
      <c r="L90" s="171">
        <f t="shared" si="1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4"/>
        <v>0</v>
      </c>
      <c r="U90" s="313">
        <f t="shared" si="15"/>
        <v>0</v>
      </c>
      <c r="V90" s="313">
        <f t="shared" si="16"/>
        <v>0</v>
      </c>
      <c r="W90" s="313">
        <f t="shared" si="17"/>
        <v>0</v>
      </c>
      <c r="X90" s="313">
        <f t="shared" si="18"/>
        <v>0</v>
      </c>
      <c r="Y90" s="313">
        <f t="shared" si="19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2"/>
        <v>0</v>
      </c>
      <c r="K91" s="172">
        <f>'BD Team'!K96</f>
        <v>0</v>
      </c>
      <c r="L91" s="171">
        <f t="shared" si="1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4"/>
        <v>0</v>
      </c>
      <c r="U91" s="313">
        <f t="shared" si="15"/>
        <v>0</v>
      </c>
      <c r="V91" s="313">
        <f t="shared" si="16"/>
        <v>0</v>
      </c>
      <c r="W91" s="313">
        <f t="shared" si="17"/>
        <v>0</v>
      </c>
      <c r="X91" s="313">
        <f t="shared" si="18"/>
        <v>0</v>
      </c>
      <c r="Y91" s="313">
        <f t="shared" si="19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2"/>
        <v>0</v>
      </c>
      <c r="K92" s="172">
        <f>'BD Team'!K97</f>
        <v>0</v>
      </c>
      <c r="L92" s="171">
        <f t="shared" si="1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4"/>
        <v>0</v>
      </c>
      <c r="U92" s="313">
        <f t="shared" si="15"/>
        <v>0</v>
      </c>
      <c r="V92" s="313">
        <f t="shared" si="16"/>
        <v>0</v>
      </c>
      <c r="W92" s="313">
        <f t="shared" si="17"/>
        <v>0</v>
      </c>
      <c r="X92" s="313">
        <f t="shared" si="18"/>
        <v>0</v>
      </c>
      <c r="Y92" s="313">
        <f t="shared" si="19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2"/>
        <v>0</v>
      </c>
      <c r="K93" s="172">
        <f>'BD Team'!K98</f>
        <v>0</v>
      </c>
      <c r="L93" s="171">
        <f t="shared" si="1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4"/>
        <v>0</v>
      </c>
      <c r="U93" s="313">
        <f t="shared" si="15"/>
        <v>0</v>
      </c>
      <c r="V93" s="313">
        <f t="shared" si="16"/>
        <v>0</v>
      </c>
      <c r="W93" s="313">
        <f t="shared" si="17"/>
        <v>0</v>
      </c>
      <c r="X93" s="313">
        <f t="shared" si="18"/>
        <v>0</v>
      </c>
      <c r="Y93" s="313">
        <f t="shared" si="19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2"/>
        <v>0</v>
      </c>
      <c r="K94" s="172">
        <f>'BD Team'!K99</f>
        <v>0</v>
      </c>
      <c r="L94" s="171">
        <f t="shared" si="1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4"/>
        <v>0</v>
      </c>
      <c r="U94" s="313">
        <f t="shared" si="15"/>
        <v>0</v>
      </c>
      <c r="V94" s="313">
        <f t="shared" si="16"/>
        <v>0</v>
      </c>
      <c r="W94" s="313">
        <f t="shared" si="17"/>
        <v>0</v>
      </c>
      <c r="X94" s="313">
        <f t="shared" si="18"/>
        <v>0</v>
      </c>
      <c r="Y94" s="313">
        <f t="shared" si="19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2"/>
        <v>0</v>
      </c>
      <c r="K95" s="172">
        <f>'BD Team'!K100</f>
        <v>0</v>
      </c>
      <c r="L95" s="171">
        <f t="shared" si="1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4"/>
        <v>0</v>
      </c>
      <c r="U95" s="313">
        <f t="shared" si="15"/>
        <v>0</v>
      </c>
      <c r="V95" s="313">
        <f t="shared" si="16"/>
        <v>0</v>
      </c>
      <c r="W95" s="313">
        <f t="shared" si="17"/>
        <v>0</v>
      </c>
      <c r="X95" s="313">
        <f t="shared" si="18"/>
        <v>0</v>
      </c>
      <c r="Y95" s="313">
        <f t="shared" si="19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2"/>
        <v>0</v>
      </c>
      <c r="K96" s="172">
        <f>'BD Team'!K101</f>
        <v>0</v>
      </c>
      <c r="L96" s="171">
        <f t="shared" si="1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4"/>
        <v>0</v>
      </c>
      <c r="U96" s="313">
        <f t="shared" si="15"/>
        <v>0</v>
      </c>
      <c r="V96" s="313">
        <f t="shared" si="16"/>
        <v>0</v>
      </c>
      <c r="W96" s="313">
        <f t="shared" si="17"/>
        <v>0</v>
      </c>
      <c r="X96" s="313">
        <f t="shared" si="18"/>
        <v>0</v>
      </c>
      <c r="Y96" s="313">
        <f t="shared" si="19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2"/>
        <v>0</v>
      </c>
      <c r="K97" s="172">
        <f>'BD Team'!K102</f>
        <v>0</v>
      </c>
      <c r="L97" s="171">
        <f t="shared" si="1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4"/>
        <v>0</v>
      </c>
      <c r="U97" s="313">
        <f t="shared" si="15"/>
        <v>0</v>
      </c>
      <c r="V97" s="313">
        <f t="shared" si="16"/>
        <v>0</v>
      </c>
      <c r="W97" s="313">
        <f t="shared" si="17"/>
        <v>0</v>
      </c>
      <c r="X97" s="313">
        <f t="shared" si="18"/>
        <v>0</v>
      </c>
      <c r="Y97" s="313">
        <f t="shared" si="19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2"/>
        <v>0</v>
      </c>
      <c r="K98" s="172">
        <f>'BD Team'!K103</f>
        <v>0</v>
      </c>
      <c r="L98" s="171">
        <f t="shared" si="1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4"/>
        <v>0</v>
      </c>
      <c r="U98" s="313">
        <f t="shared" si="15"/>
        <v>0</v>
      </c>
      <c r="V98" s="313">
        <f t="shared" si="16"/>
        <v>0</v>
      </c>
      <c r="W98" s="313">
        <f t="shared" si="17"/>
        <v>0</v>
      </c>
      <c r="X98" s="313">
        <f t="shared" si="18"/>
        <v>0</v>
      </c>
      <c r="Y98" s="313">
        <f t="shared" si="19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2"/>
        <v>0</v>
      </c>
      <c r="K99" s="172">
        <f>'BD Team'!K104</f>
        <v>0</v>
      </c>
      <c r="L99" s="171">
        <f t="shared" si="1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4"/>
        <v>0</v>
      </c>
      <c r="U99" s="313">
        <f t="shared" si="15"/>
        <v>0</v>
      </c>
      <c r="V99" s="313">
        <f t="shared" si="16"/>
        <v>0</v>
      </c>
      <c r="W99" s="313">
        <f t="shared" si="17"/>
        <v>0</v>
      </c>
      <c r="X99" s="313">
        <f t="shared" si="18"/>
        <v>0</v>
      </c>
      <c r="Y99" s="313">
        <f t="shared" si="19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2"/>
        <v>0</v>
      </c>
      <c r="K100" s="172">
        <f>'BD Team'!K105</f>
        <v>0</v>
      </c>
      <c r="L100" s="171">
        <f t="shared" si="1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4"/>
        <v>0</v>
      </c>
      <c r="U100" s="313">
        <f t="shared" si="15"/>
        <v>0</v>
      </c>
      <c r="V100" s="313">
        <f t="shared" si="16"/>
        <v>0</v>
      </c>
      <c r="W100" s="313">
        <f t="shared" si="17"/>
        <v>0</v>
      </c>
      <c r="X100" s="313">
        <f t="shared" si="18"/>
        <v>0</v>
      </c>
      <c r="Y100" s="313">
        <f t="shared" si="19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2"/>
        <v>0</v>
      </c>
      <c r="K101" s="172">
        <f>'BD Team'!K106</f>
        <v>0</v>
      </c>
      <c r="L101" s="171">
        <f t="shared" si="1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4"/>
        <v>0</v>
      </c>
      <c r="U101" s="313">
        <f t="shared" si="15"/>
        <v>0</v>
      </c>
      <c r="V101" s="313">
        <f t="shared" si="16"/>
        <v>0</v>
      </c>
      <c r="W101" s="313">
        <f t="shared" si="17"/>
        <v>0</v>
      </c>
      <c r="X101" s="313">
        <f t="shared" si="18"/>
        <v>0</v>
      </c>
      <c r="Y101" s="313">
        <f t="shared" si="19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2"/>
        <v>0</v>
      </c>
      <c r="K102" s="172">
        <f>'BD Team'!K107</f>
        <v>0</v>
      </c>
      <c r="L102" s="171">
        <f t="shared" si="1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4"/>
        <v>0</v>
      </c>
      <c r="U102" s="313">
        <f t="shared" si="15"/>
        <v>0</v>
      </c>
      <c r="V102" s="313">
        <f t="shared" si="16"/>
        <v>0</v>
      </c>
      <c r="W102" s="313">
        <f t="shared" si="17"/>
        <v>0</v>
      </c>
      <c r="X102" s="313">
        <f t="shared" si="18"/>
        <v>0</v>
      </c>
      <c r="Y102" s="313">
        <f t="shared" si="19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2"/>
        <v>0</v>
      </c>
      <c r="K103" s="172">
        <f>'BD Team'!K108</f>
        <v>0</v>
      </c>
      <c r="L103" s="171">
        <f t="shared" si="1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4"/>
        <v>0</v>
      </c>
      <c r="U103" s="313">
        <f t="shared" si="15"/>
        <v>0</v>
      </c>
      <c r="V103" s="313">
        <f t="shared" si="16"/>
        <v>0</v>
      </c>
      <c r="W103" s="313">
        <f t="shared" si="17"/>
        <v>0</v>
      </c>
      <c r="X103" s="313">
        <f t="shared" si="18"/>
        <v>0</v>
      </c>
      <c r="Y103" s="313">
        <f t="shared" si="19"/>
        <v>0</v>
      </c>
    </row>
    <row r="104" spans="1:25">
      <c r="K104" s="168">
        <f>SUM(K4:K103)</f>
        <v>13567.940000000006</v>
      </c>
      <c r="L104" s="168">
        <f>SUM(L4:L103)</f>
        <v>18699.269999999997</v>
      </c>
      <c r="M104" s="168">
        <f>SUM(M4:M103)</f>
        <v>1552039.4099999995</v>
      </c>
      <c r="T104" s="314">
        <f t="shared" ref="T104:Y104" si="20">SUM(T4:T103)</f>
        <v>1614.0866666666664</v>
      </c>
      <c r="U104" s="314">
        <f t="shared" si="20"/>
        <v>1936.9039999999998</v>
      </c>
      <c r="V104" s="314">
        <f t="shared" si="20"/>
        <v>100.88041666666665</v>
      </c>
      <c r="W104" s="314">
        <f t="shared" si="20"/>
        <v>1614.0866666666664</v>
      </c>
      <c r="X104" s="314">
        <f t="shared" si="20"/>
        <v>3228.1733333333327</v>
      </c>
      <c r="Y104" s="314">
        <f t="shared" si="20"/>
        <v>968.45199999999988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282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283</v>
      </c>
      <c r="B2" s="339">
        <f>K4</f>
        <v>1589.3639999999998</v>
      </c>
      <c r="C2" s="246" t="s">
        <v>284</v>
      </c>
      <c r="D2" s="247" t="s">
        <v>285</v>
      </c>
      <c r="E2" s="247" t="s">
        <v>137</v>
      </c>
      <c r="F2" s="248" t="s">
        <v>134</v>
      </c>
      <c r="G2" s="246" t="s">
        <v>286</v>
      </c>
      <c r="H2" s="247" t="s">
        <v>287</v>
      </c>
      <c r="I2" s="246" t="s">
        <v>288</v>
      </c>
      <c r="J2" s="247" t="s">
        <v>128</v>
      </c>
      <c r="K2" s="246" t="s">
        <v>289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290</v>
      </c>
      <c r="B6" s="265" t="s">
        <v>106</v>
      </c>
      <c r="C6" s="266" t="s">
        <v>291</v>
      </c>
      <c r="D6" s="265" t="s">
        <v>106</v>
      </c>
      <c r="E6" s="266" t="s">
        <v>291</v>
      </c>
      <c r="F6" s="265" t="s">
        <v>106</v>
      </c>
      <c r="G6" s="267" t="s">
        <v>286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292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293</v>
      </c>
      <c r="D10" s="272"/>
      <c r="E10" s="275" t="s">
        <v>194</v>
      </c>
      <c r="F10" s="275" t="s">
        <v>293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294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295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296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297</v>
      </c>
      <c r="B15" s="276">
        <v>8</v>
      </c>
      <c r="C15" s="278">
        <v>990</v>
      </c>
      <c r="D15" s="272"/>
      <c r="E15" s="275">
        <v>15</v>
      </c>
      <c r="F15" s="275">
        <v>800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298</v>
      </c>
      <c r="B16" s="276">
        <v>10</v>
      </c>
      <c r="C16" s="278">
        <v>1190</v>
      </c>
      <c r="D16" s="273"/>
      <c r="E16" s="279">
        <v>16</v>
      </c>
      <c r="F16" s="279">
        <v>800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299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300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301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302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303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304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305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306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307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308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309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310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311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312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313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314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315</v>
      </c>
      <c r="B33" s="283">
        <v>5</v>
      </c>
      <c r="C33" s="278">
        <v>1030</v>
      </c>
    </row>
    <row r="34" spans="1:3" ht="15" hidden="1">
      <c r="A34" s="250" t="s">
        <v>316</v>
      </c>
      <c r="B34" s="283">
        <v>5</v>
      </c>
      <c r="C34" s="278">
        <v>1030</v>
      </c>
    </row>
    <row r="35" spans="1:3" ht="15" hidden="1">
      <c r="A35" s="250" t="s">
        <v>317</v>
      </c>
      <c r="B35" s="283">
        <v>5</v>
      </c>
      <c r="C35" s="278">
        <v>1030</v>
      </c>
    </row>
    <row r="36" spans="1:3" ht="15" hidden="1">
      <c r="A36" s="250" t="s">
        <v>318</v>
      </c>
      <c r="B36" s="283">
        <v>5</v>
      </c>
      <c r="C36" s="278">
        <v>1130</v>
      </c>
    </row>
    <row r="37" spans="1:3" ht="15" hidden="1">
      <c r="A37" s="250" t="s">
        <v>319</v>
      </c>
      <c r="B37" s="283">
        <v>5</v>
      </c>
      <c r="C37" s="278">
        <v>1130</v>
      </c>
    </row>
    <row r="38" spans="1:3" ht="15" hidden="1">
      <c r="A38" s="250" t="s">
        <v>320</v>
      </c>
      <c r="B38" s="283">
        <v>5</v>
      </c>
      <c r="C38" s="278">
        <v>1030</v>
      </c>
    </row>
    <row r="39" spans="1:3" ht="15" hidden="1">
      <c r="A39" s="250" t="s">
        <v>321</v>
      </c>
      <c r="B39" s="283">
        <v>6</v>
      </c>
      <c r="C39" s="278">
        <v>1240</v>
      </c>
    </row>
    <row r="40" spans="1:3" ht="15" hidden="1">
      <c r="A40" s="250" t="s">
        <v>322</v>
      </c>
      <c r="B40" s="283">
        <v>5</v>
      </c>
      <c r="C40" s="278">
        <v>1030</v>
      </c>
    </row>
    <row r="41" spans="1:3" ht="15" hidden="1">
      <c r="A41" s="250" t="s">
        <v>323</v>
      </c>
      <c r="B41" s="283">
        <v>5</v>
      </c>
      <c r="C41" s="278">
        <v>1030</v>
      </c>
    </row>
    <row r="42" spans="1:3" ht="15" hidden="1">
      <c r="A42" s="250" t="s">
        <v>324</v>
      </c>
      <c r="B42" s="283">
        <v>5</v>
      </c>
      <c r="C42" s="278">
        <v>1030</v>
      </c>
    </row>
    <row r="43" spans="1:3" ht="15" hidden="1">
      <c r="A43" s="250" t="s">
        <v>325</v>
      </c>
      <c r="B43" s="283">
        <v>6</v>
      </c>
      <c r="C43" s="278">
        <v>1240</v>
      </c>
    </row>
    <row r="44" spans="1:3" ht="15" hidden="1">
      <c r="A44" s="250" t="s">
        <v>326</v>
      </c>
      <c r="B44" s="283">
        <v>5</v>
      </c>
      <c r="C44" s="278">
        <v>1030</v>
      </c>
    </row>
    <row r="45" spans="1:3" ht="15" hidden="1">
      <c r="A45" s="250" t="s">
        <v>326</v>
      </c>
      <c r="B45" s="283">
        <v>5</v>
      </c>
      <c r="C45" s="278">
        <v>1030</v>
      </c>
    </row>
    <row r="46" spans="1:3" ht="15" hidden="1">
      <c r="A46" s="250" t="s">
        <v>327</v>
      </c>
      <c r="B46" s="283">
        <v>5</v>
      </c>
      <c r="C46" s="278">
        <v>1030</v>
      </c>
    </row>
    <row r="47" spans="1:3" ht="15" hidden="1">
      <c r="A47" s="250" t="s">
        <v>328</v>
      </c>
      <c r="B47" s="283">
        <v>5</v>
      </c>
      <c r="C47" s="278">
        <v>1130</v>
      </c>
    </row>
    <row r="48" spans="1:3" ht="15" hidden="1">
      <c r="A48" s="250" t="s">
        <v>329</v>
      </c>
      <c r="B48" s="283">
        <v>5</v>
      </c>
      <c r="C48" s="278">
        <v>1130</v>
      </c>
    </row>
    <row r="49" spans="1:3" ht="15" hidden="1">
      <c r="A49" s="250" t="s">
        <v>330</v>
      </c>
      <c r="B49" s="283">
        <v>5</v>
      </c>
      <c r="C49" s="278">
        <v>1130</v>
      </c>
    </row>
    <row r="50" spans="1:3" ht="15" hidden="1">
      <c r="A50" s="250" t="s">
        <v>331</v>
      </c>
      <c r="B50" s="283">
        <v>5</v>
      </c>
      <c r="C50" s="278">
        <v>1305</v>
      </c>
    </row>
    <row r="51" spans="1:3" ht="15" hidden="1">
      <c r="A51" s="250" t="s">
        <v>332</v>
      </c>
      <c r="B51" s="283">
        <v>6</v>
      </c>
      <c r="C51" s="278">
        <v>1430</v>
      </c>
    </row>
    <row r="52" spans="1:3" ht="15" hidden="1">
      <c r="A52" s="250" t="s">
        <v>333</v>
      </c>
      <c r="B52" s="283">
        <v>6</v>
      </c>
      <c r="C52" s="278">
        <v>1380</v>
      </c>
    </row>
    <row r="53" spans="1:3" ht="15" hidden="1">
      <c r="A53" s="250" t="s">
        <v>334</v>
      </c>
      <c r="B53" s="283">
        <v>6</v>
      </c>
      <c r="C53" s="278">
        <v>1380</v>
      </c>
    </row>
    <row r="54" spans="1:3" ht="15" hidden="1">
      <c r="A54" s="250" t="s">
        <v>335</v>
      </c>
      <c r="B54" s="283">
        <v>6</v>
      </c>
      <c r="C54" s="278">
        <v>1380</v>
      </c>
    </row>
    <row r="55" spans="1:3" ht="15" hidden="1">
      <c r="A55" s="250" t="s">
        <v>336</v>
      </c>
      <c r="B55" s="283">
        <v>6</v>
      </c>
      <c r="C55" s="278">
        <v>1380</v>
      </c>
    </row>
    <row r="56" spans="1:3" ht="15" hidden="1">
      <c r="A56" s="250" t="s">
        <v>337</v>
      </c>
      <c r="B56" s="283">
        <v>6</v>
      </c>
      <c r="C56" s="278">
        <v>1380</v>
      </c>
    </row>
    <row r="57" spans="1:3" ht="15" hidden="1">
      <c r="A57" s="250" t="s">
        <v>338</v>
      </c>
      <c r="B57" s="283">
        <v>6</v>
      </c>
      <c r="C57" s="278">
        <v>1380</v>
      </c>
    </row>
    <row r="58" spans="1:3" ht="15" hidden="1">
      <c r="A58" s="250" t="s">
        <v>339</v>
      </c>
      <c r="B58" s="283">
        <v>6</v>
      </c>
      <c r="C58" s="278">
        <v>1380</v>
      </c>
    </row>
    <row r="59" spans="1:3" ht="15" hidden="1">
      <c r="A59" s="250" t="s">
        <v>340</v>
      </c>
      <c r="B59" s="283">
        <v>6</v>
      </c>
      <c r="C59" s="278">
        <v>1380</v>
      </c>
    </row>
    <row r="60" spans="1:3" ht="15" hidden="1">
      <c r="A60" s="250" t="s">
        <v>341</v>
      </c>
      <c r="B60" s="283">
        <v>8</v>
      </c>
      <c r="C60" s="278">
        <v>1840</v>
      </c>
    </row>
    <row r="61" spans="1:3" ht="15" hidden="1">
      <c r="A61" s="250" t="s">
        <v>342</v>
      </c>
      <c r="B61" s="283">
        <v>10</v>
      </c>
      <c r="C61" s="278">
        <v>2240</v>
      </c>
    </row>
    <row r="62" spans="1:3" ht="15" hidden="1">
      <c r="A62" s="250" t="s">
        <v>343</v>
      </c>
      <c r="B62" s="283">
        <v>12</v>
      </c>
      <c r="C62" s="278">
        <v>2700</v>
      </c>
    </row>
    <row r="63" spans="1:3" ht="15" hidden="1">
      <c r="A63" s="250" t="s">
        <v>344</v>
      </c>
      <c r="B63" s="283">
        <v>6</v>
      </c>
      <c r="C63" s="278">
        <v>1680</v>
      </c>
    </row>
    <row r="64" spans="1:3" ht="15" hidden="1">
      <c r="A64" s="250" t="s">
        <v>345</v>
      </c>
      <c r="B64" s="283">
        <v>8</v>
      </c>
      <c r="C64" s="278">
        <v>2240</v>
      </c>
    </row>
    <row r="65" spans="1:3" ht="15" hidden="1">
      <c r="A65" s="250" t="s">
        <v>346</v>
      </c>
      <c r="B65" s="283">
        <v>6</v>
      </c>
      <c r="C65" s="278">
        <v>1680</v>
      </c>
    </row>
    <row r="66" spans="1:3" ht="15" hidden="1">
      <c r="A66" s="250" t="s">
        <v>347</v>
      </c>
      <c r="B66" s="283">
        <v>6</v>
      </c>
      <c r="C66" s="278">
        <v>1650</v>
      </c>
    </row>
    <row r="67" spans="1:3" ht="15" hidden="1">
      <c r="A67" s="250" t="s">
        <v>348</v>
      </c>
      <c r="B67" s="283">
        <v>6</v>
      </c>
      <c r="C67" s="278">
        <v>1780</v>
      </c>
    </row>
    <row r="68" spans="1:3" ht="15" hidden="1">
      <c r="A68" s="250" t="s">
        <v>349</v>
      </c>
      <c r="B68" s="283">
        <v>12</v>
      </c>
      <c r="C68" s="278">
        <v>3540</v>
      </c>
    </row>
    <row r="69" spans="1:3" ht="15" hidden="1">
      <c r="A69" s="250" t="s">
        <v>350</v>
      </c>
      <c r="B69" s="283">
        <v>6</v>
      </c>
      <c r="C69" s="278">
        <v>1530</v>
      </c>
    </row>
    <row r="70" spans="1:3" ht="15" hidden="1">
      <c r="A70" s="250" t="s">
        <v>351</v>
      </c>
      <c r="B70" s="283">
        <v>8</v>
      </c>
      <c r="C70" s="278">
        <v>2070</v>
      </c>
    </row>
    <row r="71" spans="1:3" ht="15" hidden="1">
      <c r="A71" s="250" t="s">
        <v>352</v>
      </c>
      <c r="B71" s="283">
        <v>6</v>
      </c>
      <c r="C71" s="278">
        <v>1900</v>
      </c>
    </row>
    <row r="72" spans="1:3" ht="15" hidden="1">
      <c r="A72" s="250" t="s">
        <v>353</v>
      </c>
      <c r="B72" s="283">
        <v>6</v>
      </c>
      <c r="C72" s="278">
        <v>2030</v>
      </c>
    </row>
    <row r="73" spans="1:3" ht="15" hidden="1">
      <c r="A73" s="250" t="s">
        <v>354</v>
      </c>
      <c r="B73" s="283">
        <v>6</v>
      </c>
      <c r="C73" s="278">
        <v>1900</v>
      </c>
    </row>
    <row r="74" spans="1:3" ht="15" hidden="1">
      <c r="A74" s="250" t="s">
        <v>355</v>
      </c>
      <c r="B74" s="283">
        <v>6</v>
      </c>
      <c r="C74" s="278">
        <v>1900</v>
      </c>
    </row>
    <row r="75" spans="1:3" ht="15" hidden="1">
      <c r="A75" s="250" t="s">
        <v>356</v>
      </c>
      <c r="B75" s="283">
        <v>6</v>
      </c>
      <c r="C75" s="278">
        <v>1900</v>
      </c>
    </row>
    <row r="76" spans="1:3" ht="15" hidden="1">
      <c r="A76" s="250" t="s">
        <v>357</v>
      </c>
      <c r="B76" s="283">
        <v>8</v>
      </c>
      <c r="C76" s="278">
        <v>2780</v>
      </c>
    </row>
    <row r="77" spans="1:3" ht="15" hidden="1">
      <c r="A77" s="250" t="s">
        <v>358</v>
      </c>
      <c r="B77" s="283">
        <v>8</v>
      </c>
      <c r="C77" s="278">
        <v>2710</v>
      </c>
    </row>
    <row r="78" spans="1:3" ht="15" hidden="1">
      <c r="A78" s="250" t="s">
        <v>359</v>
      </c>
      <c r="B78" s="283">
        <v>8</v>
      </c>
      <c r="C78" s="278">
        <v>2007</v>
      </c>
    </row>
    <row r="79" spans="1:3" ht="15" hidden="1">
      <c r="A79" s="250" t="s">
        <v>360</v>
      </c>
      <c r="B79" s="283">
        <v>5</v>
      </c>
      <c r="C79" s="278">
        <v>1115</v>
      </c>
    </row>
    <row r="80" spans="1:3" ht="15" hidden="1">
      <c r="A80" s="250" t="s">
        <v>361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279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DOOR</v>
      </c>
      <c r="D8" s="131" t="str">
        <f>Pricing!B4</f>
        <v>SD1</v>
      </c>
      <c r="E8" s="132" t="str">
        <f>Pricing!N4</f>
        <v>24MM</v>
      </c>
      <c r="F8" s="68">
        <f>Pricing!G4</f>
        <v>3354</v>
      </c>
      <c r="G8" s="68">
        <f>Pricing!H4</f>
        <v>2440</v>
      </c>
      <c r="H8" s="100">
        <f t="shared" ref="H8:H57" si="0">(F8*G8)/1000000</f>
        <v>8.1837599999999995</v>
      </c>
      <c r="I8" s="70">
        <f>Pricing!I4</f>
        <v>1</v>
      </c>
      <c r="J8" s="69">
        <f t="shared" ref="J8" si="1">H8*I8</f>
        <v>8.1837599999999995</v>
      </c>
      <c r="K8" s="71">
        <f t="shared" ref="K8" si="2">J8*10.764</f>
        <v>88.089992639999991</v>
      </c>
      <c r="L8" s="69"/>
      <c r="M8" s="72"/>
      <c r="N8" s="72"/>
      <c r="O8" s="72">
        <f t="shared" ref="O8:O35" si="3">N8*M8*L8/1000000</f>
        <v>0</v>
      </c>
      <c r="P8" s="73">
        <f>Pricing!M4</f>
        <v>62274.07</v>
      </c>
      <c r="Q8" s="74">
        <f t="shared" ref="Q8:Q56" si="4">P8*$Q$6</f>
        <v>6227.4070000000002</v>
      </c>
      <c r="R8" s="74">
        <f t="shared" ref="R8:R56" si="5">(P8+Q8)*$R$6</f>
        <v>7535.1624700000002</v>
      </c>
      <c r="S8" s="74">
        <f t="shared" ref="S8:S56" si="6">(P8+Q8+R8)*$S$6</f>
        <v>380.18319735</v>
      </c>
      <c r="T8" s="74">
        <f t="shared" ref="T8:T56" si="7">(P8+Q8+R8+S8)*$T$6</f>
        <v>764.16822667349993</v>
      </c>
      <c r="U8" s="72">
        <f t="shared" ref="U8:U56" si="8">SUM(P8:T8)</f>
        <v>77180.990894023489</v>
      </c>
      <c r="V8" s="74">
        <f t="shared" ref="V8:V56" si="9">U8*$V$6</f>
        <v>1157.7148634103523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24043.886879999998</v>
      </c>
      <c r="AE8" s="76">
        <f>((((F8+G8)*2)/305)*I8*$AE$7)</f>
        <v>949.83606557377038</v>
      </c>
      <c r="AF8" s="342">
        <f>(((((F8*4)+(G8*4))/1000)*$AF$6*$AG$6)/300)*I8*$AF$7</f>
        <v>973.39199999999983</v>
      </c>
      <c r="AG8" s="343"/>
      <c r="AH8" s="76">
        <f>(((F8+G8))*I8/1000)*8*$AH$7</f>
        <v>34.763999999999996</v>
      </c>
      <c r="AI8" s="76">
        <f t="shared" ref="AI8:AI57" si="15">(((F8+G8)*2*I8)/1000)*2*$AI$7</f>
        <v>115.88</v>
      </c>
      <c r="AJ8" s="76">
        <f>J8*Pricing!Q4</f>
        <v>4404.4996319999991</v>
      </c>
      <c r="AK8" s="76">
        <f>J8*Pricing!R4</f>
        <v>0</v>
      </c>
      <c r="AL8" s="76">
        <f t="shared" ref="AL8:AL39" si="16">J8*$AL$6</f>
        <v>8808.9992639999982</v>
      </c>
      <c r="AM8" s="77">
        <f t="shared" ref="AM8:AM39" si="17">$AM$6*J8</f>
        <v>0</v>
      </c>
      <c r="AN8" s="76">
        <f t="shared" ref="AN8:AN39" si="18">$AN$6*J8</f>
        <v>7047.1994111999984</v>
      </c>
      <c r="AO8" s="72">
        <f t="shared" ref="AO8:AO39" si="19">SUM(U8:V8)+SUM(AC8:AI8)-AD8</f>
        <v>80412.577823007596</v>
      </c>
      <c r="AP8" s="74">
        <f t="shared" ref="AP8:AP39" si="20">AO8*$AP$6</f>
        <v>100515.72227875949</v>
      </c>
      <c r="AQ8" s="74">
        <f t="shared" ref="AQ8:AQ56" si="21">(AO8+AP8)*$AQ$6</f>
        <v>0</v>
      </c>
      <c r="AR8" s="74">
        <f t="shared" ref="AR8:AR39" si="22">SUM(AO8:AQ8)/J8</f>
        <v>22108.211885706216</v>
      </c>
      <c r="AS8" s="72">
        <f t="shared" ref="AS8:AS39" si="23">SUM(AJ8:AQ8)+AD8+AB8</f>
        <v>225232.88528896711</v>
      </c>
      <c r="AT8" s="72">
        <f t="shared" ref="AT8:AT39" si="24">AS8/J8</f>
        <v>27521.931885706217</v>
      </c>
      <c r="AU8" s="78">
        <f t="shared" ref="AU8:AU56" si="25">AT8/10.764</f>
        <v>2556.849859318675</v>
      </c>
      <c r="AV8" s="79">
        <f t="shared" ref="AV8:AV39" si="26">K8/$K$109</f>
        <v>3.7993160250657472E-2</v>
      </c>
      <c r="AW8" s="80">
        <f t="shared" ref="AW8:AW39" si="27">(U8+V8)/(J8*10.764)</f>
        <v>889.303125243556</v>
      </c>
      <c r="AX8" s="81">
        <f t="shared" ref="AX8:AX39" si="28">SUM(W8:AN8,AP8)/(J8*10.764)</f>
        <v>1667.5467340751193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4 SHUTTER SLIDING DOOR</v>
      </c>
      <c r="D9" s="131" t="str">
        <f>Pricing!B5</f>
        <v>SD2</v>
      </c>
      <c r="E9" s="132" t="str">
        <f>Pricing!N5</f>
        <v>24MM</v>
      </c>
      <c r="F9" s="68">
        <f>Pricing!G5</f>
        <v>5386</v>
      </c>
      <c r="G9" s="68">
        <f>Pricing!H5</f>
        <v>2744</v>
      </c>
      <c r="H9" s="100">
        <f t="shared" si="0"/>
        <v>14.779184000000001</v>
      </c>
      <c r="I9" s="70">
        <f>Pricing!I5</f>
        <v>2</v>
      </c>
      <c r="J9" s="69">
        <f t="shared" ref="J9:J58" si="30">H9*I9</f>
        <v>29.558368000000002</v>
      </c>
      <c r="K9" s="71">
        <f t="shared" ref="K9:K58" si="31">J9*10.764</f>
        <v>318.16627315199997</v>
      </c>
      <c r="L9" s="69"/>
      <c r="M9" s="72"/>
      <c r="N9" s="72"/>
      <c r="O9" s="72">
        <f t="shared" si="3"/>
        <v>0</v>
      </c>
      <c r="P9" s="73">
        <f>Pricing!M5</f>
        <v>152774.78</v>
      </c>
      <c r="Q9" s="74">
        <f t="shared" ref="Q9:Q14" si="32">P9*$Q$6</f>
        <v>15277.478000000001</v>
      </c>
      <c r="R9" s="74">
        <f t="shared" ref="R9:R14" si="33">(P9+Q9)*$R$6</f>
        <v>18485.748380000001</v>
      </c>
      <c r="S9" s="74">
        <f t="shared" ref="S9:S14" si="34">(P9+Q9+R9)*$S$6</f>
        <v>932.69003190000001</v>
      </c>
      <c r="T9" s="74">
        <f t="shared" ref="T9:T14" si="35">(P9+Q9+R9+S9)*$T$6</f>
        <v>1874.7069641190003</v>
      </c>
      <c r="U9" s="72">
        <f t="shared" ref="U9:U14" si="36">SUM(P9:T9)</f>
        <v>189345.40337601901</v>
      </c>
      <c r="V9" s="74">
        <f t="shared" ref="V9:V14" si="37">U9*$V$6</f>
        <v>2840.1810506402849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86842.485184000005</v>
      </c>
      <c r="AE9" s="76">
        <f t="shared" ref="AE9:AE57" si="43">((((F9+G9)*2)/305)*I9*$AE$7)</f>
        <v>2665.5737704918033</v>
      </c>
      <c r="AF9" s="342">
        <f t="shared" ref="AF9:AF57" si="44">(((((F9*4)+(G9*4))/1000)*$AF$6*$AG$6)/300)*I9*$AF$7</f>
        <v>2731.6800000000003</v>
      </c>
      <c r="AG9" s="343"/>
      <c r="AH9" s="76">
        <f t="shared" ref="AH9:AH72" si="45">(((F9+G9))*I9/1000)*8*$AH$7</f>
        <v>97.56</v>
      </c>
      <c r="AI9" s="76">
        <f t="shared" si="15"/>
        <v>325.20000000000005</v>
      </c>
      <c r="AJ9" s="76">
        <f>J9*Pricing!Q5</f>
        <v>15908.3136576</v>
      </c>
      <c r="AK9" s="76">
        <f>J9*Pricing!R5</f>
        <v>0</v>
      </c>
      <c r="AL9" s="76">
        <f t="shared" si="16"/>
        <v>31816.627315199999</v>
      </c>
      <c r="AM9" s="77">
        <f t="shared" si="17"/>
        <v>0</v>
      </c>
      <c r="AN9" s="76">
        <f t="shared" si="18"/>
        <v>25453.301852159999</v>
      </c>
      <c r="AO9" s="72">
        <f t="shared" si="19"/>
        <v>198005.59819715109</v>
      </c>
      <c r="AP9" s="74">
        <f t="shared" si="20"/>
        <v>247506.99774643886</v>
      </c>
      <c r="AQ9" s="74">
        <f t="shared" ref="AQ9:AQ14" si="46">(AO9+AP9)*$AQ$6</f>
        <v>0</v>
      </c>
      <c r="AR9" s="74">
        <f t="shared" si="22"/>
        <v>15072.300200863252</v>
      </c>
      <c r="AS9" s="72">
        <f t="shared" si="23"/>
        <v>605533.32395254995</v>
      </c>
      <c r="AT9" s="72">
        <f t="shared" si="24"/>
        <v>20486.020200863251</v>
      </c>
      <c r="AU9" s="78">
        <f t="shared" ref="AU9:AU14" si="47">AT9/10.764</f>
        <v>1903.1977146844345</v>
      </c>
      <c r="AV9" s="79">
        <f t="shared" si="26"/>
        <v>0.13722492010663873</v>
      </c>
      <c r="AW9" s="80">
        <f t="shared" si="27"/>
        <v>604.04134769760788</v>
      </c>
      <c r="AX9" s="81">
        <f t="shared" si="28"/>
        <v>1299.1563669868269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POCKET DOOR</v>
      </c>
      <c r="D10" s="131" t="str">
        <f>Pricing!B6</f>
        <v>PD1</v>
      </c>
      <c r="E10" s="132" t="str">
        <f>Pricing!N6</f>
        <v>24MM</v>
      </c>
      <c r="F10" s="68">
        <f>Pricing!G6</f>
        <v>1983</v>
      </c>
      <c r="G10" s="68">
        <f>Pricing!H6</f>
        <v>2440</v>
      </c>
      <c r="H10" s="100">
        <f t="shared" si="0"/>
        <v>4.8385199999999999</v>
      </c>
      <c r="I10" s="70">
        <f>Pricing!I6</f>
        <v>1</v>
      </c>
      <c r="J10" s="69">
        <f t="shared" si="30"/>
        <v>4.8385199999999999</v>
      </c>
      <c r="K10" s="71">
        <f t="shared" si="31"/>
        <v>52.081829279999994</v>
      </c>
      <c r="L10" s="69"/>
      <c r="M10" s="72"/>
      <c r="N10" s="72"/>
      <c r="O10" s="72">
        <f t="shared" si="3"/>
        <v>0</v>
      </c>
      <c r="P10" s="73">
        <f>Pricing!M6</f>
        <v>34694</v>
      </c>
      <c r="Q10" s="74">
        <f t="shared" si="32"/>
        <v>3469.4</v>
      </c>
      <c r="R10" s="74">
        <f t="shared" si="33"/>
        <v>4197.9740000000002</v>
      </c>
      <c r="S10" s="74">
        <f t="shared" si="34"/>
        <v>211.80687000000003</v>
      </c>
      <c r="T10" s="74">
        <f t="shared" si="35"/>
        <v>425.73180870000004</v>
      </c>
      <c r="U10" s="72">
        <f t="shared" si="36"/>
        <v>42998.912678700006</v>
      </c>
      <c r="V10" s="74">
        <f t="shared" si="37"/>
        <v>644.98369018050005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14215.571759999999</v>
      </c>
      <c r="AE10" s="76">
        <f t="shared" si="43"/>
        <v>725.08196721311481</v>
      </c>
      <c r="AF10" s="342">
        <f t="shared" si="44"/>
        <v>743.06399999999996</v>
      </c>
      <c r="AG10" s="343"/>
      <c r="AH10" s="76">
        <f t="shared" si="45"/>
        <v>26.538</v>
      </c>
      <c r="AI10" s="76">
        <f t="shared" si="15"/>
        <v>88.460000000000008</v>
      </c>
      <c r="AJ10" s="76">
        <f>J10*Pricing!Q6</f>
        <v>0</v>
      </c>
      <c r="AK10" s="76">
        <f>J10*Pricing!R6</f>
        <v>0</v>
      </c>
      <c r="AL10" s="76">
        <f t="shared" si="16"/>
        <v>5208.1829279999993</v>
      </c>
      <c r="AM10" s="77">
        <f t="shared" si="17"/>
        <v>0</v>
      </c>
      <c r="AN10" s="76">
        <f t="shared" si="18"/>
        <v>4166.546342399999</v>
      </c>
      <c r="AO10" s="72">
        <f t="shared" si="19"/>
        <v>45227.040336093625</v>
      </c>
      <c r="AP10" s="74">
        <f t="shared" si="20"/>
        <v>56533.800420117033</v>
      </c>
      <c r="AQ10" s="74">
        <f t="shared" si="46"/>
        <v>0</v>
      </c>
      <c r="AR10" s="74">
        <f t="shared" si="22"/>
        <v>21031.398187092469</v>
      </c>
      <c r="AS10" s="72">
        <f t="shared" si="23"/>
        <v>125351.14178661065</v>
      </c>
      <c r="AT10" s="72">
        <f t="shared" si="24"/>
        <v>25906.918187092469</v>
      </c>
      <c r="AU10" s="78">
        <f t="shared" si="47"/>
        <v>2406.8114257796797</v>
      </c>
      <c r="AV10" s="79">
        <f t="shared" si="26"/>
        <v>2.2462861293098917E-2</v>
      </c>
      <c r="AW10" s="80">
        <f t="shared" si="27"/>
        <v>837.98700952388117</v>
      </c>
      <c r="AX10" s="81">
        <f t="shared" si="28"/>
        <v>1568.8244162557987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POCKET DOOR</v>
      </c>
      <c r="D11" s="131" t="str">
        <f>Pricing!B7</f>
        <v>PD2</v>
      </c>
      <c r="E11" s="132" t="str">
        <f>Pricing!N7</f>
        <v>24MM</v>
      </c>
      <c r="F11" s="68">
        <f>Pricing!G7</f>
        <v>2450</v>
      </c>
      <c r="G11" s="68">
        <f>Pricing!H7</f>
        <v>2744</v>
      </c>
      <c r="H11" s="100">
        <f t="shared" si="0"/>
        <v>6.7228000000000003</v>
      </c>
      <c r="I11" s="70">
        <f>Pricing!I7</f>
        <v>2</v>
      </c>
      <c r="J11" s="69">
        <f t="shared" si="30"/>
        <v>13.445600000000001</v>
      </c>
      <c r="K11" s="71">
        <f t="shared" si="31"/>
        <v>144.72843839999999</v>
      </c>
      <c r="L11" s="69"/>
      <c r="M11" s="72"/>
      <c r="N11" s="72"/>
      <c r="O11" s="72">
        <f t="shared" si="3"/>
        <v>0</v>
      </c>
      <c r="P11" s="73">
        <f>Pricing!M7</f>
        <v>77955.260000000009</v>
      </c>
      <c r="Q11" s="74">
        <f t="shared" si="32"/>
        <v>7795.5260000000017</v>
      </c>
      <c r="R11" s="74">
        <f t="shared" si="33"/>
        <v>9432.5864600000004</v>
      </c>
      <c r="S11" s="74">
        <f t="shared" si="34"/>
        <v>475.91686230000005</v>
      </c>
      <c r="T11" s="74">
        <f t="shared" si="35"/>
        <v>956.59289322300015</v>
      </c>
      <c r="U11" s="72">
        <f t="shared" si="36"/>
        <v>96615.882215523015</v>
      </c>
      <c r="V11" s="74">
        <f t="shared" si="37"/>
        <v>1449.2382332328452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39503.1728</v>
      </c>
      <c r="AE11" s="76">
        <f t="shared" si="43"/>
        <v>1702.9508196721313</v>
      </c>
      <c r="AF11" s="342">
        <f t="shared" si="44"/>
        <v>1745.1840000000002</v>
      </c>
      <c r="AG11" s="343"/>
      <c r="AH11" s="76">
        <f t="shared" si="45"/>
        <v>62.328000000000003</v>
      </c>
      <c r="AI11" s="76">
        <f t="shared" si="15"/>
        <v>207.76</v>
      </c>
      <c r="AJ11" s="76">
        <f>J11*Pricing!Q7</f>
        <v>0</v>
      </c>
      <c r="AK11" s="76">
        <f>J11*Pricing!R7</f>
        <v>0</v>
      </c>
      <c r="AL11" s="76">
        <f t="shared" si="16"/>
        <v>14472.84384</v>
      </c>
      <c r="AM11" s="77">
        <f t="shared" si="17"/>
        <v>0</v>
      </c>
      <c r="AN11" s="76">
        <f t="shared" si="18"/>
        <v>11578.275071999999</v>
      </c>
      <c r="AO11" s="72">
        <f t="shared" si="19"/>
        <v>101783.343268428</v>
      </c>
      <c r="AP11" s="74">
        <f t="shared" si="20"/>
        <v>127229.179085535</v>
      </c>
      <c r="AQ11" s="74">
        <f t="shared" si="46"/>
        <v>0</v>
      </c>
      <c r="AR11" s="74">
        <f t="shared" si="22"/>
        <v>17032.525313408325</v>
      </c>
      <c r="AS11" s="72">
        <f t="shared" si="23"/>
        <v>294566.81406596303</v>
      </c>
      <c r="AT11" s="72">
        <f t="shared" si="24"/>
        <v>21908.045313408329</v>
      </c>
      <c r="AU11" s="78">
        <f t="shared" si="47"/>
        <v>2035.3070711081689</v>
      </c>
      <c r="AV11" s="79">
        <f t="shared" si="26"/>
        <v>6.2421287460316541E-2</v>
      </c>
      <c r="AW11" s="80">
        <f t="shared" si="27"/>
        <v>677.5801738268176</v>
      </c>
      <c r="AX11" s="81">
        <f t="shared" si="28"/>
        <v>1357.7268972813511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WINDOW</v>
      </c>
      <c r="D12" s="131" t="str">
        <f>Pricing!B8</f>
        <v>DW1-A</v>
      </c>
      <c r="E12" s="132" t="str">
        <f>Pricing!N8</f>
        <v>24MM</v>
      </c>
      <c r="F12" s="68">
        <f>Pricing!G8</f>
        <v>1220</v>
      </c>
      <c r="G12" s="68">
        <f>Pricing!H8</f>
        <v>1372</v>
      </c>
      <c r="H12" s="100">
        <f t="shared" si="0"/>
        <v>1.67384</v>
      </c>
      <c r="I12" s="70">
        <f>Pricing!I8</f>
        <v>1</v>
      </c>
      <c r="J12" s="69">
        <f t="shared" si="30"/>
        <v>1.67384</v>
      </c>
      <c r="K12" s="71">
        <f t="shared" si="31"/>
        <v>18.017213759999997</v>
      </c>
      <c r="L12" s="69"/>
      <c r="M12" s="72"/>
      <c r="N12" s="72"/>
      <c r="O12" s="72">
        <f t="shared" si="3"/>
        <v>0</v>
      </c>
      <c r="P12" s="73">
        <f>Pricing!M8</f>
        <v>25867.780000000002</v>
      </c>
      <c r="Q12" s="74">
        <f t="shared" si="32"/>
        <v>2586.7780000000002</v>
      </c>
      <c r="R12" s="74">
        <f t="shared" si="33"/>
        <v>3130.0013800000006</v>
      </c>
      <c r="S12" s="74">
        <f t="shared" si="34"/>
        <v>157.92279690000004</v>
      </c>
      <c r="T12" s="74">
        <f t="shared" si="35"/>
        <v>317.42482176900006</v>
      </c>
      <c r="U12" s="72">
        <f t="shared" si="36"/>
        <v>32059.906998669005</v>
      </c>
      <c r="V12" s="74">
        <f t="shared" si="37"/>
        <v>480.89860498003503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4917.7419200000004</v>
      </c>
      <c r="AE12" s="76">
        <f t="shared" si="43"/>
        <v>424.91803278688519</v>
      </c>
      <c r="AF12" s="342">
        <f t="shared" si="44"/>
        <v>435.45599999999996</v>
      </c>
      <c r="AG12" s="343"/>
      <c r="AH12" s="76">
        <f t="shared" si="45"/>
        <v>15.552</v>
      </c>
      <c r="AI12" s="76">
        <f t="shared" si="15"/>
        <v>51.84</v>
      </c>
      <c r="AJ12" s="76">
        <f>J12*Pricing!Q8</f>
        <v>0</v>
      </c>
      <c r="AK12" s="76">
        <f>J12*Pricing!R8</f>
        <v>0</v>
      </c>
      <c r="AL12" s="76">
        <f t="shared" si="16"/>
        <v>1801.7213759999997</v>
      </c>
      <c r="AM12" s="77">
        <f t="shared" si="17"/>
        <v>0</v>
      </c>
      <c r="AN12" s="76">
        <f t="shared" si="18"/>
        <v>1441.3771007999999</v>
      </c>
      <c r="AO12" s="72">
        <f t="shared" si="19"/>
        <v>33468.571636435925</v>
      </c>
      <c r="AP12" s="74">
        <f t="shared" si="20"/>
        <v>41835.714545544906</v>
      </c>
      <c r="AQ12" s="74">
        <f t="shared" si="46"/>
        <v>0</v>
      </c>
      <c r="AR12" s="74">
        <f t="shared" si="22"/>
        <v>44988.939314379408</v>
      </c>
      <c r="AS12" s="72">
        <f t="shared" si="23"/>
        <v>83465.126578780822</v>
      </c>
      <c r="AT12" s="72">
        <f t="shared" si="24"/>
        <v>49864.459314379405</v>
      </c>
      <c r="AU12" s="78">
        <f t="shared" si="47"/>
        <v>4632.5213038256607</v>
      </c>
      <c r="AV12" s="79">
        <f t="shared" si="26"/>
        <v>7.7708133368965485E-3</v>
      </c>
      <c r="AW12" s="80">
        <f t="shared" si="27"/>
        <v>1806.0953284515531</v>
      </c>
      <c r="AX12" s="81">
        <f t="shared" si="28"/>
        <v>2826.425975374108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SINGLE DOOR</v>
      </c>
      <c r="D13" s="131" t="str">
        <f>Pricing!B9</f>
        <v>DW1-B</v>
      </c>
      <c r="E13" s="132" t="str">
        <f>Pricing!N9</f>
        <v>24MM</v>
      </c>
      <c r="F13" s="68">
        <f>Pricing!G9</f>
        <v>916</v>
      </c>
      <c r="G13" s="68">
        <f>Pricing!H9</f>
        <v>2440</v>
      </c>
      <c r="H13" s="100">
        <f t="shared" si="0"/>
        <v>2.2350400000000001</v>
      </c>
      <c r="I13" s="70">
        <f>Pricing!I9</f>
        <v>1</v>
      </c>
      <c r="J13" s="69">
        <f t="shared" si="30"/>
        <v>2.2350400000000001</v>
      </c>
      <c r="K13" s="71">
        <f t="shared" si="31"/>
        <v>24.057970560000001</v>
      </c>
      <c r="L13" s="69"/>
      <c r="M13" s="72"/>
      <c r="N13" s="72"/>
      <c r="O13" s="72">
        <f t="shared" si="3"/>
        <v>0</v>
      </c>
      <c r="P13" s="73">
        <f>Pricing!M9</f>
        <v>30079.199999999997</v>
      </c>
      <c r="Q13" s="74">
        <f t="shared" si="32"/>
        <v>3007.92</v>
      </c>
      <c r="R13" s="74">
        <f t="shared" si="33"/>
        <v>3639.5831999999996</v>
      </c>
      <c r="S13" s="74">
        <f t="shared" si="34"/>
        <v>183.63351599999999</v>
      </c>
      <c r="T13" s="74">
        <f t="shared" si="35"/>
        <v>369.10336716</v>
      </c>
      <c r="U13" s="72">
        <f t="shared" si="36"/>
        <v>37279.44008316</v>
      </c>
      <c r="V13" s="74">
        <f t="shared" si="37"/>
        <v>559.19160124739994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6566.5475200000001</v>
      </c>
      <c r="AE13" s="76">
        <f t="shared" si="43"/>
        <v>550.1639344262295</v>
      </c>
      <c r="AF13" s="342">
        <f t="shared" si="44"/>
        <v>563.80799999999999</v>
      </c>
      <c r="AG13" s="343"/>
      <c r="AH13" s="76">
        <f t="shared" si="45"/>
        <v>20.135999999999999</v>
      </c>
      <c r="AI13" s="76">
        <f t="shared" si="15"/>
        <v>67.12</v>
      </c>
      <c r="AJ13" s="76">
        <f>J13*Pricing!Q9</f>
        <v>0</v>
      </c>
      <c r="AK13" s="76">
        <f>J13*Pricing!R9</f>
        <v>0</v>
      </c>
      <c r="AL13" s="76">
        <f t="shared" si="16"/>
        <v>2405.7970559999999</v>
      </c>
      <c r="AM13" s="77">
        <f t="shared" si="17"/>
        <v>0</v>
      </c>
      <c r="AN13" s="76">
        <f t="shared" si="18"/>
        <v>1924.6376447999999</v>
      </c>
      <c r="AO13" s="72">
        <f t="shared" si="19"/>
        <v>39039.859618833631</v>
      </c>
      <c r="AP13" s="74">
        <f t="shared" si="20"/>
        <v>48799.82452354204</v>
      </c>
      <c r="AQ13" s="74">
        <f t="shared" si="46"/>
        <v>0</v>
      </c>
      <c r="AR13" s="74">
        <f t="shared" si="22"/>
        <v>39301.168722875504</v>
      </c>
      <c r="AS13" s="72">
        <f t="shared" si="23"/>
        <v>98736.666363175667</v>
      </c>
      <c r="AT13" s="72">
        <f t="shared" si="24"/>
        <v>44176.6887228755</v>
      </c>
      <c r="AU13" s="78">
        <f t="shared" si="47"/>
        <v>4104.114522749489</v>
      </c>
      <c r="AV13" s="79">
        <f t="shared" si="26"/>
        <v>1.0376188070841457E-2</v>
      </c>
      <c r="AW13" s="80">
        <f t="shared" si="27"/>
        <v>1572.8106238237663</v>
      </c>
      <c r="AX13" s="81">
        <f t="shared" si="28"/>
        <v>2531.3038989257229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GLASS LOUVERS</v>
      </c>
      <c r="D14" s="131" t="str">
        <f>Pricing!B10</f>
        <v>DW2-A</v>
      </c>
      <c r="E14" s="132" t="str">
        <f>Pricing!N10</f>
        <v>6MM (A)</v>
      </c>
      <c r="F14" s="68">
        <f>Pricing!G10</f>
        <v>1068</v>
      </c>
      <c r="G14" s="68">
        <f>Pricing!H10</f>
        <v>1372</v>
      </c>
      <c r="H14" s="100">
        <f t="shared" si="0"/>
        <v>1.4652959999999999</v>
      </c>
      <c r="I14" s="70">
        <f>Pricing!I10</f>
        <v>1</v>
      </c>
      <c r="J14" s="69">
        <f t="shared" si="30"/>
        <v>1.4652959999999999</v>
      </c>
      <c r="K14" s="71">
        <f t="shared" si="31"/>
        <v>15.772446143999998</v>
      </c>
      <c r="L14" s="69"/>
      <c r="M14" s="72"/>
      <c r="N14" s="72"/>
      <c r="O14" s="72">
        <f t="shared" si="3"/>
        <v>0</v>
      </c>
      <c r="P14" s="73">
        <f>Pricing!M10</f>
        <v>5472.1900000000005</v>
      </c>
      <c r="Q14" s="74">
        <f t="shared" si="32"/>
        <v>547.21900000000005</v>
      </c>
      <c r="R14" s="74">
        <f t="shared" si="33"/>
        <v>662.13499000000002</v>
      </c>
      <c r="S14" s="74">
        <f t="shared" si="34"/>
        <v>33.407719950000001</v>
      </c>
      <c r="T14" s="74">
        <f t="shared" si="35"/>
        <v>67.149517099500002</v>
      </c>
      <c r="U14" s="72">
        <f t="shared" si="36"/>
        <v>6782.1012270495003</v>
      </c>
      <c r="V14" s="74">
        <f t="shared" si="37"/>
        <v>101.73151840574251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1468.226592</v>
      </c>
      <c r="AE14" s="76">
        <f t="shared" si="43"/>
        <v>400</v>
      </c>
      <c r="AF14" s="342">
        <f t="shared" si="44"/>
        <v>409.92</v>
      </c>
      <c r="AG14" s="343"/>
      <c r="AH14" s="76">
        <f t="shared" si="45"/>
        <v>14.64</v>
      </c>
      <c r="AI14" s="76">
        <f t="shared" si="15"/>
        <v>48.8</v>
      </c>
      <c r="AJ14" s="76">
        <f>J14*Pricing!Q10</f>
        <v>788.62230719999991</v>
      </c>
      <c r="AK14" s="76">
        <f>J14*Pricing!R10</f>
        <v>0</v>
      </c>
      <c r="AL14" s="76">
        <f t="shared" si="16"/>
        <v>1577.2446143999998</v>
      </c>
      <c r="AM14" s="77">
        <f t="shared" si="17"/>
        <v>0</v>
      </c>
      <c r="AN14" s="76">
        <f t="shared" si="18"/>
        <v>1261.7956915199998</v>
      </c>
      <c r="AO14" s="72">
        <f t="shared" si="19"/>
        <v>7757.1927454552433</v>
      </c>
      <c r="AP14" s="74">
        <f t="shared" si="20"/>
        <v>9696.4909318190548</v>
      </c>
      <c r="AQ14" s="74">
        <f t="shared" si="46"/>
        <v>0</v>
      </c>
      <c r="AR14" s="74">
        <f t="shared" si="22"/>
        <v>11911.370588109363</v>
      </c>
      <c r="AS14" s="72">
        <f t="shared" si="23"/>
        <v>22549.572882394299</v>
      </c>
      <c r="AT14" s="72">
        <f t="shared" si="24"/>
        <v>15389.090588109366</v>
      </c>
      <c r="AU14" s="78">
        <f t="shared" si="47"/>
        <v>1429.6813998615169</v>
      </c>
      <c r="AV14" s="79">
        <f t="shared" si="26"/>
        <v>6.8026464293487821E-3</v>
      </c>
      <c r="AW14" s="80">
        <f t="shared" si="27"/>
        <v>436.44674279480256</v>
      </c>
      <c r="AX14" s="81">
        <f t="shared" si="28"/>
        <v>993.23465706671402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SINGLE DOOR</v>
      </c>
      <c r="D15" s="131" t="str">
        <f>Pricing!B11</f>
        <v>DW2-B</v>
      </c>
      <c r="E15" s="132" t="str">
        <f>Pricing!N11</f>
        <v>24MM</v>
      </c>
      <c r="F15" s="68">
        <f>Pricing!G11</f>
        <v>916</v>
      </c>
      <c r="G15" s="68">
        <f>Pricing!H11</f>
        <v>2440</v>
      </c>
      <c r="H15" s="100">
        <f t="shared" si="0"/>
        <v>2.2350400000000001</v>
      </c>
      <c r="I15" s="70">
        <f>Pricing!I11</f>
        <v>1</v>
      </c>
      <c r="J15" s="69">
        <f t="shared" si="30"/>
        <v>2.2350400000000001</v>
      </c>
      <c r="K15" s="71">
        <f t="shared" si="31"/>
        <v>24.057970560000001</v>
      </c>
      <c r="L15" s="69"/>
      <c r="M15" s="72"/>
      <c r="N15" s="72"/>
      <c r="O15" s="72">
        <f t="shared" si="3"/>
        <v>0</v>
      </c>
      <c r="P15" s="73">
        <f>Pricing!M11</f>
        <v>28484.77</v>
      </c>
      <c r="Q15" s="74">
        <f t="shared" si="4"/>
        <v>2848.4770000000003</v>
      </c>
      <c r="R15" s="74">
        <f t="shared" si="5"/>
        <v>3446.65717</v>
      </c>
      <c r="S15" s="74">
        <f t="shared" si="6"/>
        <v>173.89952085000002</v>
      </c>
      <c r="T15" s="74">
        <f t="shared" si="7"/>
        <v>349.53803690850003</v>
      </c>
      <c r="U15" s="72">
        <f t="shared" si="8"/>
        <v>35303.341727758503</v>
      </c>
      <c r="V15" s="74">
        <f t="shared" si="9"/>
        <v>529.55012591637751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6566.5475200000001</v>
      </c>
      <c r="AE15" s="76">
        <f t="shared" si="43"/>
        <v>550.1639344262295</v>
      </c>
      <c r="AF15" s="342">
        <f t="shared" si="44"/>
        <v>563.80799999999999</v>
      </c>
      <c r="AG15" s="343"/>
      <c r="AH15" s="76">
        <f t="shared" si="45"/>
        <v>20.135999999999999</v>
      </c>
      <c r="AI15" s="76">
        <f t="shared" ref="AI15:AI20" si="49">(((F15+G15)*2*I15)/1000)*2*$AI$7</f>
        <v>67.12</v>
      </c>
      <c r="AJ15" s="76">
        <f>J15*Pricing!Q11</f>
        <v>0</v>
      </c>
      <c r="AK15" s="76">
        <f>J15*Pricing!R11</f>
        <v>0</v>
      </c>
      <c r="AL15" s="76">
        <f t="shared" si="16"/>
        <v>2405.7970559999999</v>
      </c>
      <c r="AM15" s="77">
        <f t="shared" si="17"/>
        <v>0</v>
      </c>
      <c r="AN15" s="76">
        <f t="shared" si="18"/>
        <v>1924.6376447999999</v>
      </c>
      <c r="AO15" s="72">
        <f t="shared" si="19"/>
        <v>37034.11978810111</v>
      </c>
      <c r="AP15" s="74">
        <f t="shared" si="20"/>
        <v>46292.64973512639</v>
      </c>
      <c r="AQ15" s="74">
        <f t="shared" si="21"/>
        <v>0</v>
      </c>
      <c r="AR15" s="74">
        <f t="shared" si="22"/>
        <v>37282.003688178957</v>
      </c>
      <c r="AS15" s="72">
        <f t="shared" si="23"/>
        <v>94223.751744027482</v>
      </c>
      <c r="AT15" s="72">
        <f t="shared" si="24"/>
        <v>42157.523688178946</v>
      </c>
      <c r="AU15" s="78">
        <f t="shared" si="25"/>
        <v>3916.5295139519649</v>
      </c>
      <c r="AV15" s="79">
        <f t="shared" si="26"/>
        <v>1.0376188070841457E-2</v>
      </c>
      <c r="AW15" s="80">
        <f t="shared" si="27"/>
        <v>1489.4395088026445</v>
      </c>
      <c r="AX15" s="81">
        <f t="shared" si="28"/>
        <v>2427.0900051493209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LOUVERS</v>
      </c>
      <c r="D16" s="131" t="str">
        <f>Pricing!B12</f>
        <v>DW2-C</v>
      </c>
      <c r="E16" s="132" t="str">
        <f>Pricing!N12</f>
        <v>6MM (A)</v>
      </c>
      <c r="F16" s="68">
        <f>Pricing!G12</f>
        <v>610</v>
      </c>
      <c r="G16" s="68">
        <f>Pricing!H12</f>
        <v>1372</v>
      </c>
      <c r="H16" s="100">
        <f t="shared" si="0"/>
        <v>0.83692</v>
      </c>
      <c r="I16" s="70">
        <f>Pricing!I12</f>
        <v>1</v>
      </c>
      <c r="J16" s="69">
        <f t="shared" si="30"/>
        <v>0.83692</v>
      </c>
      <c r="K16" s="71">
        <f t="shared" si="31"/>
        <v>9.0086068799999985</v>
      </c>
      <c r="L16" s="69"/>
      <c r="M16" s="72"/>
      <c r="N16" s="72"/>
      <c r="O16" s="72">
        <f t="shared" si="3"/>
        <v>0</v>
      </c>
      <c r="P16" s="73">
        <f>Pricing!M12</f>
        <v>4228.8500000000004</v>
      </c>
      <c r="Q16" s="74">
        <f t="shared" si="4"/>
        <v>422.88500000000005</v>
      </c>
      <c r="R16" s="74">
        <f t="shared" si="5"/>
        <v>511.69085000000007</v>
      </c>
      <c r="S16" s="74">
        <f t="shared" si="6"/>
        <v>25.817129250000004</v>
      </c>
      <c r="T16" s="74">
        <f t="shared" si="7"/>
        <v>51.89242979250001</v>
      </c>
      <c r="U16" s="72">
        <f t="shared" si="8"/>
        <v>5241.1354090425002</v>
      </c>
      <c r="V16" s="74">
        <f t="shared" si="9"/>
        <v>78.617031135637504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838.59384</v>
      </c>
      <c r="AE16" s="76">
        <f t="shared" si="43"/>
        <v>324.91803278688525</v>
      </c>
      <c r="AF16" s="342">
        <f t="shared" si="44"/>
        <v>332.97600000000006</v>
      </c>
      <c r="AG16" s="343"/>
      <c r="AH16" s="76">
        <f t="shared" si="45"/>
        <v>11.891999999999999</v>
      </c>
      <c r="AI16" s="76">
        <f t="shared" si="49"/>
        <v>39.64</v>
      </c>
      <c r="AJ16" s="76">
        <f>J16*Pricing!Q12</f>
        <v>450.43034399999993</v>
      </c>
      <c r="AK16" s="76">
        <f>J16*Pricing!R12</f>
        <v>0</v>
      </c>
      <c r="AL16" s="76">
        <f t="shared" si="16"/>
        <v>900.86068799999987</v>
      </c>
      <c r="AM16" s="77">
        <f t="shared" si="17"/>
        <v>0</v>
      </c>
      <c r="AN16" s="76">
        <f t="shared" si="18"/>
        <v>720.68855039999994</v>
      </c>
      <c r="AO16" s="72">
        <f t="shared" si="19"/>
        <v>6029.1784729650226</v>
      </c>
      <c r="AP16" s="74">
        <f t="shared" si="20"/>
        <v>7536.4730912062787</v>
      </c>
      <c r="AQ16" s="74">
        <f t="shared" si="21"/>
        <v>0</v>
      </c>
      <c r="AR16" s="74">
        <f t="shared" si="22"/>
        <v>16209.018262404174</v>
      </c>
      <c r="AS16" s="72">
        <f t="shared" si="23"/>
        <v>16476.224986571302</v>
      </c>
      <c r="AT16" s="72">
        <f t="shared" si="24"/>
        <v>19686.738262404175</v>
      </c>
      <c r="AU16" s="78">
        <f t="shared" si="25"/>
        <v>1828.942610777051</v>
      </c>
      <c r="AV16" s="79">
        <f t="shared" si="26"/>
        <v>3.8854066684482743E-3</v>
      </c>
      <c r="AW16" s="80">
        <f t="shared" si="27"/>
        <v>590.51887944944247</v>
      </c>
      <c r="AX16" s="81">
        <f t="shared" si="28"/>
        <v>1238.4237313276085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SINGLE DOOR</v>
      </c>
      <c r="D17" s="131" t="str">
        <f>Pricing!B13</f>
        <v>DV1-A</v>
      </c>
      <c r="E17" s="132" t="str">
        <f>Pricing!N13</f>
        <v>24MM</v>
      </c>
      <c r="F17" s="68">
        <f>Pricing!G13</f>
        <v>916</v>
      </c>
      <c r="G17" s="68">
        <f>Pricing!H13</f>
        <v>2440</v>
      </c>
      <c r="H17" s="100">
        <f t="shared" si="0"/>
        <v>2.2350400000000001</v>
      </c>
      <c r="I17" s="70">
        <f>Pricing!I13</f>
        <v>1</v>
      </c>
      <c r="J17" s="69">
        <f t="shared" si="30"/>
        <v>2.2350400000000001</v>
      </c>
      <c r="K17" s="71">
        <f t="shared" si="31"/>
        <v>24.057970560000001</v>
      </c>
      <c r="L17" s="69"/>
      <c r="M17" s="72"/>
      <c r="N17" s="72"/>
      <c r="O17" s="72">
        <f t="shared" si="3"/>
        <v>0</v>
      </c>
      <c r="P17" s="73">
        <f>Pricing!M13</f>
        <v>30079.199999999997</v>
      </c>
      <c r="Q17" s="74">
        <f t="shared" si="4"/>
        <v>3007.92</v>
      </c>
      <c r="R17" s="74">
        <f t="shared" si="5"/>
        <v>3639.5831999999996</v>
      </c>
      <c r="S17" s="74">
        <f t="shared" si="6"/>
        <v>183.63351599999999</v>
      </c>
      <c r="T17" s="74">
        <f t="shared" si="7"/>
        <v>369.10336716</v>
      </c>
      <c r="U17" s="72">
        <f t="shared" si="8"/>
        <v>37279.44008316</v>
      </c>
      <c r="V17" s="74">
        <f t="shared" si="9"/>
        <v>559.19160124739994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6566.5475200000001</v>
      </c>
      <c r="AE17" s="76">
        <f t="shared" si="43"/>
        <v>550.1639344262295</v>
      </c>
      <c r="AF17" s="342">
        <f t="shared" si="44"/>
        <v>563.80799999999999</v>
      </c>
      <c r="AG17" s="343"/>
      <c r="AH17" s="76">
        <f t="shared" si="45"/>
        <v>20.135999999999999</v>
      </c>
      <c r="AI17" s="76">
        <f t="shared" si="49"/>
        <v>67.12</v>
      </c>
      <c r="AJ17" s="76">
        <f>J17*Pricing!Q13</f>
        <v>0</v>
      </c>
      <c r="AK17" s="76">
        <f>J17*Pricing!R13</f>
        <v>0</v>
      </c>
      <c r="AL17" s="76">
        <f t="shared" si="16"/>
        <v>2405.7970559999999</v>
      </c>
      <c r="AM17" s="77">
        <f t="shared" si="17"/>
        <v>0</v>
      </c>
      <c r="AN17" s="76">
        <f t="shared" si="18"/>
        <v>1924.6376447999999</v>
      </c>
      <c r="AO17" s="72">
        <f t="shared" si="19"/>
        <v>39039.859618833631</v>
      </c>
      <c r="AP17" s="74">
        <f t="shared" si="20"/>
        <v>48799.82452354204</v>
      </c>
      <c r="AQ17" s="74">
        <f t="shared" si="21"/>
        <v>0</v>
      </c>
      <c r="AR17" s="74">
        <f t="shared" si="22"/>
        <v>39301.168722875504</v>
      </c>
      <c r="AS17" s="72">
        <f t="shared" si="23"/>
        <v>98736.666363175667</v>
      </c>
      <c r="AT17" s="72">
        <f t="shared" si="24"/>
        <v>44176.6887228755</v>
      </c>
      <c r="AU17" s="78">
        <f t="shared" si="25"/>
        <v>4104.114522749489</v>
      </c>
      <c r="AV17" s="79">
        <f t="shared" si="26"/>
        <v>1.0376188070841457E-2</v>
      </c>
      <c r="AW17" s="80">
        <f t="shared" si="27"/>
        <v>1572.8106238237663</v>
      </c>
      <c r="AX17" s="81">
        <f t="shared" si="28"/>
        <v>2531.3038989257229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GLASS LOUVERS</v>
      </c>
      <c r="D18" s="131" t="str">
        <f>Pricing!B14</f>
        <v>DV1-B</v>
      </c>
      <c r="E18" s="132" t="str">
        <f>Pricing!N14</f>
        <v>6MM (A)</v>
      </c>
      <c r="F18" s="68">
        <f>Pricing!G14</f>
        <v>864</v>
      </c>
      <c r="G18" s="68">
        <f>Pricing!H14</f>
        <v>916</v>
      </c>
      <c r="H18" s="100">
        <f t="shared" si="0"/>
        <v>0.79142400000000002</v>
      </c>
      <c r="I18" s="70">
        <f>Pricing!I14</f>
        <v>1</v>
      </c>
      <c r="J18" s="69">
        <f t="shared" si="30"/>
        <v>0.79142400000000002</v>
      </c>
      <c r="K18" s="71">
        <f t="shared" si="31"/>
        <v>8.5188879360000005</v>
      </c>
      <c r="L18" s="69"/>
      <c r="M18" s="72"/>
      <c r="N18" s="72"/>
      <c r="O18" s="72">
        <f t="shared" si="3"/>
        <v>0</v>
      </c>
      <c r="P18" s="73">
        <f>Pricing!M14</f>
        <v>1503.96</v>
      </c>
      <c r="Q18" s="74">
        <f t="shared" si="4"/>
        <v>150.39600000000002</v>
      </c>
      <c r="R18" s="74">
        <f t="shared" si="5"/>
        <v>181.97916000000001</v>
      </c>
      <c r="S18" s="74">
        <f t="shared" si="6"/>
        <v>9.1816758000000007</v>
      </c>
      <c r="T18" s="74">
        <f t="shared" si="7"/>
        <v>18.455168358000002</v>
      </c>
      <c r="U18" s="72">
        <f t="shared" si="8"/>
        <v>1863.9720041580001</v>
      </c>
      <c r="V18" s="74">
        <f t="shared" si="9"/>
        <v>27.959580062370001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793.00684799999999</v>
      </c>
      <c r="AE18" s="76">
        <f t="shared" si="43"/>
        <v>291.80327868852459</v>
      </c>
      <c r="AF18" s="342">
        <f t="shared" si="44"/>
        <v>299.03999999999996</v>
      </c>
      <c r="AG18" s="343"/>
      <c r="AH18" s="76">
        <f t="shared" si="45"/>
        <v>10.68</v>
      </c>
      <c r="AI18" s="76">
        <f t="shared" si="49"/>
        <v>35.6</v>
      </c>
      <c r="AJ18" s="76">
        <f>J18*Pricing!Q14</f>
        <v>425.94439679999994</v>
      </c>
      <c r="AK18" s="76">
        <f>J18*Pricing!R14</f>
        <v>0</v>
      </c>
      <c r="AL18" s="76">
        <f t="shared" si="16"/>
        <v>851.88879359999987</v>
      </c>
      <c r="AM18" s="77">
        <f t="shared" si="17"/>
        <v>0</v>
      </c>
      <c r="AN18" s="76">
        <f t="shared" si="18"/>
        <v>681.5110348799999</v>
      </c>
      <c r="AO18" s="72">
        <f t="shared" si="19"/>
        <v>2529.0548629088944</v>
      </c>
      <c r="AP18" s="74">
        <f t="shared" si="20"/>
        <v>3161.3185786361182</v>
      </c>
      <c r="AQ18" s="74">
        <f t="shared" si="21"/>
        <v>0</v>
      </c>
      <c r="AR18" s="74">
        <f t="shared" si="22"/>
        <v>7190.0440744089292</v>
      </c>
      <c r="AS18" s="72">
        <f t="shared" si="23"/>
        <v>8442.7245148250113</v>
      </c>
      <c r="AT18" s="72">
        <f t="shared" si="24"/>
        <v>10667.764074408928</v>
      </c>
      <c r="AU18" s="78">
        <f t="shared" si="25"/>
        <v>991.05946436351985</v>
      </c>
      <c r="AV18" s="79">
        <f t="shared" si="26"/>
        <v>3.674191185740582E-3</v>
      </c>
      <c r="AW18" s="80">
        <f t="shared" si="27"/>
        <v>222.08668530844844</v>
      </c>
      <c r="AX18" s="81">
        <f t="shared" si="28"/>
        <v>768.97277905507156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SINGLE DOOR</v>
      </c>
      <c r="D19" s="131" t="str">
        <f>Pricing!B15</f>
        <v>W1</v>
      </c>
      <c r="E19" s="132" t="str">
        <f>Pricing!N15</f>
        <v>24MM</v>
      </c>
      <c r="F19" s="68">
        <f>Pricing!G15</f>
        <v>712</v>
      </c>
      <c r="G19" s="68">
        <f>Pricing!H15</f>
        <v>2134</v>
      </c>
      <c r="H19" s="100">
        <f t="shared" si="0"/>
        <v>1.5194080000000001</v>
      </c>
      <c r="I19" s="70">
        <f>Pricing!I15</f>
        <v>2</v>
      </c>
      <c r="J19" s="69">
        <f t="shared" si="30"/>
        <v>3.0388160000000002</v>
      </c>
      <c r="K19" s="71">
        <f t="shared" si="31"/>
        <v>32.709815423999999</v>
      </c>
      <c r="L19" s="69"/>
      <c r="M19" s="72"/>
      <c r="N19" s="72"/>
      <c r="O19" s="72">
        <f t="shared" si="3"/>
        <v>0</v>
      </c>
      <c r="P19" s="73">
        <f>Pricing!M15</f>
        <v>53227.899999999994</v>
      </c>
      <c r="Q19" s="74">
        <f t="shared" si="4"/>
        <v>5322.79</v>
      </c>
      <c r="R19" s="74">
        <f t="shared" si="5"/>
        <v>6440.5758999999998</v>
      </c>
      <c r="S19" s="74">
        <f t="shared" si="6"/>
        <v>324.95632949999998</v>
      </c>
      <c r="T19" s="74">
        <f t="shared" si="7"/>
        <v>653.16222229499999</v>
      </c>
      <c r="U19" s="72">
        <f t="shared" si="8"/>
        <v>65969.384451794991</v>
      </c>
      <c r="V19" s="74">
        <f t="shared" si="9"/>
        <v>989.54076677692478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8928.041408000001</v>
      </c>
      <c r="AE19" s="76">
        <f t="shared" si="43"/>
        <v>933.11475409836055</v>
      </c>
      <c r="AF19" s="342">
        <f t="shared" si="44"/>
        <v>956.25599999999997</v>
      </c>
      <c r="AG19" s="343"/>
      <c r="AH19" s="76">
        <f t="shared" si="45"/>
        <v>34.152000000000001</v>
      </c>
      <c r="AI19" s="76">
        <f t="shared" si="49"/>
        <v>113.84</v>
      </c>
      <c r="AJ19" s="76">
        <f>J19*Pricing!Q15</f>
        <v>0</v>
      </c>
      <c r="AK19" s="76">
        <f>J19*Pricing!R15</f>
        <v>0</v>
      </c>
      <c r="AL19" s="76">
        <f t="shared" si="16"/>
        <v>3270.9815423999999</v>
      </c>
      <c r="AM19" s="77">
        <f t="shared" si="17"/>
        <v>0</v>
      </c>
      <c r="AN19" s="76">
        <f t="shared" si="18"/>
        <v>2616.7852339199999</v>
      </c>
      <c r="AO19" s="72">
        <f t="shared" si="19"/>
        <v>68996.287972670267</v>
      </c>
      <c r="AP19" s="74">
        <f t="shared" si="20"/>
        <v>86245.359965837837</v>
      </c>
      <c r="AQ19" s="74">
        <f t="shared" si="21"/>
        <v>0</v>
      </c>
      <c r="AR19" s="74">
        <f t="shared" si="22"/>
        <v>51086.228300268296</v>
      </c>
      <c r="AS19" s="72">
        <f t="shared" si="23"/>
        <v>170057.45612282809</v>
      </c>
      <c r="AT19" s="72">
        <f t="shared" si="24"/>
        <v>55961.748300268293</v>
      </c>
      <c r="AU19" s="78">
        <f t="shared" si="25"/>
        <v>5198.9732720427628</v>
      </c>
      <c r="AV19" s="79">
        <f t="shared" si="26"/>
        <v>1.4107723498766087E-2</v>
      </c>
      <c r="AW19" s="80">
        <f t="shared" si="27"/>
        <v>2047.0590968068409</v>
      </c>
      <c r="AX19" s="81">
        <f t="shared" si="28"/>
        <v>3151.9141752359224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SINGLE DOOR</v>
      </c>
      <c r="D20" s="131" t="str">
        <f>Pricing!B16</f>
        <v>W2</v>
      </c>
      <c r="E20" s="132" t="str">
        <f>Pricing!N16</f>
        <v>24MM</v>
      </c>
      <c r="F20" s="68">
        <f>Pricing!G16</f>
        <v>712</v>
      </c>
      <c r="G20" s="68">
        <f>Pricing!H16</f>
        <v>1678</v>
      </c>
      <c r="H20" s="100">
        <f t="shared" si="0"/>
        <v>1.194736</v>
      </c>
      <c r="I20" s="70">
        <f>Pricing!I16</f>
        <v>8</v>
      </c>
      <c r="J20" s="69">
        <f t="shared" si="30"/>
        <v>9.5578880000000002</v>
      </c>
      <c r="K20" s="71">
        <f t="shared" si="31"/>
        <v>102.881106432</v>
      </c>
      <c r="L20" s="69"/>
      <c r="M20" s="72"/>
      <c r="N20" s="72"/>
      <c r="O20" s="72">
        <f t="shared" si="3"/>
        <v>0</v>
      </c>
      <c r="P20" s="73">
        <f>Pricing!M16</f>
        <v>179924.08000000002</v>
      </c>
      <c r="Q20" s="74">
        <f t="shared" si="4"/>
        <v>17992.408000000003</v>
      </c>
      <c r="R20" s="74">
        <f t="shared" si="5"/>
        <v>21770.813680000003</v>
      </c>
      <c r="S20" s="74">
        <f t="shared" si="6"/>
        <v>1098.4365084000001</v>
      </c>
      <c r="T20" s="74">
        <f t="shared" si="7"/>
        <v>2207.857381884</v>
      </c>
      <c r="U20" s="72">
        <f t="shared" si="8"/>
        <v>222993.595570284</v>
      </c>
      <c r="V20" s="74">
        <f t="shared" si="9"/>
        <v>3344.9039335542598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28081.074944</v>
      </c>
      <c r="AE20" s="76">
        <f t="shared" si="43"/>
        <v>3134.4262295081967</v>
      </c>
      <c r="AF20" s="342">
        <f t="shared" si="44"/>
        <v>3212.16</v>
      </c>
      <c r="AG20" s="343"/>
      <c r="AH20" s="76">
        <f t="shared" si="45"/>
        <v>114.72</v>
      </c>
      <c r="AI20" s="76">
        <f t="shared" si="49"/>
        <v>382.40000000000003</v>
      </c>
      <c r="AJ20" s="76">
        <f>J20*Pricing!Q16</f>
        <v>0</v>
      </c>
      <c r="AK20" s="76">
        <f>J20*Pricing!R16</f>
        <v>0</v>
      </c>
      <c r="AL20" s="76">
        <f t="shared" si="16"/>
        <v>10288.1106432</v>
      </c>
      <c r="AM20" s="77">
        <f t="shared" si="17"/>
        <v>0</v>
      </c>
      <c r="AN20" s="76">
        <f t="shared" si="18"/>
        <v>8230.4885145599983</v>
      </c>
      <c r="AO20" s="72">
        <f t="shared" si="19"/>
        <v>233182.20573334646</v>
      </c>
      <c r="AP20" s="74">
        <f t="shared" si="20"/>
        <v>291477.75716668309</v>
      </c>
      <c r="AQ20" s="74">
        <f t="shared" si="21"/>
        <v>0</v>
      </c>
      <c r="AR20" s="74">
        <f t="shared" si="22"/>
        <v>54892.876219100857</v>
      </c>
      <c r="AS20" s="72">
        <f t="shared" si="23"/>
        <v>571259.63700178952</v>
      </c>
      <c r="AT20" s="72">
        <f t="shared" si="24"/>
        <v>59768.396219100861</v>
      </c>
      <c r="AU20" s="78">
        <f t="shared" si="25"/>
        <v>5552.6194926700919</v>
      </c>
      <c r="AV20" s="79">
        <f t="shared" si="26"/>
        <v>4.4372558633419858E-2</v>
      </c>
      <c r="AW20" s="80">
        <f t="shared" si="27"/>
        <v>2200.0006352326536</v>
      </c>
      <c r="AX20" s="81">
        <f t="shared" si="28"/>
        <v>3352.6188574374378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3 NO'S</v>
      </c>
      <c r="D21" s="131" t="str">
        <f>Pricing!B17</f>
        <v>W3</v>
      </c>
      <c r="E21" s="132" t="str">
        <f>Pricing!N17</f>
        <v>24MM</v>
      </c>
      <c r="F21" s="68">
        <f>Pricing!G17</f>
        <v>3864</v>
      </c>
      <c r="G21" s="68">
        <f>Pricing!H17</f>
        <v>1220</v>
      </c>
      <c r="H21" s="100">
        <f t="shared" si="0"/>
        <v>4.71408</v>
      </c>
      <c r="I21" s="70">
        <f>Pricing!I17</f>
        <v>1</v>
      </c>
      <c r="J21" s="69">
        <f t="shared" si="30"/>
        <v>4.71408</v>
      </c>
      <c r="K21" s="71">
        <f t="shared" si="31"/>
        <v>50.742357119999994</v>
      </c>
      <c r="L21" s="69"/>
      <c r="M21" s="72"/>
      <c r="N21" s="72"/>
      <c r="O21" s="72">
        <f t="shared" si="3"/>
        <v>0</v>
      </c>
      <c r="P21" s="73">
        <f>Pricing!M17</f>
        <v>14213.75</v>
      </c>
      <c r="Q21" s="74">
        <f t="shared" ref="Q21:Q26" si="50">P21*$Q$6</f>
        <v>1421.375</v>
      </c>
      <c r="R21" s="74">
        <f t="shared" ref="R21:R26" si="51">(P21+Q21)*$R$6</f>
        <v>1719.86375</v>
      </c>
      <c r="S21" s="74">
        <f t="shared" ref="S21:S26" si="52">(P21+Q21+R21)*$S$6</f>
        <v>86.774943750000006</v>
      </c>
      <c r="T21" s="74">
        <f t="shared" ref="T21:T26" si="53">(P21+Q21+R21+S21)*$T$6</f>
        <v>174.41763693749999</v>
      </c>
      <c r="U21" s="72">
        <f t="shared" ref="U21:U26" si="54">SUM(P21:T21)</f>
        <v>17616.181330687497</v>
      </c>
      <c r="V21" s="74">
        <f t="shared" ref="V21:V26" si="55">U21*$V$6</f>
        <v>264.24271996031246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13849.96704</v>
      </c>
      <c r="AE21" s="76">
        <f t="shared" si="43"/>
        <v>833.44262295081967</v>
      </c>
      <c r="AF21" s="342">
        <f t="shared" si="44"/>
        <v>854.11199999999997</v>
      </c>
      <c r="AG21" s="343"/>
      <c r="AH21" s="76">
        <f t="shared" si="45"/>
        <v>30.503999999999998</v>
      </c>
      <c r="AI21" s="76">
        <f t="shared" si="15"/>
        <v>101.67999999999999</v>
      </c>
      <c r="AJ21" s="76">
        <f>J21*Pricing!Q17</f>
        <v>0</v>
      </c>
      <c r="AK21" s="76">
        <f>J21*Pricing!R17</f>
        <v>0</v>
      </c>
      <c r="AL21" s="76">
        <f t="shared" si="16"/>
        <v>5074.2357119999997</v>
      </c>
      <c r="AM21" s="77">
        <f t="shared" si="17"/>
        <v>0</v>
      </c>
      <c r="AN21" s="76">
        <f t="shared" si="18"/>
        <v>4059.3885695999993</v>
      </c>
      <c r="AO21" s="72">
        <f t="shared" si="19"/>
        <v>19700.162673598625</v>
      </c>
      <c r="AP21" s="74">
        <f t="shared" si="20"/>
        <v>24625.20334199828</v>
      </c>
      <c r="AQ21" s="74">
        <f t="shared" ref="AQ21:AQ26" si="61">(AO21+AP21)*$AQ$6</f>
        <v>0</v>
      </c>
      <c r="AR21" s="74">
        <f t="shared" si="22"/>
        <v>9402.7606692285462</v>
      </c>
      <c r="AS21" s="72">
        <f t="shared" si="23"/>
        <v>67308.957337196902</v>
      </c>
      <c r="AT21" s="72">
        <f t="shared" si="24"/>
        <v>14278.280669228545</v>
      </c>
      <c r="AU21" s="78">
        <f t="shared" ref="AU21:AU26" si="62">AT21/10.764</f>
        <v>1326.4846403965576</v>
      </c>
      <c r="AV21" s="79">
        <f t="shared" si="26"/>
        <v>2.1885147765137218E-2</v>
      </c>
      <c r="AW21" s="80">
        <f t="shared" si="27"/>
        <v>352.37669405783828</v>
      </c>
      <c r="AX21" s="81">
        <f t="shared" si="28"/>
        <v>974.10794633871944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3 NO'S</v>
      </c>
      <c r="D22" s="131" t="str">
        <f>Pricing!B18</f>
        <v>W4-A</v>
      </c>
      <c r="E22" s="132" t="str">
        <f>Pricing!N18</f>
        <v>10MM</v>
      </c>
      <c r="F22" s="68">
        <f>Pricing!G18</f>
        <v>6808</v>
      </c>
      <c r="G22" s="68">
        <f>Pricing!H18</f>
        <v>306</v>
      </c>
      <c r="H22" s="100">
        <f t="shared" si="0"/>
        <v>2.0832480000000002</v>
      </c>
      <c r="I22" s="70">
        <f>Pricing!I18</f>
        <v>1</v>
      </c>
      <c r="J22" s="69">
        <f t="shared" si="30"/>
        <v>2.0832480000000002</v>
      </c>
      <c r="K22" s="71">
        <f t="shared" si="31"/>
        <v>22.424081472000001</v>
      </c>
      <c r="L22" s="69"/>
      <c r="M22" s="72"/>
      <c r="N22" s="72"/>
      <c r="O22" s="72">
        <f t="shared" si="3"/>
        <v>0</v>
      </c>
      <c r="P22" s="73">
        <f>Pricing!M18</f>
        <v>16714.54</v>
      </c>
      <c r="Q22" s="74">
        <f t="shared" si="50"/>
        <v>1671.4540000000002</v>
      </c>
      <c r="R22" s="74">
        <f t="shared" si="51"/>
        <v>2022.4593400000003</v>
      </c>
      <c r="S22" s="74">
        <f t="shared" si="52"/>
        <v>102.04226670000003</v>
      </c>
      <c r="T22" s="74">
        <f t="shared" si="53"/>
        <v>205.10495606700002</v>
      </c>
      <c r="U22" s="72">
        <f t="shared" si="54"/>
        <v>20715.600562767002</v>
      </c>
      <c r="V22" s="74">
        <f t="shared" si="55"/>
        <v>310.73400844150501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3310.2810720000002</v>
      </c>
      <c r="AE22" s="76">
        <f t="shared" si="43"/>
        <v>1166.2295081967213</v>
      </c>
      <c r="AF22" s="342">
        <f t="shared" si="44"/>
        <v>1195.152</v>
      </c>
      <c r="AG22" s="343"/>
      <c r="AH22" s="76">
        <f t="shared" si="45"/>
        <v>42.683999999999997</v>
      </c>
      <c r="AI22" s="76">
        <f t="shared" si="15"/>
        <v>142.28</v>
      </c>
      <c r="AJ22" s="76">
        <f>J22*Pricing!Q18</f>
        <v>0</v>
      </c>
      <c r="AK22" s="76">
        <f>J22*Pricing!R18</f>
        <v>0</v>
      </c>
      <c r="AL22" s="76">
        <f t="shared" si="16"/>
        <v>2242.4081471999998</v>
      </c>
      <c r="AM22" s="77">
        <f t="shared" si="17"/>
        <v>0</v>
      </c>
      <c r="AN22" s="76">
        <f t="shared" si="18"/>
        <v>1793.92651776</v>
      </c>
      <c r="AO22" s="72">
        <f t="shared" si="19"/>
        <v>23572.680079405229</v>
      </c>
      <c r="AP22" s="74">
        <f t="shared" si="20"/>
        <v>29465.850099256535</v>
      </c>
      <c r="AQ22" s="74">
        <f t="shared" si="61"/>
        <v>0</v>
      </c>
      <c r="AR22" s="74">
        <f t="shared" si="22"/>
        <v>25459.537308405797</v>
      </c>
      <c r="AS22" s="72">
        <f t="shared" si="23"/>
        <v>60385.145915621761</v>
      </c>
      <c r="AT22" s="72">
        <f t="shared" si="24"/>
        <v>28986.057308405794</v>
      </c>
      <c r="AU22" s="78">
        <f t="shared" si="62"/>
        <v>2692.8704299893902</v>
      </c>
      <c r="AV22" s="79">
        <f t="shared" si="26"/>
        <v>9.6714927008931945E-3</v>
      </c>
      <c r="AW22" s="80">
        <f t="shared" si="27"/>
        <v>937.66759621629092</v>
      </c>
      <c r="AX22" s="81">
        <f t="shared" si="28"/>
        <v>1755.2028337730997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FIXED GLASS</v>
      </c>
      <c r="D23" s="131" t="str">
        <f>Pricing!B19</f>
        <v>W4-B</v>
      </c>
      <c r="E23" s="132" t="str">
        <f>Pricing!N19</f>
        <v>10MM</v>
      </c>
      <c r="F23" s="68">
        <f>Pricing!G19</f>
        <v>2186</v>
      </c>
      <c r="G23" s="68">
        <f>Pricing!H19</f>
        <v>306</v>
      </c>
      <c r="H23" s="100">
        <f t="shared" si="0"/>
        <v>0.66891599999999996</v>
      </c>
      <c r="I23" s="70">
        <f>Pricing!I19</f>
        <v>1</v>
      </c>
      <c r="J23" s="69">
        <f t="shared" si="30"/>
        <v>0.66891599999999996</v>
      </c>
      <c r="K23" s="71">
        <f t="shared" si="31"/>
        <v>7.2002118239999993</v>
      </c>
      <c r="L23" s="69"/>
      <c r="M23" s="72"/>
      <c r="N23" s="72"/>
      <c r="O23" s="72">
        <f t="shared" si="3"/>
        <v>0</v>
      </c>
      <c r="P23" s="73">
        <f>Pricing!M19</f>
        <v>4701.95</v>
      </c>
      <c r="Q23" s="74">
        <f t="shared" si="50"/>
        <v>470.19499999999999</v>
      </c>
      <c r="R23" s="74">
        <f t="shared" si="51"/>
        <v>568.93594999999993</v>
      </c>
      <c r="S23" s="74">
        <f t="shared" si="52"/>
        <v>28.70540475</v>
      </c>
      <c r="T23" s="74">
        <f t="shared" si="53"/>
        <v>57.697863547499992</v>
      </c>
      <c r="U23" s="72">
        <f t="shared" si="54"/>
        <v>5827.484218297499</v>
      </c>
      <c r="V23" s="74">
        <f t="shared" si="55"/>
        <v>87.412263274462475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1062.907524</v>
      </c>
      <c r="AE23" s="76">
        <f t="shared" si="43"/>
        <v>408.52459016393442</v>
      </c>
      <c r="AF23" s="342">
        <f t="shared" si="44"/>
        <v>418.65600000000006</v>
      </c>
      <c r="AG23" s="343"/>
      <c r="AH23" s="76">
        <f t="shared" si="45"/>
        <v>14.952</v>
      </c>
      <c r="AI23" s="76">
        <f t="shared" si="15"/>
        <v>49.84</v>
      </c>
      <c r="AJ23" s="76">
        <f>J23*Pricing!Q19</f>
        <v>0</v>
      </c>
      <c r="AK23" s="76">
        <f>J23*Pricing!R19</f>
        <v>0</v>
      </c>
      <c r="AL23" s="76">
        <f t="shared" si="16"/>
        <v>720.02118239999982</v>
      </c>
      <c r="AM23" s="77">
        <f t="shared" si="17"/>
        <v>0</v>
      </c>
      <c r="AN23" s="76">
        <f t="shared" si="18"/>
        <v>576.0169459199999</v>
      </c>
      <c r="AO23" s="72">
        <f t="shared" si="19"/>
        <v>6806.869071735895</v>
      </c>
      <c r="AP23" s="74">
        <f t="shared" si="20"/>
        <v>8508.5863396698696</v>
      </c>
      <c r="AQ23" s="74">
        <f t="shared" si="61"/>
        <v>0</v>
      </c>
      <c r="AR23" s="74">
        <f t="shared" si="22"/>
        <v>22895.93224172507</v>
      </c>
      <c r="AS23" s="72">
        <f t="shared" si="23"/>
        <v>17674.401063725763</v>
      </c>
      <c r="AT23" s="72">
        <f t="shared" si="24"/>
        <v>26422.452241725066</v>
      </c>
      <c r="AU23" s="78">
        <f t="shared" si="62"/>
        <v>2454.7057080755358</v>
      </c>
      <c r="AV23" s="79">
        <f t="shared" si="26"/>
        <v>3.105446980633449E-3</v>
      </c>
      <c r="AW23" s="80">
        <f t="shared" si="27"/>
        <v>821.4892320051224</v>
      </c>
      <c r="AX23" s="81">
        <f t="shared" si="28"/>
        <v>1633.2164760704136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W4-C</v>
      </c>
      <c r="E24" s="132" t="str">
        <f>Pricing!N20</f>
        <v>10MM</v>
      </c>
      <c r="F24" s="68">
        <f>Pricing!G20</f>
        <v>610</v>
      </c>
      <c r="G24" s="68">
        <f>Pricing!H20</f>
        <v>3272</v>
      </c>
      <c r="H24" s="100">
        <f t="shared" si="0"/>
        <v>1.9959199999999999</v>
      </c>
      <c r="I24" s="70">
        <f>Pricing!I20</f>
        <v>1</v>
      </c>
      <c r="J24" s="69">
        <f t="shared" si="30"/>
        <v>1.9959199999999999</v>
      </c>
      <c r="K24" s="71">
        <f t="shared" si="31"/>
        <v>21.484082879999999</v>
      </c>
      <c r="L24" s="69"/>
      <c r="M24" s="72"/>
      <c r="N24" s="72"/>
      <c r="O24" s="72">
        <f t="shared" si="3"/>
        <v>0</v>
      </c>
      <c r="P24" s="73">
        <f>Pricing!M20</f>
        <v>6712.21</v>
      </c>
      <c r="Q24" s="74">
        <f t="shared" si="50"/>
        <v>671.221</v>
      </c>
      <c r="R24" s="74">
        <f t="shared" si="51"/>
        <v>812.17741000000001</v>
      </c>
      <c r="S24" s="74">
        <f t="shared" si="52"/>
        <v>40.978042050000006</v>
      </c>
      <c r="T24" s="74">
        <f t="shared" si="53"/>
        <v>82.365864520499997</v>
      </c>
      <c r="U24" s="72">
        <f t="shared" si="54"/>
        <v>8318.9523165704995</v>
      </c>
      <c r="V24" s="74">
        <f t="shared" si="55"/>
        <v>124.78428474855748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3171.5168799999997</v>
      </c>
      <c r="AE24" s="76">
        <f t="shared" si="43"/>
        <v>636.39344262295083</v>
      </c>
      <c r="AF24" s="342">
        <f t="shared" si="44"/>
        <v>652.17600000000004</v>
      </c>
      <c r="AG24" s="343"/>
      <c r="AH24" s="76">
        <f t="shared" si="45"/>
        <v>23.292000000000002</v>
      </c>
      <c r="AI24" s="76">
        <f t="shared" si="15"/>
        <v>77.64</v>
      </c>
      <c r="AJ24" s="76">
        <f>J24*Pricing!Q20</f>
        <v>0</v>
      </c>
      <c r="AK24" s="76">
        <f>J24*Pricing!R20</f>
        <v>0</v>
      </c>
      <c r="AL24" s="76">
        <f t="shared" si="16"/>
        <v>2148.4082879999996</v>
      </c>
      <c r="AM24" s="77">
        <f t="shared" si="17"/>
        <v>0</v>
      </c>
      <c r="AN24" s="76">
        <f t="shared" si="18"/>
        <v>1718.7266303999997</v>
      </c>
      <c r="AO24" s="72">
        <f t="shared" si="19"/>
        <v>9833.2380439420085</v>
      </c>
      <c r="AP24" s="74">
        <f t="shared" si="20"/>
        <v>12291.547554927511</v>
      </c>
      <c r="AQ24" s="74">
        <f t="shared" si="61"/>
        <v>0</v>
      </c>
      <c r="AR24" s="74">
        <f t="shared" si="22"/>
        <v>11085.006212107459</v>
      </c>
      <c r="AS24" s="72">
        <f t="shared" si="23"/>
        <v>29163.437397269518</v>
      </c>
      <c r="AT24" s="72">
        <f t="shared" si="24"/>
        <v>14611.526212107459</v>
      </c>
      <c r="AU24" s="78">
        <f t="shared" si="62"/>
        <v>1357.4439067361075</v>
      </c>
      <c r="AV24" s="79">
        <f t="shared" si="26"/>
        <v>9.2660718798562355E-3</v>
      </c>
      <c r="AW24" s="80">
        <f t="shared" si="27"/>
        <v>393.02290204714836</v>
      </c>
      <c r="AX24" s="81">
        <f t="shared" si="28"/>
        <v>964.42100468895899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WINDOW</v>
      </c>
      <c r="D25" s="131" t="str">
        <f>Pricing!B21</f>
        <v>SW1</v>
      </c>
      <c r="E25" s="132" t="str">
        <f>Pricing!N21</f>
        <v>20MM</v>
      </c>
      <c r="F25" s="68">
        <f>Pricing!G21</f>
        <v>1170</v>
      </c>
      <c r="G25" s="68">
        <f>Pricing!H21</f>
        <v>1372</v>
      </c>
      <c r="H25" s="100">
        <f t="shared" si="0"/>
        <v>1.60524</v>
      </c>
      <c r="I25" s="70">
        <f>Pricing!I21</f>
        <v>1</v>
      </c>
      <c r="J25" s="69">
        <f t="shared" si="30"/>
        <v>1.60524</v>
      </c>
      <c r="K25" s="71">
        <f t="shared" si="31"/>
        <v>17.278803359999998</v>
      </c>
      <c r="L25" s="69"/>
      <c r="M25" s="72"/>
      <c r="N25" s="72"/>
      <c r="O25" s="72">
        <f t="shared" si="3"/>
        <v>0</v>
      </c>
      <c r="P25" s="73">
        <f>Pricing!M21</f>
        <v>12069.86</v>
      </c>
      <c r="Q25" s="74">
        <f t="shared" si="50"/>
        <v>1206.9860000000001</v>
      </c>
      <c r="R25" s="74">
        <f t="shared" si="51"/>
        <v>1460.4530600000001</v>
      </c>
      <c r="S25" s="74">
        <f t="shared" si="52"/>
        <v>73.686495300000004</v>
      </c>
      <c r="T25" s="74">
        <f t="shared" si="53"/>
        <v>148.10985555300002</v>
      </c>
      <c r="U25" s="72">
        <f t="shared" si="54"/>
        <v>14959.095410853002</v>
      </c>
      <c r="V25" s="74">
        <f t="shared" si="55"/>
        <v>224.38643116279502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4074.0991199999999</v>
      </c>
      <c r="AE25" s="76">
        <f t="shared" si="43"/>
        <v>416.72131147540983</v>
      </c>
      <c r="AF25" s="342">
        <f t="shared" si="44"/>
        <v>427.05599999999998</v>
      </c>
      <c r="AG25" s="343"/>
      <c r="AH25" s="76">
        <f t="shared" si="45"/>
        <v>15.251999999999999</v>
      </c>
      <c r="AI25" s="76">
        <f t="shared" si="15"/>
        <v>50.839999999999996</v>
      </c>
      <c r="AJ25" s="76">
        <f>J25*Pricing!Q21</f>
        <v>863.94016799999986</v>
      </c>
      <c r="AK25" s="76">
        <f>J25*Pricing!R21</f>
        <v>0</v>
      </c>
      <c r="AL25" s="76">
        <f t="shared" si="16"/>
        <v>1727.8803359999997</v>
      </c>
      <c r="AM25" s="77">
        <f t="shared" si="17"/>
        <v>0</v>
      </c>
      <c r="AN25" s="76">
        <f t="shared" si="18"/>
        <v>1382.3042687999998</v>
      </c>
      <c r="AO25" s="72">
        <f t="shared" si="19"/>
        <v>16093.351153491207</v>
      </c>
      <c r="AP25" s="74">
        <f t="shared" si="20"/>
        <v>20116.688941864009</v>
      </c>
      <c r="AQ25" s="74">
        <f t="shared" si="61"/>
        <v>0</v>
      </c>
      <c r="AR25" s="74">
        <f t="shared" si="22"/>
        <v>22557.399575985659</v>
      </c>
      <c r="AS25" s="72">
        <f t="shared" si="23"/>
        <v>44258.263988155217</v>
      </c>
      <c r="AT25" s="72">
        <f t="shared" si="24"/>
        <v>27571.119575985656</v>
      </c>
      <c r="AU25" s="78">
        <f t="shared" si="62"/>
        <v>2561.4195072450443</v>
      </c>
      <c r="AV25" s="79">
        <f t="shared" si="26"/>
        <v>7.4523373804663623E-3</v>
      </c>
      <c r="AW25" s="80">
        <f t="shared" si="27"/>
        <v>878.7345700782256</v>
      </c>
      <c r="AX25" s="81">
        <f t="shared" si="28"/>
        <v>1682.6849371668191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WINDOW</v>
      </c>
      <c r="D26" s="131" t="str">
        <f>Pricing!B22</f>
        <v>SW3</v>
      </c>
      <c r="E26" s="132" t="str">
        <f>Pricing!N22</f>
        <v>20MM</v>
      </c>
      <c r="F26" s="68">
        <f>Pricing!G22</f>
        <v>2490</v>
      </c>
      <c r="G26" s="68">
        <f>Pricing!H22</f>
        <v>1524</v>
      </c>
      <c r="H26" s="100">
        <f t="shared" si="0"/>
        <v>3.7947600000000001</v>
      </c>
      <c r="I26" s="70">
        <f>Pricing!I22</f>
        <v>1</v>
      </c>
      <c r="J26" s="69">
        <f t="shared" si="30"/>
        <v>3.7947600000000001</v>
      </c>
      <c r="K26" s="71">
        <f t="shared" si="31"/>
        <v>40.846796640000001</v>
      </c>
      <c r="L26" s="69"/>
      <c r="M26" s="72"/>
      <c r="N26" s="72"/>
      <c r="O26" s="72">
        <f t="shared" si="3"/>
        <v>0</v>
      </c>
      <c r="P26" s="73">
        <f>Pricing!M22</f>
        <v>16268.83</v>
      </c>
      <c r="Q26" s="74">
        <f t="shared" si="50"/>
        <v>1626.883</v>
      </c>
      <c r="R26" s="74">
        <f t="shared" si="51"/>
        <v>1968.5284300000001</v>
      </c>
      <c r="S26" s="74">
        <f t="shared" si="52"/>
        <v>99.321207149999992</v>
      </c>
      <c r="T26" s="74">
        <f t="shared" si="53"/>
        <v>199.63562637149997</v>
      </c>
      <c r="U26" s="72">
        <f t="shared" si="54"/>
        <v>20163.198263521495</v>
      </c>
      <c r="V26" s="74">
        <f t="shared" si="55"/>
        <v>302.44797395282239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9631.10088</v>
      </c>
      <c r="AE26" s="76">
        <f t="shared" si="43"/>
        <v>658.03278688524586</v>
      </c>
      <c r="AF26" s="342">
        <f t="shared" si="44"/>
        <v>674.35200000000009</v>
      </c>
      <c r="AG26" s="343"/>
      <c r="AH26" s="76">
        <f t="shared" si="45"/>
        <v>24.084000000000003</v>
      </c>
      <c r="AI26" s="76">
        <f t="shared" si="15"/>
        <v>80.28</v>
      </c>
      <c r="AJ26" s="76">
        <f>J26*Pricing!Q22</f>
        <v>2042.3398319999999</v>
      </c>
      <c r="AK26" s="76">
        <f>J26*Pricing!R22</f>
        <v>0</v>
      </c>
      <c r="AL26" s="76">
        <f t="shared" si="16"/>
        <v>4084.6796639999998</v>
      </c>
      <c r="AM26" s="77">
        <f t="shared" si="17"/>
        <v>0</v>
      </c>
      <c r="AN26" s="76">
        <f t="shared" si="18"/>
        <v>3267.7437311999997</v>
      </c>
      <c r="AO26" s="72">
        <f t="shared" si="19"/>
        <v>21902.395024359568</v>
      </c>
      <c r="AP26" s="74">
        <f t="shared" si="20"/>
        <v>27377.993780449462</v>
      </c>
      <c r="AQ26" s="74">
        <f t="shared" si="61"/>
        <v>0</v>
      </c>
      <c r="AR26" s="74">
        <f t="shared" si="22"/>
        <v>12986.430974504061</v>
      </c>
      <c r="AS26" s="72">
        <f t="shared" si="23"/>
        <v>68306.252912009033</v>
      </c>
      <c r="AT26" s="72">
        <f t="shared" si="24"/>
        <v>18000.15097450406</v>
      </c>
      <c r="AU26" s="78">
        <f t="shared" si="62"/>
        <v>1672.2548285492439</v>
      </c>
      <c r="AV26" s="79">
        <f t="shared" si="26"/>
        <v>1.7617198548440443E-2</v>
      </c>
      <c r="AW26" s="80">
        <f t="shared" si="27"/>
        <v>501.03430185350066</v>
      </c>
      <c r="AX26" s="81">
        <f t="shared" si="28"/>
        <v>1171.220526695743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DOOR</v>
      </c>
      <c r="D27" s="131" t="str">
        <f>Pricing!B23</f>
        <v>SW4</v>
      </c>
      <c r="E27" s="132" t="str">
        <f>Pricing!N23</f>
        <v>24MM</v>
      </c>
      <c r="F27" s="68">
        <f>Pricing!G23</f>
        <v>2948</v>
      </c>
      <c r="G27" s="68">
        <f>Pricing!H23</f>
        <v>2134</v>
      </c>
      <c r="H27" s="100">
        <f t="shared" si="0"/>
        <v>6.2910320000000004</v>
      </c>
      <c r="I27" s="70">
        <f>Pricing!I23</f>
        <v>1</v>
      </c>
      <c r="J27" s="69">
        <f t="shared" si="30"/>
        <v>6.2910320000000004</v>
      </c>
      <c r="K27" s="71">
        <f t="shared" si="31"/>
        <v>67.716668448000007</v>
      </c>
      <c r="L27" s="69"/>
      <c r="M27" s="72"/>
      <c r="N27" s="72"/>
      <c r="O27" s="72">
        <f t="shared" si="3"/>
        <v>0</v>
      </c>
      <c r="P27" s="73">
        <f>Pricing!M23</f>
        <v>37643.82</v>
      </c>
      <c r="Q27" s="74">
        <f t="shared" si="4"/>
        <v>3764.3820000000001</v>
      </c>
      <c r="R27" s="74">
        <f t="shared" si="5"/>
        <v>4554.9022199999999</v>
      </c>
      <c r="S27" s="74">
        <f t="shared" si="6"/>
        <v>229.81552109999998</v>
      </c>
      <c r="T27" s="74">
        <f t="shared" si="7"/>
        <v>461.9291974109999</v>
      </c>
      <c r="U27" s="72">
        <f t="shared" si="8"/>
        <v>46654.848938510993</v>
      </c>
      <c r="V27" s="74">
        <f t="shared" si="9"/>
        <v>699.8227340776649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18483.052016000001</v>
      </c>
      <c r="AE27" s="76">
        <f t="shared" si="43"/>
        <v>833.11475409836055</v>
      </c>
      <c r="AF27" s="342">
        <f t="shared" si="44"/>
        <v>853.77600000000007</v>
      </c>
      <c r="AG27" s="343"/>
      <c r="AH27" s="76">
        <f t="shared" si="45"/>
        <v>30.491999999999997</v>
      </c>
      <c r="AI27" s="76">
        <f t="shared" ref="AI27:AI32" si="64">(((F27+G27)*2*I27)/1000)*2*$AI$7</f>
        <v>101.64</v>
      </c>
      <c r="AJ27" s="76">
        <f>J27*Pricing!Q23</f>
        <v>3385.8334223999996</v>
      </c>
      <c r="AK27" s="76">
        <f>J27*Pricing!R23</f>
        <v>0</v>
      </c>
      <c r="AL27" s="76">
        <f t="shared" si="16"/>
        <v>6771.6668447999991</v>
      </c>
      <c r="AM27" s="77">
        <f t="shared" si="17"/>
        <v>0</v>
      </c>
      <c r="AN27" s="76">
        <f t="shared" si="18"/>
        <v>5417.3334758399997</v>
      </c>
      <c r="AO27" s="72">
        <f t="shared" si="19"/>
        <v>49173.694426687027</v>
      </c>
      <c r="AP27" s="74">
        <f t="shared" si="20"/>
        <v>61467.118033358784</v>
      </c>
      <c r="AQ27" s="74">
        <f t="shared" si="21"/>
        <v>0</v>
      </c>
      <c r="AR27" s="74">
        <f t="shared" si="22"/>
        <v>17587.06877664043</v>
      </c>
      <c r="AS27" s="72">
        <f t="shared" si="23"/>
        <v>144698.69821908581</v>
      </c>
      <c r="AT27" s="72">
        <f t="shared" si="24"/>
        <v>23000.788776640431</v>
      </c>
      <c r="AU27" s="78">
        <f t="shared" si="25"/>
        <v>2136.825415890044</v>
      </c>
      <c r="AV27" s="79">
        <f t="shared" si="26"/>
        <v>2.9206157917389345E-2</v>
      </c>
      <c r="AW27" s="80">
        <f t="shared" si="27"/>
        <v>699.30598710644733</v>
      </c>
      <c r="AX27" s="81">
        <f t="shared" si="28"/>
        <v>1437.5194287835961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SHUTTER SLIDING WINDOW</v>
      </c>
      <c r="D28" s="131" t="str">
        <f>Pricing!B24</f>
        <v>SW5</v>
      </c>
      <c r="E28" s="132" t="str">
        <f>Pricing!N24</f>
        <v>24MM</v>
      </c>
      <c r="F28" s="68">
        <f>Pricing!G24</f>
        <v>3302</v>
      </c>
      <c r="G28" s="68">
        <f>Pricing!H24</f>
        <v>1372</v>
      </c>
      <c r="H28" s="100">
        <f t="shared" si="0"/>
        <v>4.5303440000000004</v>
      </c>
      <c r="I28" s="70">
        <f>Pricing!I24</f>
        <v>1</v>
      </c>
      <c r="J28" s="69">
        <f t="shared" si="30"/>
        <v>4.5303440000000004</v>
      </c>
      <c r="K28" s="71">
        <f t="shared" si="31"/>
        <v>48.764622815999999</v>
      </c>
      <c r="L28" s="69"/>
      <c r="M28" s="72"/>
      <c r="N28" s="72"/>
      <c r="O28" s="72">
        <f t="shared" si="3"/>
        <v>0</v>
      </c>
      <c r="P28" s="73">
        <f>Pricing!M24</f>
        <v>31499.329999999998</v>
      </c>
      <c r="Q28" s="74">
        <f t="shared" si="4"/>
        <v>3149.933</v>
      </c>
      <c r="R28" s="74">
        <f t="shared" si="5"/>
        <v>3811.4189299999998</v>
      </c>
      <c r="S28" s="74">
        <f t="shared" si="6"/>
        <v>192.30340964999999</v>
      </c>
      <c r="T28" s="74">
        <f t="shared" si="7"/>
        <v>386.52985339649996</v>
      </c>
      <c r="U28" s="72">
        <f t="shared" si="8"/>
        <v>39039.5151930465</v>
      </c>
      <c r="V28" s="74">
        <f t="shared" si="9"/>
        <v>585.59272789569752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13310.150672000002</v>
      </c>
      <c r="AE28" s="76">
        <f t="shared" si="43"/>
        <v>766.22950819672133</v>
      </c>
      <c r="AF28" s="342">
        <f t="shared" si="44"/>
        <v>785.23200000000008</v>
      </c>
      <c r="AG28" s="343"/>
      <c r="AH28" s="76">
        <f t="shared" si="45"/>
        <v>28.044000000000004</v>
      </c>
      <c r="AI28" s="76">
        <f t="shared" si="64"/>
        <v>93.48</v>
      </c>
      <c r="AJ28" s="76">
        <f>J28*Pricing!Q24</f>
        <v>2438.2311408</v>
      </c>
      <c r="AK28" s="76">
        <f>J28*Pricing!R24</f>
        <v>0</v>
      </c>
      <c r="AL28" s="76">
        <f t="shared" si="16"/>
        <v>4876.4622816000001</v>
      </c>
      <c r="AM28" s="77">
        <f t="shared" si="17"/>
        <v>0</v>
      </c>
      <c r="AN28" s="76">
        <f t="shared" si="18"/>
        <v>3901.1698252799997</v>
      </c>
      <c r="AO28" s="72">
        <f t="shared" si="19"/>
        <v>41298.093429138913</v>
      </c>
      <c r="AP28" s="74">
        <f t="shared" si="20"/>
        <v>51622.616786423641</v>
      </c>
      <c r="AQ28" s="74">
        <f t="shared" si="21"/>
        <v>0</v>
      </c>
      <c r="AR28" s="74">
        <f t="shared" si="22"/>
        <v>20510.740512323686</v>
      </c>
      <c r="AS28" s="72">
        <f t="shared" si="23"/>
        <v>117446.72413524256</v>
      </c>
      <c r="AT28" s="72">
        <f t="shared" si="24"/>
        <v>25924.460512323691</v>
      </c>
      <c r="AU28" s="78">
        <f t="shared" si="25"/>
        <v>2408.4411475588713</v>
      </c>
      <c r="AV28" s="79">
        <f t="shared" si="26"/>
        <v>2.1032152162649514E-2</v>
      </c>
      <c r="AW28" s="80">
        <f t="shared" si="27"/>
        <v>812.57898929018131</v>
      </c>
      <c r="AX28" s="81">
        <f t="shared" si="28"/>
        <v>1595.8621582686899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</v>
      </c>
      <c r="D29" s="131" t="str">
        <f>Pricing!B25</f>
        <v>SW6</v>
      </c>
      <c r="E29" s="132" t="str">
        <f>Pricing!N25</f>
        <v>20MM</v>
      </c>
      <c r="F29" s="68">
        <f>Pricing!G25</f>
        <v>1322</v>
      </c>
      <c r="G29" s="68">
        <f>Pricing!H25</f>
        <v>1372</v>
      </c>
      <c r="H29" s="100">
        <f t="shared" si="0"/>
        <v>1.8137840000000001</v>
      </c>
      <c r="I29" s="70">
        <f>Pricing!I25</f>
        <v>1</v>
      </c>
      <c r="J29" s="69">
        <f t="shared" si="30"/>
        <v>1.8137840000000001</v>
      </c>
      <c r="K29" s="71">
        <f t="shared" si="31"/>
        <v>19.523570975999998</v>
      </c>
      <c r="L29" s="69"/>
      <c r="M29" s="72"/>
      <c r="N29" s="72"/>
      <c r="O29" s="72">
        <f t="shared" si="3"/>
        <v>0</v>
      </c>
      <c r="P29" s="73">
        <f>Pricing!M25</f>
        <v>12474.070000000002</v>
      </c>
      <c r="Q29" s="74">
        <f t="shared" si="4"/>
        <v>1247.4070000000002</v>
      </c>
      <c r="R29" s="74">
        <f t="shared" si="5"/>
        <v>1509.3624700000003</v>
      </c>
      <c r="S29" s="74">
        <f t="shared" si="6"/>
        <v>76.154197350000018</v>
      </c>
      <c r="T29" s="74">
        <f t="shared" si="7"/>
        <v>153.06993667350002</v>
      </c>
      <c r="U29" s="72">
        <f t="shared" si="8"/>
        <v>15460.063604023504</v>
      </c>
      <c r="V29" s="74">
        <f t="shared" si="9"/>
        <v>231.90095406035255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4603.3837920000005</v>
      </c>
      <c r="AE29" s="76">
        <f t="shared" si="43"/>
        <v>441.63934426229508</v>
      </c>
      <c r="AF29" s="342">
        <f t="shared" si="44"/>
        <v>452.59200000000004</v>
      </c>
      <c r="AG29" s="343"/>
      <c r="AH29" s="76">
        <f t="shared" si="45"/>
        <v>16.164000000000001</v>
      </c>
      <c r="AI29" s="76">
        <f t="shared" si="64"/>
        <v>53.879999999999995</v>
      </c>
      <c r="AJ29" s="76">
        <f>J29*Pricing!Q25</f>
        <v>976.17854879999993</v>
      </c>
      <c r="AK29" s="76">
        <f>J29*Pricing!R25</f>
        <v>0</v>
      </c>
      <c r="AL29" s="76">
        <f t="shared" si="16"/>
        <v>1952.3570975999999</v>
      </c>
      <c r="AM29" s="77">
        <f t="shared" si="17"/>
        <v>0</v>
      </c>
      <c r="AN29" s="76">
        <f t="shared" si="18"/>
        <v>1561.8856780799999</v>
      </c>
      <c r="AO29" s="72">
        <f t="shared" si="19"/>
        <v>16656.239902346151</v>
      </c>
      <c r="AP29" s="74">
        <f t="shared" si="20"/>
        <v>20820.299877932688</v>
      </c>
      <c r="AQ29" s="74">
        <f t="shared" si="21"/>
        <v>0</v>
      </c>
      <c r="AR29" s="74">
        <f t="shared" si="22"/>
        <v>20662.074304481037</v>
      </c>
      <c r="AS29" s="72">
        <f t="shared" si="23"/>
        <v>46570.344896758841</v>
      </c>
      <c r="AT29" s="72">
        <f t="shared" si="24"/>
        <v>25675.794304481042</v>
      </c>
      <c r="AU29" s="78">
        <f t="shared" si="25"/>
        <v>2385.3394931699222</v>
      </c>
      <c r="AV29" s="79">
        <f t="shared" si="26"/>
        <v>8.4205042880141304E-3</v>
      </c>
      <c r="AW29" s="80">
        <f t="shared" si="27"/>
        <v>803.74459044268735</v>
      </c>
      <c r="AX29" s="81">
        <f t="shared" si="28"/>
        <v>1581.5949027272347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4 SHUTTER SLIDING DOOR</v>
      </c>
      <c r="D30" s="131" t="str">
        <f>Pricing!B26</f>
        <v>SW7</v>
      </c>
      <c r="E30" s="132" t="str">
        <f>Pricing!N26</f>
        <v>24MM</v>
      </c>
      <c r="F30" s="68">
        <f>Pricing!G26</f>
        <v>3862</v>
      </c>
      <c r="G30" s="68">
        <f>Pricing!H26</f>
        <v>2134</v>
      </c>
      <c r="H30" s="100">
        <f t="shared" si="0"/>
        <v>8.2415079999999996</v>
      </c>
      <c r="I30" s="70">
        <f>Pricing!I26</f>
        <v>1</v>
      </c>
      <c r="J30" s="69">
        <f t="shared" si="30"/>
        <v>8.2415079999999996</v>
      </c>
      <c r="K30" s="71">
        <f t="shared" si="31"/>
        <v>88.711592111999991</v>
      </c>
      <c r="L30" s="69"/>
      <c r="M30" s="72"/>
      <c r="N30" s="72"/>
      <c r="O30" s="72">
        <f t="shared" si="3"/>
        <v>0</v>
      </c>
      <c r="P30" s="73">
        <f>Pricing!M26</f>
        <v>61854.090000000004</v>
      </c>
      <c r="Q30" s="74">
        <f t="shared" si="4"/>
        <v>6185.4090000000006</v>
      </c>
      <c r="R30" s="74">
        <f t="shared" si="5"/>
        <v>7484.3448900000012</v>
      </c>
      <c r="S30" s="74">
        <f t="shared" si="6"/>
        <v>377.61921945000012</v>
      </c>
      <c r="T30" s="74">
        <f t="shared" si="7"/>
        <v>759.01463109450026</v>
      </c>
      <c r="U30" s="72">
        <f t="shared" si="8"/>
        <v>76660.47774054452</v>
      </c>
      <c r="V30" s="74">
        <f t="shared" si="9"/>
        <v>1149.9071661081678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24213.550503999999</v>
      </c>
      <c r="AE30" s="76">
        <f t="shared" si="43"/>
        <v>982.95081967213116</v>
      </c>
      <c r="AF30" s="342">
        <f t="shared" si="44"/>
        <v>1007.3279999999999</v>
      </c>
      <c r="AG30" s="343"/>
      <c r="AH30" s="76">
        <f t="shared" si="45"/>
        <v>35.975999999999999</v>
      </c>
      <c r="AI30" s="76">
        <f t="shared" si="64"/>
        <v>119.92000000000002</v>
      </c>
      <c r="AJ30" s="76">
        <f>J30*Pricing!Q26</f>
        <v>4435.579605599999</v>
      </c>
      <c r="AK30" s="76">
        <f>J30*Pricing!R26</f>
        <v>0</v>
      </c>
      <c r="AL30" s="76">
        <f t="shared" si="16"/>
        <v>8871.159211199998</v>
      </c>
      <c r="AM30" s="77">
        <f t="shared" si="17"/>
        <v>0</v>
      </c>
      <c r="AN30" s="76">
        <f t="shared" si="18"/>
        <v>7096.9273689599986</v>
      </c>
      <c r="AO30" s="72">
        <f t="shared" si="19"/>
        <v>79956.55972632482</v>
      </c>
      <c r="AP30" s="74">
        <f t="shared" si="20"/>
        <v>99945.699657906021</v>
      </c>
      <c r="AQ30" s="74">
        <f t="shared" si="21"/>
        <v>0</v>
      </c>
      <c r="AR30" s="74">
        <f t="shared" si="22"/>
        <v>21828.803585973688</v>
      </c>
      <c r="AS30" s="72">
        <f t="shared" si="23"/>
        <v>224519.47607399081</v>
      </c>
      <c r="AT30" s="72">
        <f t="shared" si="24"/>
        <v>27242.523585973686</v>
      </c>
      <c r="AU30" s="78">
        <f t="shared" si="25"/>
        <v>2530.8921949065111</v>
      </c>
      <c r="AV30" s="79">
        <f t="shared" si="26"/>
        <v>3.8261255724883862E-2</v>
      </c>
      <c r="AW30" s="80">
        <f t="shared" si="27"/>
        <v>877.11631652846074</v>
      </c>
      <c r="AX30" s="81">
        <f t="shared" si="28"/>
        <v>1653.7758783780507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SHUTTER SLIDING DOOR</v>
      </c>
      <c r="D31" s="131" t="str">
        <f>Pricing!B27</f>
        <v>SW8</v>
      </c>
      <c r="E31" s="132" t="str">
        <f>Pricing!N27</f>
        <v>24MM</v>
      </c>
      <c r="F31" s="68">
        <f>Pricing!G27</f>
        <v>1372</v>
      </c>
      <c r="G31" s="68">
        <f>Pricing!H27</f>
        <v>2134</v>
      </c>
      <c r="H31" s="100">
        <f t="shared" si="0"/>
        <v>2.927848</v>
      </c>
      <c r="I31" s="70">
        <f>Pricing!I27</f>
        <v>1</v>
      </c>
      <c r="J31" s="69">
        <f t="shared" si="30"/>
        <v>2.927848</v>
      </c>
      <c r="K31" s="71">
        <f t="shared" si="31"/>
        <v>31.515355871999997</v>
      </c>
      <c r="L31" s="69"/>
      <c r="M31" s="72"/>
      <c r="N31" s="72"/>
      <c r="O31" s="72">
        <f t="shared" si="3"/>
        <v>0</v>
      </c>
      <c r="P31" s="73">
        <f>Pricing!M27</f>
        <v>28281.420000000002</v>
      </c>
      <c r="Q31" s="74">
        <f t="shared" si="4"/>
        <v>2828.1420000000003</v>
      </c>
      <c r="R31" s="74">
        <f t="shared" si="5"/>
        <v>3422.0518200000001</v>
      </c>
      <c r="S31" s="74">
        <f t="shared" si="6"/>
        <v>172.65806910000001</v>
      </c>
      <c r="T31" s="74">
        <f t="shared" si="7"/>
        <v>347.04271889099999</v>
      </c>
      <c r="U31" s="72">
        <f t="shared" si="8"/>
        <v>35051.314607991</v>
      </c>
      <c r="V31" s="74">
        <f t="shared" si="9"/>
        <v>525.76971911986493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8602.0174239999997</v>
      </c>
      <c r="AE31" s="76">
        <f t="shared" si="43"/>
        <v>574.75409836065569</v>
      </c>
      <c r="AF31" s="342">
        <f t="shared" si="44"/>
        <v>589.00799999999992</v>
      </c>
      <c r="AG31" s="343"/>
      <c r="AH31" s="76">
        <f t="shared" si="45"/>
        <v>21.035999999999998</v>
      </c>
      <c r="AI31" s="76">
        <f t="shared" si="64"/>
        <v>70.11999999999999</v>
      </c>
      <c r="AJ31" s="76">
        <f>J31*Pricing!Q27</f>
        <v>1575.7677935999998</v>
      </c>
      <c r="AK31" s="76">
        <f>J31*Pricing!R27</f>
        <v>0</v>
      </c>
      <c r="AL31" s="76">
        <f t="shared" si="16"/>
        <v>3151.5355871999996</v>
      </c>
      <c r="AM31" s="77">
        <f t="shared" si="17"/>
        <v>0</v>
      </c>
      <c r="AN31" s="76">
        <f t="shared" si="18"/>
        <v>2521.2284697599998</v>
      </c>
      <c r="AO31" s="72">
        <f t="shared" si="19"/>
        <v>36832.002425471524</v>
      </c>
      <c r="AP31" s="74">
        <f t="shared" si="20"/>
        <v>46040.003031839406</v>
      </c>
      <c r="AQ31" s="74">
        <f t="shared" si="21"/>
        <v>0</v>
      </c>
      <c r="AR31" s="74">
        <f t="shared" si="22"/>
        <v>28304.749924624139</v>
      </c>
      <c r="AS31" s="72">
        <f t="shared" si="23"/>
        <v>98722.554731870929</v>
      </c>
      <c r="AT31" s="72">
        <f t="shared" si="24"/>
        <v>33718.469924624136</v>
      </c>
      <c r="AU31" s="78">
        <f t="shared" si="25"/>
        <v>3132.5222895414472</v>
      </c>
      <c r="AV31" s="79">
        <f t="shared" si="26"/>
        <v>1.3592553820440358E-2</v>
      </c>
      <c r="AW31" s="80">
        <f t="shared" si="27"/>
        <v>1128.8809325716527</v>
      </c>
      <c r="AX31" s="81">
        <f t="shared" si="28"/>
        <v>2003.6413569697947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SHUTTER SLIDING WINDOW</v>
      </c>
      <c r="D32" s="131" t="str">
        <f>Pricing!B28</f>
        <v>SW9</v>
      </c>
      <c r="E32" s="132" t="str">
        <f>Pricing!N28</f>
        <v>20MM</v>
      </c>
      <c r="F32" s="68">
        <f>Pricing!G28</f>
        <v>1778</v>
      </c>
      <c r="G32" s="68">
        <f>Pricing!H28</f>
        <v>1372</v>
      </c>
      <c r="H32" s="100">
        <f t="shared" si="0"/>
        <v>2.439416</v>
      </c>
      <c r="I32" s="70">
        <f>Pricing!I28</f>
        <v>1</v>
      </c>
      <c r="J32" s="69">
        <f t="shared" si="30"/>
        <v>2.439416</v>
      </c>
      <c r="K32" s="71">
        <f t="shared" si="31"/>
        <v>26.257873823999997</v>
      </c>
      <c r="L32" s="69"/>
      <c r="M32" s="72"/>
      <c r="N32" s="72"/>
      <c r="O32" s="72">
        <f t="shared" si="3"/>
        <v>0</v>
      </c>
      <c r="P32" s="73">
        <f>Pricing!M28</f>
        <v>13686.7</v>
      </c>
      <c r="Q32" s="74">
        <f t="shared" si="4"/>
        <v>1368.67</v>
      </c>
      <c r="R32" s="74">
        <f t="shared" si="5"/>
        <v>1656.0907000000002</v>
      </c>
      <c r="S32" s="74">
        <f t="shared" si="6"/>
        <v>83.557303500000003</v>
      </c>
      <c r="T32" s="74">
        <f t="shared" si="7"/>
        <v>167.95018003500002</v>
      </c>
      <c r="U32" s="72">
        <f t="shared" si="8"/>
        <v>16962.968183535002</v>
      </c>
      <c r="V32" s="74">
        <f t="shared" si="9"/>
        <v>254.44452275302501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6191.2378079999999</v>
      </c>
      <c r="AE32" s="76">
        <f t="shared" si="43"/>
        <v>516.39344262295083</v>
      </c>
      <c r="AF32" s="342">
        <f t="shared" si="44"/>
        <v>529.19999999999993</v>
      </c>
      <c r="AG32" s="343"/>
      <c r="AH32" s="76">
        <f t="shared" si="45"/>
        <v>18.899999999999999</v>
      </c>
      <c r="AI32" s="76">
        <f t="shared" si="64"/>
        <v>63</v>
      </c>
      <c r="AJ32" s="76">
        <f>J32*Pricing!Q28</f>
        <v>1312.8936911999999</v>
      </c>
      <c r="AK32" s="76">
        <f>J32*Pricing!R28</f>
        <v>0</v>
      </c>
      <c r="AL32" s="76">
        <f t="shared" si="16"/>
        <v>2625.7873823999998</v>
      </c>
      <c r="AM32" s="77">
        <f t="shared" si="17"/>
        <v>0</v>
      </c>
      <c r="AN32" s="76">
        <f t="shared" si="18"/>
        <v>2100.6299059199996</v>
      </c>
      <c r="AO32" s="72">
        <f t="shared" si="19"/>
        <v>18344.906148910981</v>
      </c>
      <c r="AP32" s="74">
        <f t="shared" si="20"/>
        <v>22931.132686138728</v>
      </c>
      <c r="AQ32" s="74">
        <f t="shared" si="21"/>
        <v>0</v>
      </c>
      <c r="AR32" s="74">
        <f t="shared" si="22"/>
        <v>16920.459173445492</v>
      </c>
      <c r="AS32" s="72">
        <f t="shared" si="23"/>
        <v>53506.587622569707</v>
      </c>
      <c r="AT32" s="72">
        <f t="shared" si="24"/>
        <v>21934.179173445493</v>
      </c>
      <c r="AU32" s="78">
        <f t="shared" si="25"/>
        <v>2037.7349659462554</v>
      </c>
      <c r="AV32" s="79">
        <f t="shared" si="26"/>
        <v>1.1325005010657431E-2</v>
      </c>
      <c r="AW32" s="80">
        <f t="shared" si="27"/>
        <v>655.70475437927939</v>
      </c>
      <c r="AX32" s="81">
        <f t="shared" si="28"/>
        <v>1382.030211566976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4 SHUTTER SLIDING WINDOW</v>
      </c>
      <c r="D33" s="131" t="str">
        <f>Pricing!B29</f>
        <v>SW10</v>
      </c>
      <c r="E33" s="132" t="str">
        <f>Pricing!N29</f>
        <v>24MM</v>
      </c>
      <c r="F33" s="68">
        <f>Pricing!G29</f>
        <v>3862</v>
      </c>
      <c r="G33" s="68">
        <f>Pricing!H29</f>
        <v>1678</v>
      </c>
      <c r="H33" s="100">
        <f t="shared" si="0"/>
        <v>6.4804360000000001</v>
      </c>
      <c r="I33" s="70">
        <f>Pricing!I29</f>
        <v>1</v>
      </c>
      <c r="J33" s="69">
        <f t="shared" si="30"/>
        <v>6.4804360000000001</v>
      </c>
      <c r="K33" s="71">
        <f t="shared" si="31"/>
        <v>69.755413103999999</v>
      </c>
      <c r="L33" s="69"/>
      <c r="M33" s="72"/>
      <c r="N33" s="72"/>
      <c r="O33" s="72">
        <f t="shared" si="3"/>
        <v>0</v>
      </c>
      <c r="P33" s="73">
        <f>Pricing!M29</f>
        <v>54960.939999999995</v>
      </c>
      <c r="Q33" s="74">
        <f t="shared" ref="Q33:Q38" si="65">P33*$Q$6</f>
        <v>5496.0940000000001</v>
      </c>
      <c r="R33" s="74">
        <f t="shared" ref="R33:R38" si="66">(P33+Q33)*$R$6</f>
        <v>6650.2737399999996</v>
      </c>
      <c r="S33" s="74">
        <f t="shared" ref="S33:S38" si="67">(P33+Q33+R33)*$S$6</f>
        <v>335.53653869999994</v>
      </c>
      <c r="T33" s="74">
        <f t="shared" ref="T33:T38" si="68">(P33+Q33+R33+S33)*$T$6</f>
        <v>674.42844278699999</v>
      </c>
      <c r="U33" s="72">
        <f t="shared" ref="U33:U38" si="69">SUM(P33:T33)</f>
        <v>68117.272721486996</v>
      </c>
      <c r="V33" s="74">
        <f t="shared" ref="V33:V38" si="70">U33*$V$6</f>
        <v>1021.7590908223049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19039.520968000001</v>
      </c>
      <c r="AE33" s="76">
        <f t="shared" si="43"/>
        <v>908.19672131147547</v>
      </c>
      <c r="AF33" s="342">
        <f t="shared" si="44"/>
        <v>930.71999999999991</v>
      </c>
      <c r="AG33" s="343"/>
      <c r="AH33" s="76">
        <f t="shared" si="45"/>
        <v>33.24</v>
      </c>
      <c r="AI33" s="76">
        <f t="shared" si="15"/>
        <v>110.8</v>
      </c>
      <c r="AJ33" s="76">
        <f>J33*Pricing!Q29</f>
        <v>3487.7706551999995</v>
      </c>
      <c r="AK33" s="76">
        <f>J33*Pricing!R29</f>
        <v>0</v>
      </c>
      <c r="AL33" s="76">
        <f t="shared" si="16"/>
        <v>6975.541310399999</v>
      </c>
      <c r="AM33" s="77">
        <f t="shared" si="17"/>
        <v>0</v>
      </c>
      <c r="AN33" s="76">
        <f t="shared" si="18"/>
        <v>5580.4330483199992</v>
      </c>
      <c r="AO33" s="72">
        <f t="shared" si="19"/>
        <v>71121.988533620781</v>
      </c>
      <c r="AP33" s="74">
        <f t="shared" si="20"/>
        <v>88902.485667025976</v>
      </c>
      <c r="AQ33" s="74">
        <f t="shared" ref="AQ33:AQ38" si="76">(AO33+AP33)*$AQ$6</f>
        <v>0</v>
      </c>
      <c r="AR33" s="74">
        <f t="shared" si="22"/>
        <v>24693.473433060175</v>
      </c>
      <c r="AS33" s="72">
        <f t="shared" si="23"/>
        <v>195107.74018256675</v>
      </c>
      <c r="AT33" s="72">
        <f t="shared" si="24"/>
        <v>30107.193433060176</v>
      </c>
      <c r="AU33" s="78">
        <f t="shared" ref="AU33:AU38" si="77">AT33/10.764</f>
        <v>2797.0265173783146</v>
      </c>
      <c r="AV33" s="79">
        <f t="shared" si="26"/>
        <v>3.0085467247589093E-2</v>
      </c>
      <c r="AW33" s="80">
        <f t="shared" si="27"/>
        <v>991.16367799626221</v>
      </c>
      <c r="AX33" s="81">
        <f t="shared" si="28"/>
        <v>1805.8628393820525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SW11</v>
      </c>
      <c r="E34" s="132" t="str">
        <f>Pricing!N30</f>
        <v>24MM</v>
      </c>
      <c r="F34" s="68">
        <f>Pricing!G30</f>
        <v>3302</v>
      </c>
      <c r="G34" s="68">
        <f>Pricing!H30</f>
        <v>1830</v>
      </c>
      <c r="H34" s="100">
        <f t="shared" si="0"/>
        <v>6.0426599999999997</v>
      </c>
      <c r="I34" s="70">
        <f>Pricing!I30</f>
        <v>1</v>
      </c>
      <c r="J34" s="69">
        <f t="shared" si="30"/>
        <v>6.0426599999999997</v>
      </c>
      <c r="K34" s="71">
        <f t="shared" si="31"/>
        <v>65.043192239999996</v>
      </c>
      <c r="L34" s="69"/>
      <c r="M34" s="72"/>
      <c r="N34" s="72"/>
      <c r="O34" s="72">
        <f t="shared" si="3"/>
        <v>0</v>
      </c>
      <c r="P34" s="73">
        <f>Pricing!M30</f>
        <v>36251.909999999996</v>
      </c>
      <c r="Q34" s="74">
        <f t="shared" si="65"/>
        <v>3625.1909999999998</v>
      </c>
      <c r="R34" s="74">
        <f t="shared" si="66"/>
        <v>4386.4811099999997</v>
      </c>
      <c r="S34" s="74">
        <f t="shared" si="67"/>
        <v>221.31791054999999</v>
      </c>
      <c r="T34" s="74">
        <f t="shared" si="68"/>
        <v>444.84900020549998</v>
      </c>
      <c r="U34" s="72">
        <f t="shared" si="69"/>
        <v>44929.749020755495</v>
      </c>
      <c r="V34" s="74">
        <f t="shared" si="70"/>
        <v>673.94623531133243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17753.335080000001</v>
      </c>
      <c r="AE34" s="76">
        <f t="shared" si="43"/>
        <v>841.31147540983613</v>
      </c>
      <c r="AF34" s="342">
        <f t="shared" si="44"/>
        <v>862.17599999999993</v>
      </c>
      <c r="AG34" s="343"/>
      <c r="AH34" s="76">
        <f t="shared" si="45"/>
        <v>30.791999999999998</v>
      </c>
      <c r="AI34" s="76">
        <f t="shared" si="15"/>
        <v>102.63999999999999</v>
      </c>
      <c r="AJ34" s="76">
        <f>J34*Pricing!Q30</f>
        <v>3252.1596119999995</v>
      </c>
      <c r="AK34" s="76">
        <f>J34*Pricing!R30</f>
        <v>0</v>
      </c>
      <c r="AL34" s="76">
        <f t="shared" si="16"/>
        <v>6504.3192239999989</v>
      </c>
      <c r="AM34" s="77">
        <f t="shared" si="17"/>
        <v>0</v>
      </c>
      <c r="AN34" s="76">
        <f t="shared" si="18"/>
        <v>5203.4553791999988</v>
      </c>
      <c r="AO34" s="72">
        <f t="shared" si="19"/>
        <v>47440.614731476657</v>
      </c>
      <c r="AP34" s="74">
        <f t="shared" si="20"/>
        <v>59300.768414345817</v>
      </c>
      <c r="AQ34" s="74">
        <f t="shared" si="76"/>
        <v>0</v>
      </c>
      <c r="AR34" s="74">
        <f t="shared" si="22"/>
        <v>17664.634969669398</v>
      </c>
      <c r="AS34" s="72">
        <f t="shared" si="23"/>
        <v>139454.65244102245</v>
      </c>
      <c r="AT34" s="72">
        <f t="shared" si="24"/>
        <v>23078.354969669395</v>
      </c>
      <c r="AU34" s="78">
        <f t="shared" si="77"/>
        <v>2144.0314910506686</v>
      </c>
      <c r="AV34" s="79">
        <f t="shared" si="26"/>
        <v>2.8053089254845925E-2</v>
      </c>
      <c r="AW34" s="80">
        <f t="shared" si="27"/>
        <v>701.12941394075142</v>
      </c>
      <c r="AX34" s="81">
        <f t="shared" si="28"/>
        <v>1442.9020771099174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5 LEAF SLIDING FOLDING WINDOW</v>
      </c>
      <c r="D35" s="131" t="str">
        <f>Pricing!B31</f>
        <v>SFW1</v>
      </c>
      <c r="E35" s="132" t="str">
        <f>Pricing!N31</f>
        <v>24MM</v>
      </c>
      <c r="F35" s="68">
        <f>Pricing!G31</f>
        <v>4572</v>
      </c>
      <c r="G35" s="68">
        <f>Pricing!H31</f>
        <v>1830</v>
      </c>
      <c r="H35" s="100">
        <f t="shared" si="0"/>
        <v>8.3667599999999993</v>
      </c>
      <c r="I35" s="70">
        <f>Pricing!I31</f>
        <v>1</v>
      </c>
      <c r="J35" s="69">
        <f t="shared" si="30"/>
        <v>8.3667599999999993</v>
      </c>
      <c r="K35" s="71">
        <f t="shared" si="31"/>
        <v>90.059804639999982</v>
      </c>
      <c r="L35" s="69"/>
      <c r="M35" s="72"/>
      <c r="N35" s="72"/>
      <c r="O35" s="72">
        <f t="shared" si="3"/>
        <v>0</v>
      </c>
      <c r="P35" s="73">
        <f>Pricing!M31</f>
        <v>97603.85</v>
      </c>
      <c r="Q35" s="74">
        <f t="shared" si="65"/>
        <v>9760.3850000000002</v>
      </c>
      <c r="R35" s="74">
        <f t="shared" si="66"/>
        <v>11810.065850000001</v>
      </c>
      <c r="S35" s="74">
        <f t="shared" si="67"/>
        <v>595.87150425000004</v>
      </c>
      <c r="T35" s="74">
        <f t="shared" si="68"/>
        <v>1197.7017235425001</v>
      </c>
      <c r="U35" s="72">
        <f t="shared" si="69"/>
        <v>120967.8740777925</v>
      </c>
      <c r="V35" s="74">
        <f t="shared" si="70"/>
        <v>1814.5181111668874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24581.540879999997</v>
      </c>
      <c r="AE35" s="76">
        <f t="shared" si="43"/>
        <v>1049.5081967213114</v>
      </c>
      <c r="AF35" s="342">
        <f t="shared" si="44"/>
        <v>1075.5359999999998</v>
      </c>
      <c r="AG35" s="343"/>
      <c r="AH35" s="76">
        <f t="shared" si="45"/>
        <v>38.411999999999999</v>
      </c>
      <c r="AI35" s="76">
        <f t="shared" si="15"/>
        <v>128.04</v>
      </c>
      <c r="AJ35" s="76">
        <f>J35*Pricing!Q31</f>
        <v>0</v>
      </c>
      <c r="AK35" s="76">
        <f>J35*Pricing!R31</f>
        <v>0</v>
      </c>
      <c r="AL35" s="76">
        <f t="shared" si="16"/>
        <v>9005.9804639999984</v>
      </c>
      <c r="AM35" s="77">
        <f t="shared" si="17"/>
        <v>0</v>
      </c>
      <c r="AN35" s="76">
        <f t="shared" si="18"/>
        <v>7204.7843711999985</v>
      </c>
      <c r="AO35" s="72">
        <f t="shared" si="19"/>
        <v>125073.88838568069</v>
      </c>
      <c r="AP35" s="74">
        <f t="shared" si="20"/>
        <v>156342.36048210086</v>
      </c>
      <c r="AQ35" s="74">
        <f t="shared" si="76"/>
        <v>0</v>
      </c>
      <c r="AR35" s="74">
        <f t="shared" si="22"/>
        <v>33635.033019685223</v>
      </c>
      <c r="AS35" s="72">
        <f t="shared" si="23"/>
        <v>322208.55458298151</v>
      </c>
      <c r="AT35" s="72">
        <f t="shared" si="24"/>
        <v>38510.55301968522</v>
      </c>
      <c r="AU35" s="78">
        <f t="shared" si="77"/>
        <v>3577.7176718399501</v>
      </c>
      <c r="AV35" s="79">
        <f t="shared" si="26"/>
        <v>3.8842738968248199E-2</v>
      </c>
      <c r="AW35" s="80">
        <f t="shared" si="27"/>
        <v>1363.3428662183185</v>
      </c>
      <c r="AX35" s="81">
        <f t="shared" si="28"/>
        <v>2214.3748056216327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SIDE HUNG WITH FIXED GLASS</v>
      </c>
      <c r="D36" s="131" t="str">
        <f>Pricing!B32</f>
        <v>CW1-A</v>
      </c>
      <c r="E36" s="132" t="str">
        <f>Pricing!N32</f>
        <v>24MM</v>
      </c>
      <c r="F36" s="68">
        <f>Pricing!G32</f>
        <v>1728</v>
      </c>
      <c r="G36" s="68">
        <f>Pricing!H32</f>
        <v>1372</v>
      </c>
      <c r="H36" s="100">
        <f t="shared" si="0"/>
        <v>2.370816</v>
      </c>
      <c r="I36" s="70">
        <f>Pricing!I32</f>
        <v>1</v>
      </c>
      <c r="J36" s="69">
        <f t="shared" si="30"/>
        <v>2.370816</v>
      </c>
      <c r="K36" s="71">
        <f t="shared" si="31"/>
        <v>25.519463423999998</v>
      </c>
      <c r="L36" s="69"/>
      <c r="M36" s="72"/>
      <c r="N36" s="72"/>
      <c r="O36" s="72">
        <f>N36*M36*L36/1000000</f>
        <v>0</v>
      </c>
      <c r="P36" s="73">
        <f>Pricing!M32</f>
        <v>24783.800000000003</v>
      </c>
      <c r="Q36" s="74">
        <f t="shared" si="65"/>
        <v>2478.3800000000006</v>
      </c>
      <c r="R36" s="74">
        <f t="shared" si="66"/>
        <v>2998.8398000000007</v>
      </c>
      <c r="S36" s="74">
        <f t="shared" si="67"/>
        <v>151.30509900000004</v>
      </c>
      <c r="T36" s="74">
        <f t="shared" si="68"/>
        <v>304.12324899000009</v>
      </c>
      <c r="U36" s="72">
        <f t="shared" si="69"/>
        <v>30716.448147990006</v>
      </c>
      <c r="V36" s="74">
        <f t="shared" si="70"/>
        <v>460.74672221985008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6965.4574080000002</v>
      </c>
      <c r="AE36" s="76">
        <f t="shared" si="43"/>
        <v>508.19672131147541</v>
      </c>
      <c r="AF36" s="342">
        <f t="shared" si="44"/>
        <v>520.80000000000007</v>
      </c>
      <c r="AG36" s="343"/>
      <c r="AH36" s="76">
        <f t="shared" si="45"/>
        <v>18.600000000000001</v>
      </c>
      <c r="AI36" s="76">
        <f t="shared" si="15"/>
        <v>62</v>
      </c>
      <c r="AJ36" s="76">
        <f>J36*Pricing!Q32</f>
        <v>0</v>
      </c>
      <c r="AK36" s="76">
        <f>J36*Pricing!R32</f>
        <v>0</v>
      </c>
      <c r="AL36" s="76">
        <f t="shared" si="16"/>
        <v>2551.9463423999996</v>
      </c>
      <c r="AM36" s="77">
        <f t="shared" si="17"/>
        <v>0</v>
      </c>
      <c r="AN36" s="76">
        <f t="shared" si="18"/>
        <v>2041.5570739199998</v>
      </c>
      <c r="AO36" s="72">
        <f t="shared" si="19"/>
        <v>32286.791591521331</v>
      </c>
      <c r="AP36" s="74">
        <f t="shared" si="20"/>
        <v>40358.489489401662</v>
      </c>
      <c r="AQ36" s="74">
        <f t="shared" si="76"/>
        <v>0</v>
      </c>
      <c r="AR36" s="74">
        <f t="shared" si="22"/>
        <v>30641.467360150677</v>
      </c>
      <c r="AS36" s="72">
        <f t="shared" si="23"/>
        <v>84204.24190524299</v>
      </c>
      <c r="AT36" s="72">
        <f t="shared" si="24"/>
        <v>35516.987360150677</v>
      </c>
      <c r="AU36" s="78">
        <f t="shared" si="77"/>
        <v>3299.6086362087217</v>
      </c>
      <c r="AV36" s="79">
        <f t="shared" si="26"/>
        <v>1.1006529054227243E-2</v>
      </c>
      <c r="AW36" s="80">
        <f t="shared" si="27"/>
        <v>1221.7026021357876</v>
      </c>
      <c r="AX36" s="81">
        <f t="shared" si="28"/>
        <v>2077.9060340729343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3 TRACK 2 SHUTTER SLIDING WINDOW</v>
      </c>
      <c r="D37" s="131" t="str">
        <f>Pricing!B33</f>
        <v>CW1-B</v>
      </c>
      <c r="E37" s="132" t="str">
        <f>Pricing!N33</f>
        <v>24MM</v>
      </c>
      <c r="F37" s="68">
        <f>Pricing!G33</f>
        <v>2032</v>
      </c>
      <c r="G37" s="68">
        <f>Pricing!H33</f>
        <v>1372</v>
      </c>
      <c r="H37" s="100">
        <f t="shared" si="0"/>
        <v>2.7879040000000002</v>
      </c>
      <c r="I37" s="70">
        <f>Pricing!I33</f>
        <v>1</v>
      </c>
      <c r="J37" s="69">
        <f t="shared" si="30"/>
        <v>2.7879040000000002</v>
      </c>
      <c r="K37" s="71">
        <f t="shared" si="31"/>
        <v>30.008998655999999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23674.920000000002</v>
      </c>
      <c r="Q37" s="74">
        <f t="shared" si="65"/>
        <v>2367.4920000000002</v>
      </c>
      <c r="R37" s="74">
        <f t="shared" si="66"/>
        <v>2864.6653200000005</v>
      </c>
      <c r="S37" s="74">
        <f t="shared" si="67"/>
        <v>144.53538660000001</v>
      </c>
      <c r="T37" s="74">
        <f t="shared" si="68"/>
        <v>290.51612706600002</v>
      </c>
      <c r="U37" s="72">
        <f t="shared" si="69"/>
        <v>29342.128833666004</v>
      </c>
      <c r="V37" s="74">
        <f t="shared" si="70"/>
        <v>440.13193250499006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8190.8619520000002</v>
      </c>
      <c r="AE37" s="76">
        <f t="shared" si="43"/>
        <v>558.03278688524586</v>
      </c>
      <c r="AF37" s="342">
        <f t="shared" si="44"/>
        <v>571.87199999999996</v>
      </c>
      <c r="AG37" s="343"/>
      <c r="AH37" s="76">
        <f t="shared" si="45"/>
        <v>20.423999999999999</v>
      </c>
      <c r="AI37" s="76">
        <f t="shared" si="15"/>
        <v>68.08</v>
      </c>
      <c r="AJ37" s="76">
        <f>J37*Pricing!Q33</f>
        <v>1500.4499327999999</v>
      </c>
      <c r="AK37" s="76">
        <f>J37*Pricing!R33</f>
        <v>0</v>
      </c>
      <c r="AL37" s="76">
        <f t="shared" si="16"/>
        <v>3000.8998655999999</v>
      </c>
      <c r="AM37" s="77">
        <f t="shared" si="17"/>
        <v>0</v>
      </c>
      <c r="AN37" s="76">
        <f t="shared" si="18"/>
        <v>2400.71989248</v>
      </c>
      <c r="AO37" s="72">
        <f t="shared" si="19"/>
        <v>31000.669553056243</v>
      </c>
      <c r="AP37" s="74">
        <f t="shared" si="20"/>
        <v>38750.836941320304</v>
      </c>
      <c r="AQ37" s="74">
        <f t="shared" si="76"/>
        <v>0</v>
      </c>
      <c r="AR37" s="74">
        <f t="shared" si="22"/>
        <v>25019.335850293461</v>
      </c>
      <c r="AS37" s="72">
        <f t="shared" si="23"/>
        <v>84844.438137256555</v>
      </c>
      <c r="AT37" s="72">
        <f t="shared" si="24"/>
        <v>30433.055850293465</v>
      </c>
      <c r="AU37" s="78">
        <f t="shared" si="77"/>
        <v>2827.2998746092035</v>
      </c>
      <c r="AV37" s="79">
        <f t="shared" si="26"/>
        <v>1.2942862869322778E-2</v>
      </c>
      <c r="AW37" s="80">
        <f t="shared" si="27"/>
        <v>992.44433669952957</v>
      </c>
      <c r="AX37" s="81">
        <f t="shared" si="28"/>
        <v>1834.8555379096736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CW2-A</v>
      </c>
      <c r="E38" s="132" t="str">
        <f>Pricing!N34</f>
        <v>24MM</v>
      </c>
      <c r="F38" s="68">
        <f>Pricing!G34</f>
        <v>1524</v>
      </c>
      <c r="G38" s="68">
        <f>Pricing!H34</f>
        <v>1678</v>
      </c>
      <c r="H38" s="100">
        <f t="shared" si="0"/>
        <v>2.5572720000000002</v>
      </c>
      <c r="I38" s="70">
        <f>Pricing!I34</f>
        <v>2</v>
      </c>
      <c r="J38" s="69">
        <f t="shared" si="30"/>
        <v>5.1145440000000004</v>
      </c>
      <c r="K38" s="71">
        <f t="shared" si="31"/>
        <v>55.052951616000001</v>
      </c>
      <c r="L38" s="69"/>
      <c r="M38" s="72"/>
      <c r="N38" s="72"/>
      <c r="O38" s="72">
        <f t="shared" si="79"/>
        <v>0</v>
      </c>
      <c r="P38" s="73">
        <f>Pricing!M34</f>
        <v>49922.840000000004</v>
      </c>
      <c r="Q38" s="74">
        <f t="shared" si="65"/>
        <v>4992.2840000000006</v>
      </c>
      <c r="R38" s="74">
        <f t="shared" si="66"/>
        <v>6040.6636400000007</v>
      </c>
      <c r="S38" s="74">
        <f t="shared" si="67"/>
        <v>304.77893820000003</v>
      </c>
      <c r="T38" s="74">
        <f t="shared" si="68"/>
        <v>612.60566578199996</v>
      </c>
      <c r="U38" s="72">
        <f t="shared" si="69"/>
        <v>61873.172243982001</v>
      </c>
      <c r="V38" s="74">
        <f t="shared" si="70"/>
        <v>928.09758365972993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15026.530272000002</v>
      </c>
      <c r="AE38" s="76">
        <f t="shared" si="43"/>
        <v>1049.8360655737704</v>
      </c>
      <c r="AF38" s="342">
        <f t="shared" si="44"/>
        <v>1075.8719999999998</v>
      </c>
      <c r="AG38" s="343"/>
      <c r="AH38" s="76">
        <f t="shared" si="45"/>
        <v>38.423999999999999</v>
      </c>
      <c r="AI38" s="76">
        <f t="shared" si="15"/>
        <v>128.07999999999998</v>
      </c>
      <c r="AJ38" s="76">
        <f>J38*Pricing!Q34</f>
        <v>2752.6475808</v>
      </c>
      <c r="AK38" s="76">
        <f>J38*Pricing!R34</f>
        <v>0</v>
      </c>
      <c r="AL38" s="76">
        <f t="shared" si="16"/>
        <v>5505.2951616</v>
      </c>
      <c r="AM38" s="77">
        <f t="shared" si="17"/>
        <v>0</v>
      </c>
      <c r="AN38" s="76">
        <f t="shared" si="18"/>
        <v>4404.2361292799997</v>
      </c>
      <c r="AO38" s="72">
        <f t="shared" si="19"/>
        <v>65093.481893215503</v>
      </c>
      <c r="AP38" s="74">
        <f t="shared" si="20"/>
        <v>81366.852366519379</v>
      </c>
      <c r="AQ38" s="74">
        <f t="shared" si="76"/>
        <v>0</v>
      </c>
      <c r="AR38" s="74">
        <f t="shared" si="22"/>
        <v>28636.049325166601</v>
      </c>
      <c r="AS38" s="72">
        <f t="shared" si="23"/>
        <v>174149.04340341489</v>
      </c>
      <c r="AT38" s="72">
        <f t="shared" si="24"/>
        <v>34049.769325166599</v>
      </c>
      <c r="AU38" s="78">
        <f t="shared" si="77"/>
        <v>3163.3007548463956</v>
      </c>
      <c r="AV38" s="79">
        <f t="shared" si="26"/>
        <v>2.3744304549624951E-2</v>
      </c>
      <c r="AW38" s="80">
        <f t="shared" si="27"/>
        <v>1140.7430116678765</v>
      </c>
      <c r="AX38" s="81">
        <f t="shared" si="28"/>
        <v>2022.5577431785186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FIXED GLASS CORNOR WINDOW</v>
      </c>
      <c r="D39" s="131" t="str">
        <f>Pricing!B35</f>
        <v>CW2-B</v>
      </c>
      <c r="E39" s="132" t="str">
        <f>Pricing!N35</f>
        <v>24MM</v>
      </c>
      <c r="F39" s="68">
        <f>Pricing!G35</f>
        <v>2924</v>
      </c>
      <c r="G39" s="68">
        <f>Pricing!H35</f>
        <v>1678</v>
      </c>
      <c r="H39" s="100">
        <f t="shared" si="0"/>
        <v>4.9064719999999999</v>
      </c>
      <c r="I39" s="70">
        <f>Pricing!I35</f>
        <v>2</v>
      </c>
      <c r="J39" s="69">
        <f t="shared" si="30"/>
        <v>9.8129439999999999</v>
      </c>
      <c r="K39" s="71">
        <f t="shared" si="31"/>
        <v>105.62652921599999</v>
      </c>
      <c r="L39" s="69"/>
      <c r="M39" s="72"/>
      <c r="N39" s="72"/>
      <c r="O39" s="72">
        <f t="shared" si="79"/>
        <v>0</v>
      </c>
      <c r="P39" s="73">
        <f>Pricing!M35</f>
        <v>13035.98</v>
      </c>
      <c r="Q39" s="74">
        <f t="shared" si="4"/>
        <v>1303.598</v>
      </c>
      <c r="R39" s="74">
        <f t="shared" si="5"/>
        <v>1577.35358</v>
      </c>
      <c r="S39" s="74">
        <f t="shared" si="6"/>
        <v>79.58465790000001</v>
      </c>
      <c r="T39" s="74">
        <f t="shared" si="7"/>
        <v>159.96516237900002</v>
      </c>
      <c r="U39" s="72">
        <f t="shared" si="8"/>
        <v>16156.481400279001</v>
      </c>
      <c r="V39" s="74">
        <f t="shared" si="9"/>
        <v>242.347221004185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28830.429472</v>
      </c>
      <c r="AE39" s="76">
        <f t="shared" si="43"/>
        <v>1508.8524590163936</v>
      </c>
      <c r="AF39" s="342">
        <f t="shared" si="44"/>
        <v>1546.2720000000002</v>
      </c>
      <c r="AG39" s="343"/>
      <c r="AH39" s="76">
        <f t="shared" si="45"/>
        <v>55.224000000000004</v>
      </c>
      <c r="AI39" s="76">
        <f t="shared" ref="AI39:AI44" si="80">(((F39+G39)*2*I39)/1000)*2*$AI$7</f>
        <v>184.08</v>
      </c>
      <c r="AJ39" s="76">
        <f>J39*Pricing!Q35</f>
        <v>0</v>
      </c>
      <c r="AK39" s="76">
        <f>J39*Pricing!R35</f>
        <v>0</v>
      </c>
      <c r="AL39" s="76">
        <f t="shared" si="16"/>
        <v>10562.652921599998</v>
      </c>
      <c r="AM39" s="77">
        <f t="shared" si="17"/>
        <v>0</v>
      </c>
      <c r="AN39" s="76">
        <f t="shared" si="18"/>
        <v>8450.1223372799996</v>
      </c>
      <c r="AO39" s="72">
        <f t="shared" si="19"/>
        <v>19693.25708029958</v>
      </c>
      <c r="AP39" s="74">
        <f t="shared" si="20"/>
        <v>24616.571350374474</v>
      </c>
      <c r="AQ39" s="74">
        <f t="shared" si="21"/>
        <v>0</v>
      </c>
      <c r="AR39" s="74">
        <f t="shared" si="22"/>
        <v>4515.4469882508301</v>
      </c>
      <c r="AS39" s="72">
        <f t="shared" si="23"/>
        <v>92153.033161554064</v>
      </c>
      <c r="AT39" s="72">
        <f t="shared" si="24"/>
        <v>9390.9669882508315</v>
      </c>
      <c r="AU39" s="78">
        <f t="shared" si="25"/>
        <v>872.4421207962497</v>
      </c>
      <c r="AV39" s="79">
        <f t="shared" si="26"/>
        <v>4.5556657810435268E-2</v>
      </c>
      <c r="AW39" s="80">
        <f t="shared" si="27"/>
        <v>155.25293449478542</v>
      </c>
      <c r="AX39" s="81">
        <f t="shared" si="28"/>
        <v>717.18918630146425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3 TRACK 2 SHUTTER SLIDING WINDOW</v>
      </c>
      <c r="D40" s="131" t="str">
        <f>Pricing!B36</f>
        <v>CW2-C</v>
      </c>
      <c r="E40" s="132" t="str">
        <f>Pricing!N36</f>
        <v>24MM</v>
      </c>
      <c r="F40" s="68">
        <f>Pricing!G36</f>
        <v>1830</v>
      </c>
      <c r="G40" s="68">
        <f>Pricing!H36</f>
        <v>1678</v>
      </c>
      <c r="H40" s="100">
        <f t="shared" si="0"/>
        <v>3.0707399999999998</v>
      </c>
      <c r="I40" s="70">
        <f>Pricing!I36</f>
        <v>2</v>
      </c>
      <c r="J40" s="69">
        <f t="shared" si="30"/>
        <v>6.1414799999999996</v>
      </c>
      <c r="K40" s="71">
        <f t="shared" si="31"/>
        <v>66.106890719999996</v>
      </c>
      <c r="L40" s="69"/>
      <c r="M40" s="72"/>
      <c r="N40" s="72"/>
      <c r="O40" s="72">
        <f t="shared" si="79"/>
        <v>0</v>
      </c>
      <c r="P40" s="73">
        <f>Pricing!M36</f>
        <v>52849.42</v>
      </c>
      <c r="Q40" s="74">
        <f t="shared" si="4"/>
        <v>5284.942</v>
      </c>
      <c r="R40" s="74">
        <f t="shared" si="5"/>
        <v>6394.7798199999997</v>
      </c>
      <c r="S40" s="74">
        <f t="shared" si="6"/>
        <v>322.64570910000003</v>
      </c>
      <c r="T40" s="74">
        <f t="shared" si="7"/>
        <v>648.517875291</v>
      </c>
      <c r="U40" s="72">
        <f t="shared" si="8"/>
        <v>65500.305404391002</v>
      </c>
      <c r="V40" s="74">
        <f t="shared" si="9"/>
        <v>982.50458106586495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18043.668239999999</v>
      </c>
      <c r="AE40" s="76">
        <f t="shared" si="43"/>
        <v>1150.1639344262296</v>
      </c>
      <c r="AF40" s="342">
        <f t="shared" si="44"/>
        <v>1178.6880000000001</v>
      </c>
      <c r="AG40" s="343"/>
      <c r="AH40" s="76">
        <f t="shared" si="45"/>
        <v>42.096000000000004</v>
      </c>
      <c r="AI40" s="76">
        <f t="shared" si="80"/>
        <v>140.32</v>
      </c>
      <c r="AJ40" s="76">
        <f>J40*Pricing!Q36</f>
        <v>3305.3445359999992</v>
      </c>
      <c r="AK40" s="76">
        <f>J40*Pricing!R36</f>
        <v>0</v>
      </c>
      <c r="AL40" s="76">
        <f t="shared" ref="AL40:AL89" si="81">J40*$AL$6</f>
        <v>6610.6890719999983</v>
      </c>
      <c r="AM40" s="77">
        <f t="shared" ref="AM40:AM89" si="82">$AM$6*J40</f>
        <v>0</v>
      </c>
      <c r="AN40" s="76">
        <f t="shared" ref="AN40:AN89" si="83">$AN$6*J40</f>
        <v>5288.5512575999992</v>
      </c>
      <c r="AO40" s="72">
        <f t="shared" ref="AO40:AO89" si="84">SUM(U40:V40)+SUM(AC40:AI40)-AD40</f>
        <v>68994.077919883101</v>
      </c>
      <c r="AP40" s="74">
        <f t="shared" ref="AP40:AP89" si="85">AO40*$AP$6</f>
        <v>86242.597399853868</v>
      </c>
      <c r="AQ40" s="74">
        <f t="shared" si="21"/>
        <v>0</v>
      </c>
      <c r="AR40" s="74">
        <f t="shared" ref="AR40:AR57" si="86">SUM(AO40:AQ40)/J40</f>
        <v>25276.753375365057</v>
      </c>
      <c r="AS40" s="72">
        <f t="shared" ref="AS40:AS57" si="87">SUM(AJ40:AQ40)+AD40+AB40</f>
        <v>188484.92842533698</v>
      </c>
      <c r="AT40" s="72">
        <f t="shared" ref="AT40:AT89" si="88">AS40/J40</f>
        <v>30690.473375365058</v>
      </c>
      <c r="AU40" s="78">
        <f t="shared" si="25"/>
        <v>2851.2145462063413</v>
      </c>
      <c r="AV40" s="79">
        <f t="shared" ref="AV40:AV71" si="89">K40/$K$109</f>
        <v>2.8511861762344919E-2</v>
      </c>
      <c r="AW40" s="80">
        <f t="shared" ref="AW40:AW89" si="90">(U40+V40)/(J40*10.764)</f>
        <v>1005.6865367794881</v>
      </c>
      <c r="AX40" s="81">
        <f t="shared" ref="AX40:AX89" si="91">SUM(W40:AN40,AP40)/(J40*10.764)</f>
        <v>1845.528009426853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3 TRACK 2 SHUTTER SLIDING WINDOW</v>
      </c>
      <c r="D41" s="131" t="str">
        <f>Pricing!B37</f>
        <v>CW3-A</v>
      </c>
      <c r="E41" s="132" t="str">
        <f>Pricing!N37</f>
        <v>24MM</v>
      </c>
      <c r="F41" s="68">
        <f>Pricing!G37</f>
        <v>1830</v>
      </c>
      <c r="G41" s="68">
        <f>Pricing!H37</f>
        <v>1678</v>
      </c>
      <c r="H41" s="100">
        <f t="shared" si="0"/>
        <v>3.0707399999999998</v>
      </c>
      <c r="I41" s="70">
        <f>Pricing!I37</f>
        <v>2</v>
      </c>
      <c r="J41" s="69">
        <f t="shared" si="30"/>
        <v>6.1414799999999996</v>
      </c>
      <c r="K41" s="71">
        <f t="shared" si="31"/>
        <v>66.106890719999996</v>
      </c>
      <c r="L41" s="69"/>
      <c r="M41" s="72"/>
      <c r="N41" s="72"/>
      <c r="O41" s="72">
        <f t="shared" si="79"/>
        <v>0</v>
      </c>
      <c r="P41" s="73">
        <f>Pricing!M37</f>
        <v>52849.42</v>
      </c>
      <c r="Q41" s="74">
        <f t="shared" si="4"/>
        <v>5284.942</v>
      </c>
      <c r="R41" s="74">
        <f t="shared" si="5"/>
        <v>6394.7798199999997</v>
      </c>
      <c r="S41" s="74">
        <f t="shared" si="6"/>
        <v>322.64570910000003</v>
      </c>
      <c r="T41" s="74">
        <f t="shared" si="7"/>
        <v>648.517875291</v>
      </c>
      <c r="U41" s="72">
        <f t="shared" si="8"/>
        <v>65500.305404391002</v>
      </c>
      <c r="V41" s="74">
        <f t="shared" si="9"/>
        <v>982.50458106586495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18043.668239999999</v>
      </c>
      <c r="AE41" s="76">
        <f t="shared" si="43"/>
        <v>1150.1639344262296</v>
      </c>
      <c r="AF41" s="342">
        <f t="shared" si="44"/>
        <v>1178.6880000000001</v>
      </c>
      <c r="AG41" s="343"/>
      <c r="AH41" s="76">
        <f t="shared" si="45"/>
        <v>42.096000000000004</v>
      </c>
      <c r="AI41" s="76">
        <f t="shared" si="80"/>
        <v>140.32</v>
      </c>
      <c r="AJ41" s="76">
        <f>J41*Pricing!Q37</f>
        <v>3305.3445359999992</v>
      </c>
      <c r="AK41" s="76">
        <f>J41*Pricing!R37</f>
        <v>0</v>
      </c>
      <c r="AL41" s="76">
        <f t="shared" si="81"/>
        <v>6610.6890719999983</v>
      </c>
      <c r="AM41" s="77">
        <f t="shared" si="82"/>
        <v>0</v>
      </c>
      <c r="AN41" s="76">
        <f t="shared" si="83"/>
        <v>5288.5512575999992</v>
      </c>
      <c r="AO41" s="72">
        <f t="shared" si="84"/>
        <v>68994.077919883101</v>
      </c>
      <c r="AP41" s="74">
        <f t="shared" si="85"/>
        <v>86242.597399853868</v>
      </c>
      <c r="AQ41" s="74">
        <f t="shared" si="21"/>
        <v>0</v>
      </c>
      <c r="AR41" s="74">
        <f t="shared" si="86"/>
        <v>25276.753375365057</v>
      </c>
      <c r="AS41" s="72">
        <f t="shared" si="87"/>
        <v>188484.92842533698</v>
      </c>
      <c r="AT41" s="72">
        <f t="shared" si="88"/>
        <v>30690.473375365058</v>
      </c>
      <c r="AU41" s="78">
        <f t="shared" si="25"/>
        <v>2851.2145462063413</v>
      </c>
      <c r="AV41" s="79">
        <f t="shared" si="89"/>
        <v>2.8511861762344919E-2</v>
      </c>
      <c r="AW41" s="80">
        <f t="shared" si="90"/>
        <v>1005.6865367794881</v>
      </c>
      <c r="AX41" s="81">
        <f t="shared" si="91"/>
        <v>1845.528009426853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FIXED GLASS CORNOR WINDOW</v>
      </c>
      <c r="D42" s="131" t="str">
        <f>Pricing!B38</f>
        <v>CW3-B</v>
      </c>
      <c r="E42" s="132" t="str">
        <f>Pricing!N38</f>
        <v>24MM</v>
      </c>
      <c r="F42" s="68">
        <f>Pricing!G38</f>
        <v>2694</v>
      </c>
      <c r="G42" s="68">
        <f>Pricing!H38</f>
        <v>1678</v>
      </c>
      <c r="H42" s="100">
        <f t="shared" si="0"/>
        <v>4.5205320000000002</v>
      </c>
      <c r="I42" s="70">
        <f>Pricing!I38</f>
        <v>2</v>
      </c>
      <c r="J42" s="69">
        <f t="shared" si="30"/>
        <v>9.0410640000000004</v>
      </c>
      <c r="K42" s="71">
        <f t="shared" si="31"/>
        <v>97.318012895999999</v>
      </c>
      <c r="L42" s="69"/>
      <c r="M42" s="72"/>
      <c r="N42" s="72"/>
      <c r="O42" s="72">
        <f t="shared" si="79"/>
        <v>0</v>
      </c>
      <c r="P42" s="73">
        <f>Pricing!M38</f>
        <v>12501.460000000001</v>
      </c>
      <c r="Q42" s="74">
        <f t="shared" si="4"/>
        <v>1250.1460000000002</v>
      </c>
      <c r="R42" s="74">
        <f t="shared" si="5"/>
        <v>1512.6766600000001</v>
      </c>
      <c r="S42" s="74">
        <f t="shared" si="6"/>
        <v>76.321413300000003</v>
      </c>
      <c r="T42" s="74">
        <f t="shared" si="7"/>
        <v>153.40604073300003</v>
      </c>
      <c r="U42" s="72">
        <f t="shared" si="8"/>
        <v>15494.010114033001</v>
      </c>
      <c r="V42" s="74">
        <f t="shared" si="9"/>
        <v>232.410151710495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26562.646032000001</v>
      </c>
      <c r="AE42" s="76">
        <f t="shared" si="43"/>
        <v>1433.4426229508197</v>
      </c>
      <c r="AF42" s="342">
        <f t="shared" si="44"/>
        <v>1468.992</v>
      </c>
      <c r="AG42" s="343"/>
      <c r="AH42" s="76">
        <f t="shared" si="45"/>
        <v>52.463999999999999</v>
      </c>
      <c r="AI42" s="76">
        <f t="shared" si="80"/>
        <v>174.88</v>
      </c>
      <c r="AJ42" s="76">
        <f>J42*Pricing!Q38</f>
        <v>0</v>
      </c>
      <c r="AK42" s="76">
        <f>J42*Pricing!R38</f>
        <v>0</v>
      </c>
      <c r="AL42" s="76">
        <f t="shared" si="81"/>
        <v>9731.8012896</v>
      </c>
      <c r="AM42" s="77">
        <f t="shared" si="82"/>
        <v>0</v>
      </c>
      <c r="AN42" s="76">
        <f t="shared" si="83"/>
        <v>7785.4410316799995</v>
      </c>
      <c r="AO42" s="72">
        <f t="shared" si="84"/>
        <v>18856.198888694318</v>
      </c>
      <c r="AP42" s="74">
        <f t="shared" si="85"/>
        <v>23570.248610867897</v>
      </c>
      <c r="AQ42" s="74">
        <f t="shared" si="21"/>
        <v>0</v>
      </c>
      <c r="AR42" s="74">
        <f t="shared" si="86"/>
        <v>4692.6387756531985</v>
      </c>
      <c r="AS42" s="72">
        <f t="shared" si="87"/>
        <v>86506.335852842225</v>
      </c>
      <c r="AT42" s="72">
        <f t="shared" si="88"/>
        <v>9568.158775653199</v>
      </c>
      <c r="AU42" s="78">
        <f t="shared" si="25"/>
        <v>888.90363950698622</v>
      </c>
      <c r="AV42" s="79">
        <f t="shared" si="89"/>
        <v>4.197319977473072E-2</v>
      </c>
      <c r="AW42" s="80">
        <f t="shared" si="90"/>
        <v>161.59824679681566</v>
      </c>
      <c r="AX42" s="81">
        <f t="shared" si="91"/>
        <v>727.30539271017051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3 TRACK 2 SHUTTER SLIDING WINDOW</v>
      </c>
      <c r="D43" s="131" t="str">
        <f>Pricing!B39</f>
        <v>CW3-C</v>
      </c>
      <c r="E43" s="132" t="str">
        <f>Pricing!N39</f>
        <v>24MM</v>
      </c>
      <c r="F43" s="68">
        <f>Pricing!G39</f>
        <v>1830</v>
      </c>
      <c r="G43" s="68">
        <f>Pricing!H39</f>
        <v>1678</v>
      </c>
      <c r="H43" s="100">
        <f t="shared" si="0"/>
        <v>3.0707399999999998</v>
      </c>
      <c r="I43" s="70">
        <f>Pricing!I39</f>
        <v>2</v>
      </c>
      <c r="J43" s="69">
        <f t="shared" si="30"/>
        <v>6.1414799999999996</v>
      </c>
      <c r="K43" s="71">
        <f t="shared" si="31"/>
        <v>66.106890719999996</v>
      </c>
      <c r="L43" s="69"/>
      <c r="M43" s="72"/>
      <c r="N43" s="72"/>
      <c r="O43" s="72">
        <f t="shared" si="79"/>
        <v>0</v>
      </c>
      <c r="P43" s="73">
        <f>Pricing!M39</f>
        <v>52849.42</v>
      </c>
      <c r="Q43" s="74">
        <f t="shared" si="4"/>
        <v>5284.942</v>
      </c>
      <c r="R43" s="74">
        <f t="shared" si="5"/>
        <v>6394.7798199999997</v>
      </c>
      <c r="S43" s="74">
        <f t="shared" si="6"/>
        <v>322.64570910000003</v>
      </c>
      <c r="T43" s="74">
        <f t="shared" si="7"/>
        <v>648.517875291</v>
      </c>
      <c r="U43" s="72">
        <f t="shared" si="8"/>
        <v>65500.305404391002</v>
      </c>
      <c r="V43" s="74">
        <f t="shared" si="9"/>
        <v>982.50458106586495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18043.668239999999</v>
      </c>
      <c r="AE43" s="76">
        <f t="shared" si="43"/>
        <v>1150.1639344262296</v>
      </c>
      <c r="AF43" s="342">
        <f t="shared" si="44"/>
        <v>1178.6880000000001</v>
      </c>
      <c r="AG43" s="343"/>
      <c r="AH43" s="76">
        <f t="shared" si="45"/>
        <v>42.096000000000004</v>
      </c>
      <c r="AI43" s="76">
        <f t="shared" si="80"/>
        <v>140.32</v>
      </c>
      <c r="AJ43" s="76">
        <f>J43*Pricing!Q39</f>
        <v>3305.3445359999992</v>
      </c>
      <c r="AK43" s="76">
        <f>J43*Pricing!R39</f>
        <v>0</v>
      </c>
      <c r="AL43" s="76">
        <f t="shared" si="81"/>
        <v>6610.6890719999983</v>
      </c>
      <c r="AM43" s="77">
        <f t="shared" si="82"/>
        <v>0</v>
      </c>
      <c r="AN43" s="76">
        <f t="shared" si="83"/>
        <v>5288.5512575999992</v>
      </c>
      <c r="AO43" s="72">
        <f t="shared" si="84"/>
        <v>68994.077919883101</v>
      </c>
      <c r="AP43" s="74">
        <f t="shared" si="85"/>
        <v>86242.597399853868</v>
      </c>
      <c r="AQ43" s="74">
        <f t="shared" si="21"/>
        <v>0</v>
      </c>
      <c r="AR43" s="74">
        <f t="shared" si="86"/>
        <v>25276.753375365057</v>
      </c>
      <c r="AS43" s="72">
        <f t="shared" si="87"/>
        <v>188484.92842533698</v>
      </c>
      <c r="AT43" s="72">
        <f t="shared" si="88"/>
        <v>30690.473375365058</v>
      </c>
      <c r="AU43" s="78">
        <f t="shared" si="25"/>
        <v>2851.2145462063413</v>
      </c>
      <c r="AV43" s="79">
        <f t="shared" si="89"/>
        <v>2.8511861762344919E-2</v>
      </c>
      <c r="AW43" s="80">
        <f t="shared" si="90"/>
        <v>1005.6865367794881</v>
      </c>
      <c r="AX43" s="81">
        <f t="shared" si="91"/>
        <v>1845.528009426853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3 TRACK 2 SHUTTER SLIDING WINDOW</v>
      </c>
      <c r="D44" s="131" t="str">
        <f>Pricing!B40</f>
        <v>CW4-A</v>
      </c>
      <c r="E44" s="132" t="str">
        <f>Pricing!N40</f>
        <v>24MM</v>
      </c>
      <c r="F44" s="68">
        <f>Pricing!G40</f>
        <v>2694</v>
      </c>
      <c r="G44" s="68">
        <f>Pricing!H40</f>
        <v>1678</v>
      </c>
      <c r="H44" s="100">
        <f t="shared" si="0"/>
        <v>4.5205320000000002</v>
      </c>
      <c r="I44" s="70">
        <f>Pricing!I40</f>
        <v>1</v>
      </c>
      <c r="J44" s="69">
        <f t="shared" si="30"/>
        <v>4.5205320000000002</v>
      </c>
      <c r="K44" s="71">
        <f t="shared" si="31"/>
        <v>48.659006448</v>
      </c>
      <c r="L44" s="69"/>
      <c r="M44" s="72"/>
      <c r="N44" s="72"/>
      <c r="O44" s="72">
        <f t="shared" si="79"/>
        <v>0</v>
      </c>
      <c r="P44" s="73">
        <f>Pricing!M40</f>
        <v>63123.159999999996</v>
      </c>
      <c r="Q44" s="74">
        <f t="shared" si="4"/>
        <v>6312.3159999999998</v>
      </c>
      <c r="R44" s="74">
        <f t="shared" si="5"/>
        <v>7637.9023599999991</v>
      </c>
      <c r="S44" s="74">
        <f t="shared" si="6"/>
        <v>385.36689179999996</v>
      </c>
      <c r="T44" s="74">
        <f t="shared" si="7"/>
        <v>774.58745251799996</v>
      </c>
      <c r="U44" s="72">
        <f t="shared" si="8"/>
        <v>78233.332704317989</v>
      </c>
      <c r="V44" s="74">
        <f t="shared" si="9"/>
        <v>1173.4999905647699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13281.323016</v>
      </c>
      <c r="AE44" s="76">
        <f t="shared" si="43"/>
        <v>716.72131147540983</v>
      </c>
      <c r="AF44" s="342">
        <f t="shared" si="44"/>
        <v>734.49599999999998</v>
      </c>
      <c r="AG44" s="343"/>
      <c r="AH44" s="76">
        <f t="shared" si="45"/>
        <v>26.231999999999999</v>
      </c>
      <c r="AI44" s="76">
        <f t="shared" si="80"/>
        <v>87.44</v>
      </c>
      <c r="AJ44" s="76">
        <f>J44*Pricing!Q40</f>
        <v>2432.9503224</v>
      </c>
      <c r="AK44" s="76">
        <f>J44*Pricing!R40</f>
        <v>0</v>
      </c>
      <c r="AL44" s="76">
        <f t="shared" si="81"/>
        <v>4865.9006448</v>
      </c>
      <c r="AM44" s="77">
        <f t="shared" si="82"/>
        <v>0</v>
      </c>
      <c r="AN44" s="76">
        <f t="shared" si="83"/>
        <v>3892.7205158399997</v>
      </c>
      <c r="AO44" s="72">
        <f t="shared" si="84"/>
        <v>80971.722006358177</v>
      </c>
      <c r="AP44" s="74">
        <f t="shared" si="85"/>
        <v>101214.65250794773</v>
      </c>
      <c r="AQ44" s="74">
        <f t="shared" si="21"/>
        <v>0</v>
      </c>
      <c r="AR44" s="74">
        <f t="shared" si="86"/>
        <v>40301.976518318173</v>
      </c>
      <c r="AS44" s="72">
        <f t="shared" si="87"/>
        <v>206659.26901334591</v>
      </c>
      <c r="AT44" s="72">
        <f t="shared" si="88"/>
        <v>45715.696518318175</v>
      </c>
      <c r="AU44" s="78">
        <f t="shared" si="25"/>
        <v>4247.0918355925469</v>
      </c>
      <c r="AV44" s="79">
        <f t="shared" si="89"/>
        <v>2.098659988736536E-2</v>
      </c>
      <c r="AW44" s="80">
        <f t="shared" si="90"/>
        <v>1631.9041117237314</v>
      </c>
      <c r="AX44" s="81">
        <f t="shared" si="91"/>
        <v>2615.1877238688157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FIXED GLASS CORNOR WINDOW</v>
      </c>
      <c r="D45" s="131" t="str">
        <f>Pricing!B41</f>
        <v>CW4-B</v>
      </c>
      <c r="E45" s="132" t="str">
        <f>Pricing!N41</f>
        <v>24MM</v>
      </c>
      <c r="F45" s="68">
        <f>Pricing!G41</f>
        <v>2288</v>
      </c>
      <c r="G45" s="68">
        <f>Pricing!H41</f>
        <v>1678</v>
      </c>
      <c r="H45" s="100">
        <f t="shared" si="0"/>
        <v>3.839264</v>
      </c>
      <c r="I45" s="70">
        <f>Pricing!I41</f>
        <v>1</v>
      </c>
      <c r="J45" s="69">
        <f t="shared" si="30"/>
        <v>3.839264</v>
      </c>
      <c r="K45" s="71">
        <f t="shared" si="31"/>
        <v>41.325837696000001</v>
      </c>
      <c r="L45" s="69"/>
      <c r="M45" s="72"/>
      <c r="N45" s="72"/>
      <c r="O45" s="72">
        <f t="shared" si="79"/>
        <v>0</v>
      </c>
      <c r="P45" s="73">
        <f>Pricing!M41</f>
        <v>5777.63</v>
      </c>
      <c r="Q45" s="74">
        <f t="shared" ref="Q45:Q50" si="92">P45*$Q$6</f>
        <v>577.76300000000003</v>
      </c>
      <c r="R45" s="74">
        <f t="shared" ref="R45:R50" si="93">(P45+Q45)*$R$6</f>
        <v>699.09323000000006</v>
      </c>
      <c r="S45" s="74">
        <f t="shared" ref="S45:S50" si="94">(P45+Q45+R45)*$S$6</f>
        <v>35.272431150000003</v>
      </c>
      <c r="T45" s="74">
        <f t="shared" ref="T45:T50" si="95">(P45+Q45+R45+S45)*$T$6</f>
        <v>70.897586611500003</v>
      </c>
      <c r="U45" s="72">
        <f t="shared" ref="U45:U50" si="96">SUM(P45:T45)</f>
        <v>7160.6562477614998</v>
      </c>
      <c r="V45" s="74">
        <f t="shared" ref="V45:V50" si="97">U45*$V$6</f>
        <v>107.40984371642249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11279.757632000001</v>
      </c>
      <c r="AE45" s="76">
        <f t="shared" si="43"/>
        <v>650.1639344262295</v>
      </c>
      <c r="AF45" s="342">
        <f t="shared" si="44"/>
        <v>666.28800000000001</v>
      </c>
      <c r="AG45" s="343"/>
      <c r="AH45" s="76">
        <f t="shared" si="45"/>
        <v>23.795999999999999</v>
      </c>
      <c r="AI45" s="76">
        <f t="shared" si="15"/>
        <v>79.320000000000007</v>
      </c>
      <c r="AJ45" s="76">
        <f>J45*Pricing!Q41</f>
        <v>0</v>
      </c>
      <c r="AK45" s="76">
        <f>J45*Pricing!R41</f>
        <v>0</v>
      </c>
      <c r="AL45" s="76">
        <f t="shared" si="81"/>
        <v>4132.5837695999999</v>
      </c>
      <c r="AM45" s="77">
        <f t="shared" si="82"/>
        <v>0</v>
      </c>
      <c r="AN45" s="76">
        <f t="shared" si="83"/>
        <v>3306.0670156799997</v>
      </c>
      <c r="AO45" s="72">
        <f t="shared" si="84"/>
        <v>8687.6340259041535</v>
      </c>
      <c r="AP45" s="74">
        <f t="shared" si="85"/>
        <v>10859.542532380192</v>
      </c>
      <c r="AQ45" s="74">
        <f t="shared" ref="AQ45:AQ50" si="103">(AO45+AP45)*$AQ$6</f>
        <v>0</v>
      </c>
      <c r="AR45" s="74">
        <f t="shared" si="86"/>
        <v>5091.3864111153453</v>
      </c>
      <c r="AS45" s="72">
        <f t="shared" si="87"/>
        <v>38265.584975564343</v>
      </c>
      <c r="AT45" s="72">
        <f t="shared" si="88"/>
        <v>9966.9064111153439</v>
      </c>
      <c r="AU45" s="78">
        <f t="shared" ref="AU45:AU50" si="104">AT45/10.764</f>
        <v>925.94819872866447</v>
      </c>
      <c r="AV45" s="79">
        <f t="shared" si="89"/>
        <v>1.7823808664547865E-2</v>
      </c>
      <c r="AW45" s="80">
        <f t="shared" si="90"/>
        <v>175.87220239655082</v>
      </c>
      <c r="AX45" s="81">
        <f t="shared" si="91"/>
        <v>750.07599633211362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3 TRACK 2 SHUTTER SLIDING WINDOW</v>
      </c>
      <c r="D46" s="131" t="str">
        <f>Pricing!B42</f>
        <v>CW4-C</v>
      </c>
      <c r="E46" s="132" t="str">
        <f>Pricing!N42</f>
        <v>24MM</v>
      </c>
      <c r="F46" s="68">
        <f>Pricing!G42</f>
        <v>1830</v>
      </c>
      <c r="G46" s="68">
        <f>Pricing!H42</f>
        <v>1678</v>
      </c>
      <c r="H46" s="100">
        <f t="shared" si="0"/>
        <v>3.0707399999999998</v>
      </c>
      <c r="I46" s="70">
        <f>Pricing!I42</f>
        <v>1</v>
      </c>
      <c r="J46" s="69">
        <f t="shared" si="30"/>
        <v>3.0707399999999998</v>
      </c>
      <c r="K46" s="71">
        <f t="shared" si="31"/>
        <v>33.053445359999998</v>
      </c>
      <c r="L46" s="69"/>
      <c r="M46" s="72"/>
      <c r="N46" s="72"/>
      <c r="O46" s="72">
        <f t="shared" si="79"/>
        <v>0</v>
      </c>
      <c r="P46" s="73">
        <f>Pricing!M42</f>
        <v>26424.71</v>
      </c>
      <c r="Q46" s="74">
        <f t="shared" si="92"/>
        <v>2642.471</v>
      </c>
      <c r="R46" s="74">
        <f t="shared" si="93"/>
        <v>3197.3899099999999</v>
      </c>
      <c r="S46" s="74">
        <f t="shared" si="94"/>
        <v>161.32285455000002</v>
      </c>
      <c r="T46" s="74">
        <f t="shared" si="95"/>
        <v>324.2589376455</v>
      </c>
      <c r="U46" s="72">
        <f t="shared" si="96"/>
        <v>32750.152702195501</v>
      </c>
      <c r="V46" s="74">
        <f t="shared" si="97"/>
        <v>491.25229053293248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9021.8341199999995</v>
      </c>
      <c r="AE46" s="76">
        <f t="shared" si="43"/>
        <v>575.08196721311481</v>
      </c>
      <c r="AF46" s="342">
        <f t="shared" si="44"/>
        <v>589.34400000000005</v>
      </c>
      <c r="AG46" s="343"/>
      <c r="AH46" s="76">
        <f t="shared" si="45"/>
        <v>21.048000000000002</v>
      </c>
      <c r="AI46" s="76">
        <f t="shared" si="15"/>
        <v>70.16</v>
      </c>
      <c r="AJ46" s="76">
        <f>J46*Pricing!Q42</f>
        <v>1652.6722679999996</v>
      </c>
      <c r="AK46" s="76">
        <f>J46*Pricing!R42</f>
        <v>0</v>
      </c>
      <c r="AL46" s="76">
        <f t="shared" si="81"/>
        <v>3305.3445359999992</v>
      </c>
      <c r="AM46" s="77">
        <f t="shared" si="82"/>
        <v>0</v>
      </c>
      <c r="AN46" s="76">
        <f t="shared" si="83"/>
        <v>2644.2756287999996</v>
      </c>
      <c r="AO46" s="72">
        <f t="shared" si="84"/>
        <v>34497.03895994155</v>
      </c>
      <c r="AP46" s="74">
        <f t="shared" si="85"/>
        <v>43121.298699926934</v>
      </c>
      <c r="AQ46" s="74">
        <f t="shared" si="103"/>
        <v>0</v>
      </c>
      <c r="AR46" s="74">
        <f t="shared" si="86"/>
        <v>25276.753375365057</v>
      </c>
      <c r="AS46" s="72">
        <f t="shared" si="87"/>
        <v>94242.464212668492</v>
      </c>
      <c r="AT46" s="72">
        <f t="shared" si="88"/>
        <v>30690.473375365058</v>
      </c>
      <c r="AU46" s="78">
        <f t="shared" si="104"/>
        <v>2851.2145462063413</v>
      </c>
      <c r="AV46" s="79">
        <f t="shared" si="89"/>
        <v>1.425593088117246E-2</v>
      </c>
      <c r="AW46" s="80">
        <f t="shared" si="90"/>
        <v>1005.6865367794881</v>
      </c>
      <c r="AX46" s="81">
        <f t="shared" si="91"/>
        <v>1845.528009426853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GLASS LOUVERS</v>
      </c>
      <c r="D47" s="131" t="str">
        <f>Pricing!B43</f>
        <v>V1</v>
      </c>
      <c r="E47" s="132" t="str">
        <f>Pricing!N43</f>
        <v>6MM (A)</v>
      </c>
      <c r="F47" s="68">
        <f>Pricing!G43</f>
        <v>610</v>
      </c>
      <c r="G47" s="68">
        <f>Pricing!H43</f>
        <v>610</v>
      </c>
      <c r="H47" s="100">
        <f t="shared" si="0"/>
        <v>0.37209999999999999</v>
      </c>
      <c r="I47" s="70">
        <f>Pricing!I43</f>
        <v>1</v>
      </c>
      <c r="J47" s="69">
        <f t="shared" si="30"/>
        <v>0.37209999999999999</v>
      </c>
      <c r="K47" s="71">
        <f t="shared" si="31"/>
        <v>4.0052843999999999</v>
      </c>
      <c r="L47" s="69"/>
      <c r="M47" s="72"/>
      <c r="N47" s="72"/>
      <c r="O47" s="72">
        <f t="shared" si="79"/>
        <v>0</v>
      </c>
      <c r="P47" s="73">
        <f>Pricing!M43</f>
        <v>1134.6099999999999</v>
      </c>
      <c r="Q47" s="74">
        <f t="shared" si="92"/>
        <v>113.461</v>
      </c>
      <c r="R47" s="74">
        <f t="shared" si="93"/>
        <v>137.28780999999998</v>
      </c>
      <c r="S47" s="74">
        <f t="shared" si="94"/>
        <v>6.9267940499999998</v>
      </c>
      <c r="T47" s="74">
        <f t="shared" si="95"/>
        <v>13.922856040499999</v>
      </c>
      <c r="U47" s="72">
        <f t="shared" si="96"/>
        <v>1406.2084600904998</v>
      </c>
      <c r="V47" s="74">
        <f t="shared" si="97"/>
        <v>21.093126901357497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372.8442</v>
      </c>
      <c r="AE47" s="76">
        <f t="shared" si="43"/>
        <v>200</v>
      </c>
      <c r="AF47" s="342">
        <f t="shared" si="44"/>
        <v>204.96</v>
      </c>
      <c r="AG47" s="343"/>
      <c r="AH47" s="76">
        <f t="shared" si="45"/>
        <v>7.32</v>
      </c>
      <c r="AI47" s="76">
        <f t="shared" si="15"/>
        <v>24.4</v>
      </c>
      <c r="AJ47" s="76">
        <f>J47*Pricing!Q43</f>
        <v>0</v>
      </c>
      <c r="AK47" s="76">
        <f>J47*Pricing!R43</f>
        <v>0</v>
      </c>
      <c r="AL47" s="76">
        <f t="shared" si="81"/>
        <v>400.52843999999993</v>
      </c>
      <c r="AM47" s="77">
        <f t="shared" si="82"/>
        <v>0</v>
      </c>
      <c r="AN47" s="76">
        <f t="shared" si="83"/>
        <v>320.42275199999995</v>
      </c>
      <c r="AO47" s="72">
        <f t="shared" si="84"/>
        <v>1863.9815869918571</v>
      </c>
      <c r="AP47" s="74">
        <f t="shared" si="85"/>
        <v>2329.9769837398212</v>
      </c>
      <c r="AQ47" s="74">
        <f t="shared" si="103"/>
        <v>0</v>
      </c>
      <c r="AR47" s="74">
        <f t="shared" si="86"/>
        <v>11271.052326610261</v>
      </c>
      <c r="AS47" s="72">
        <f t="shared" si="87"/>
        <v>5287.7539627316783</v>
      </c>
      <c r="AT47" s="72">
        <f t="shared" si="88"/>
        <v>14210.572326610261</v>
      </c>
      <c r="AU47" s="78">
        <f t="shared" si="104"/>
        <v>1320.1943818850114</v>
      </c>
      <c r="AV47" s="79">
        <f t="shared" si="89"/>
        <v>1.727476725767819E-3</v>
      </c>
      <c r="AW47" s="80">
        <f t="shared" si="90"/>
        <v>356.35461666388966</v>
      </c>
      <c r="AX47" s="81">
        <f t="shared" si="91"/>
        <v>963.83976522112164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 t="str">
        <f>Pricing!D44</f>
        <v>GLASS LOUVERS</v>
      </c>
      <c r="D48" s="131" t="str">
        <f>Pricing!B44</f>
        <v>V2</v>
      </c>
      <c r="E48" s="132" t="str">
        <f>Pricing!N44</f>
        <v>6MM (A)</v>
      </c>
      <c r="F48" s="68">
        <f>Pricing!G44</f>
        <v>916</v>
      </c>
      <c r="G48" s="68">
        <f>Pricing!H44</f>
        <v>916</v>
      </c>
      <c r="H48" s="100">
        <f t="shared" si="0"/>
        <v>0.83905600000000002</v>
      </c>
      <c r="I48" s="70">
        <f>Pricing!I44</f>
        <v>4</v>
      </c>
      <c r="J48" s="69">
        <f t="shared" si="30"/>
        <v>3.3562240000000001</v>
      </c>
      <c r="K48" s="71">
        <f t="shared" si="31"/>
        <v>36.126395135999999</v>
      </c>
      <c r="L48" s="69"/>
      <c r="M48" s="72"/>
      <c r="N48" s="72"/>
      <c r="O48" s="72">
        <f t="shared" si="79"/>
        <v>0</v>
      </c>
      <c r="P48" s="73">
        <f>Pricing!M44</f>
        <v>6178.5199999999995</v>
      </c>
      <c r="Q48" s="74">
        <f t="shared" si="92"/>
        <v>617.85199999999998</v>
      </c>
      <c r="R48" s="74">
        <f t="shared" si="93"/>
        <v>747.60091999999997</v>
      </c>
      <c r="S48" s="74">
        <f t="shared" si="94"/>
        <v>37.719864599999994</v>
      </c>
      <c r="T48" s="74">
        <f t="shared" si="95"/>
        <v>75.816927845999984</v>
      </c>
      <c r="U48" s="72">
        <f t="shared" si="96"/>
        <v>7657.509712445999</v>
      </c>
      <c r="V48" s="74">
        <f t="shared" si="97"/>
        <v>114.86264568668999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3362.9364479999999</v>
      </c>
      <c r="AE48" s="76">
        <f t="shared" si="43"/>
        <v>1201.311475409836</v>
      </c>
      <c r="AF48" s="342">
        <f t="shared" si="44"/>
        <v>1231.104</v>
      </c>
      <c r="AG48" s="343"/>
      <c r="AH48" s="76">
        <f t="shared" si="45"/>
        <v>43.968000000000004</v>
      </c>
      <c r="AI48" s="76">
        <f t="shared" si="15"/>
        <v>146.56</v>
      </c>
      <c r="AJ48" s="76">
        <f>J48*Pricing!Q44</f>
        <v>0</v>
      </c>
      <c r="AK48" s="76">
        <f>J48*Pricing!R44</f>
        <v>0</v>
      </c>
      <c r="AL48" s="76">
        <f t="shared" si="81"/>
        <v>3612.6395135999996</v>
      </c>
      <c r="AM48" s="77">
        <f t="shared" si="82"/>
        <v>0</v>
      </c>
      <c r="AN48" s="76">
        <f t="shared" si="83"/>
        <v>2890.1116108799997</v>
      </c>
      <c r="AO48" s="72">
        <f t="shared" si="84"/>
        <v>10395.315833542525</v>
      </c>
      <c r="AP48" s="74">
        <f t="shared" si="85"/>
        <v>12994.144791928156</v>
      </c>
      <c r="AQ48" s="74">
        <f t="shared" si="103"/>
        <v>0</v>
      </c>
      <c r="AR48" s="74">
        <f t="shared" si="86"/>
        <v>6968.980802673088</v>
      </c>
      <c r="AS48" s="72">
        <f t="shared" si="87"/>
        <v>33255.148197950679</v>
      </c>
      <c r="AT48" s="72">
        <f t="shared" si="88"/>
        <v>9908.5008026730866</v>
      </c>
      <c r="AU48" s="78">
        <f t="shared" si="104"/>
        <v>920.52218530965138</v>
      </c>
      <c r="AV48" s="79">
        <f t="shared" si="89"/>
        <v>1.5581292250640614E-2</v>
      </c>
      <c r="AW48" s="80">
        <f t="shared" si="90"/>
        <v>215.14386721600985</v>
      </c>
      <c r="AX48" s="81">
        <f t="shared" si="91"/>
        <v>705.37831809364161</v>
      </c>
      <c r="AY48" s="82"/>
      <c r="AZ48" s="83">
        <f t="shared" si="105"/>
        <v>0</v>
      </c>
      <c r="BB48" s="84"/>
    </row>
    <row r="49" spans="2:54" ht="34.5" customHeight="1" thickTop="1" thickBot="1">
      <c r="B49" s="129">
        <f>Pricing!A45</f>
        <v>42</v>
      </c>
      <c r="C49" s="130" t="str">
        <f>Pricing!D45</f>
        <v>GLASS LOUVERS</v>
      </c>
      <c r="D49" s="131" t="str">
        <f>Pricing!B45</f>
        <v>V3</v>
      </c>
      <c r="E49" s="132" t="str">
        <f>Pricing!N45</f>
        <v>6MM (A)</v>
      </c>
      <c r="F49" s="68">
        <f>Pricing!G45</f>
        <v>3658</v>
      </c>
      <c r="G49" s="68">
        <f>Pricing!H45</f>
        <v>610</v>
      </c>
      <c r="H49" s="100">
        <f t="shared" si="0"/>
        <v>2.2313800000000001</v>
      </c>
      <c r="I49" s="70">
        <f>Pricing!I45</f>
        <v>1</v>
      </c>
      <c r="J49" s="69">
        <f t="shared" si="30"/>
        <v>2.2313800000000001</v>
      </c>
      <c r="K49" s="71">
        <f t="shared" si="31"/>
        <v>24.018574319999999</v>
      </c>
      <c r="L49" s="69"/>
      <c r="M49" s="72"/>
      <c r="N49" s="72"/>
      <c r="O49" s="72">
        <f t="shared" si="79"/>
        <v>0</v>
      </c>
      <c r="P49" s="73">
        <f>Pricing!M45</f>
        <v>6819.28</v>
      </c>
      <c r="Q49" s="74">
        <f t="shared" si="92"/>
        <v>681.928</v>
      </c>
      <c r="R49" s="74">
        <f t="shared" si="93"/>
        <v>825.13288</v>
      </c>
      <c r="S49" s="74">
        <f t="shared" si="94"/>
        <v>41.631704399999997</v>
      </c>
      <c r="T49" s="74">
        <f t="shared" si="95"/>
        <v>83.679725844000004</v>
      </c>
      <c r="U49" s="72">
        <f t="shared" si="96"/>
        <v>8451.6523102440005</v>
      </c>
      <c r="V49" s="74">
        <f t="shared" si="97"/>
        <v>126.77478465366001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2235.84276</v>
      </c>
      <c r="AE49" s="76">
        <f t="shared" si="43"/>
        <v>699.67213114754099</v>
      </c>
      <c r="AF49" s="342">
        <f t="shared" si="44"/>
        <v>717.02399999999977</v>
      </c>
      <c r="AG49" s="343"/>
      <c r="AH49" s="76">
        <f t="shared" si="45"/>
        <v>25.607999999999997</v>
      </c>
      <c r="AI49" s="76">
        <f t="shared" si="15"/>
        <v>85.36</v>
      </c>
      <c r="AJ49" s="76">
        <f>J49*Pricing!Q45</f>
        <v>0</v>
      </c>
      <c r="AK49" s="76">
        <f>J49*Pricing!R45</f>
        <v>0</v>
      </c>
      <c r="AL49" s="76">
        <f t="shared" si="81"/>
        <v>2401.8574319999998</v>
      </c>
      <c r="AM49" s="77">
        <f t="shared" si="82"/>
        <v>0</v>
      </c>
      <c r="AN49" s="76">
        <f t="shared" si="83"/>
        <v>1921.4859455999999</v>
      </c>
      <c r="AO49" s="72">
        <f t="shared" si="84"/>
        <v>10106.091226045202</v>
      </c>
      <c r="AP49" s="74">
        <f t="shared" si="85"/>
        <v>12632.614032556503</v>
      </c>
      <c r="AQ49" s="74">
        <f t="shared" si="103"/>
        <v>0</v>
      </c>
      <c r="AR49" s="74">
        <f t="shared" si="86"/>
        <v>10190.422634693196</v>
      </c>
      <c r="AS49" s="72">
        <f t="shared" si="87"/>
        <v>29297.891396201703</v>
      </c>
      <c r="AT49" s="72">
        <f t="shared" si="88"/>
        <v>13129.942634693194</v>
      </c>
      <c r="AU49" s="78">
        <f t="shared" si="104"/>
        <v>1219.8014339179854</v>
      </c>
      <c r="AV49" s="79">
        <f t="shared" si="89"/>
        <v>1.0359196496489642E-2</v>
      </c>
      <c r="AW49" s="80">
        <f t="shared" si="90"/>
        <v>357.15804696011872</v>
      </c>
      <c r="AX49" s="81">
        <f t="shared" si="91"/>
        <v>862.64338695786694</v>
      </c>
      <c r="AY49" s="82"/>
      <c r="AZ49" s="83">
        <f t="shared" si="105"/>
        <v>0</v>
      </c>
      <c r="BB49" s="84"/>
    </row>
    <row r="50" spans="2:54" ht="34.5" customHeight="1" thickTop="1" thickBot="1">
      <c r="B50" s="129">
        <f>Pricing!A46</f>
        <v>43</v>
      </c>
      <c r="C50" s="130" t="str">
        <f>Pricing!D46</f>
        <v>GLASS LOUVERS</v>
      </c>
      <c r="D50" s="131" t="str">
        <f>Pricing!B46</f>
        <v>V4-A</v>
      </c>
      <c r="E50" s="132" t="str">
        <f>Pricing!N46</f>
        <v>6MM (A)</v>
      </c>
      <c r="F50" s="68">
        <f>Pricing!G46</f>
        <v>3030</v>
      </c>
      <c r="G50" s="68">
        <f>Pricing!H46</f>
        <v>610</v>
      </c>
      <c r="H50" s="100">
        <f t="shared" si="0"/>
        <v>1.8483000000000001</v>
      </c>
      <c r="I50" s="70">
        <f>Pricing!I46</f>
        <v>1</v>
      </c>
      <c r="J50" s="69">
        <f t="shared" si="30"/>
        <v>1.8483000000000001</v>
      </c>
      <c r="K50" s="71">
        <f t="shared" si="31"/>
        <v>19.895101199999999</v>
      </c>
      <c r="L50" s="69"/>
      <c r="M50" s="72"/>
      <c r="N50" s="72"/>
      <c r="O50" s="72">
        <f t="shared" si="79"/>
        <v>0</v>
      </c>
      <c r="P50" s="73">
        <f>Pricing!M46</f>
        <v>5844.8600000000006</v>
      </c>
      <c r="Q50" s="74">
        <f t="shared" si="92"/>
        <v>584.4860000000001</v>
      </c>
      <c r="R50" s="74">
        <f t="shared" si="93"/>
        <v>707.22806000000003</v>
      </c>
      <c r="S50" s="74">
        <f t="shared" si="94"/>
        <v>35.682870300000005</v>
      </c>
      <c r="T50" s="74">
        <f t="shared" si="95"/>
        <v>71.722569303000014</v>
      </c>
      <c r="U50" s="72">
        <f t="shared" si="96"/>
        <v>7243.9794996030014</v>
      </c>
      <c r="V50" s="74">
        <f t="shared" si="97"/>
        <v>108.65969249404502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1851.9965999999999</v>
      </c>
      <c r="AE50" s="76">
        <f t="shared" si="43"/>
        <v>596.72131147540983</v>
      </c>
      <c r="AF50" s="342">
        <f t="shared" si="44"/>
        <v>611.52</v>
      </c>
      <c r="AG50" s="343"/>
      <c r="AH50" s="76">
        <f t="shared" si="45"/>
        <v>21.84</v>
      </c>
      <c r="AI50" s="76">
        <f t="shared" si="15"/>
        <v>72.8</v>
      </c>
      <c r="AJ50" s="76">
        <f>J50*Pricing!Q46</f>
        <v>0</v>
      </c>
      <c r="AK50" s="76">
        <f>J50*Pricing!R46</f>
        <v>0</v>
      </c>
      <c r="AL50" s="76">
        <f t="shared" si="81"/>
        <v>1989.5101199999999</v>
      </c>
      <c r="AM50" s="77">
        <f t="shared" si="82"/>
        <v>0</v>
      </c>
      <c r="AN50" s="76">
        <f t="shared" si="83"/>
        <v>1591.6080959999999</v>
      </c>
      <c r="AO50" s="72">
        <f t="shared" si="84"/>
        <v>8655.5205035724557</v>
      </c>
      <c r="AP50" s="74">
        <f t="shared" si="85"/>
        <v>10819.40062946557</v>
      </c>
      <c r="AQ50" s="74">
        <f t="shared" si="103"/>
        <v>0</v>
      </c>
      <c r="AR50" s="74">
        <f t="shared" si="86"/>
        <v>10536.666738645255</v>
      </c>
      <c r="AS50" s="72">
        <f t="shared" si="87"/>
        <v>24908.035949038025</v>
      </c>
      <c r="AT50" s="72">
        <f t="shared" si="88"/>
        <v>13476.186738645254</v>
      </c>
      <c r="AU50" s="78">
        <f t="shared" si="104"/>
        <v>1251.9682960465677</v>
      </c>
      <c r="AV50" s="79">
        <f t="shared" si="89"/>
        <v>8.5807450476663803E-3</v>
      </c>
      <c r="AW50" s="80">
        <f t="shared" si="90"/>
        <v>369.57033383157892</v>
      </c>
      <c r="AX50" s="81">
        <f t="shared" si="91"/>
        <v>882.39796221498887</v>
      </c>
      <c r="AY50" s="82"/>
      <c r="AZ50" s="83">
        <f t="shared" si="105"/>
        <v>0</v>
      </c>
      <c r="BB50" s="84"/>
    </row>
    <row r="51" spans="2:54" ht="34.5" customHeight="1" thickTop="1" thickBot="1">
      <c r="B51" s="129">
        <f>Pricing!A47</f>
        <v>44</v>
      </c>
      <c r="C51" s="130" t="str">
        <f>Pricing!D47</f>
        <v>GLASS LOUVERS</v>
      </c>
      <c r="D51" s="131" t="str">
        <f>Pricing!B47</f>
        <v>V4-B</v>
      </c>
      <c r="E51" s="132" t="str">
        <f>Pricing!N47</f>
        <v>6MM (A)</v>
      </c>
      <c r="F51" s="68">
        <f>Pricing!G47</f>
        <v>3080</v>
      </c>
      <c r="G51" s="68">
        <f>Pricing!H47</f>
        <v>610</v>
      </c>
      <c r="H51" s="100">
        <f t="shared" si="0"/>
        <v>1.8788</v>
      </c>
      <c r="I51" s="70">
        <f>Pricing!I47</f>
        <v>1</v>
      </c>
      <c r="J51" s="69">
        <f t="shared" si="30"/>
        <v>1.8788</v>
      </c>
      <c r="K51" s="71">
        <f t="shared" si="31"/>
        <v>20.2234032</v>
      </c>
      <c r="L51" s="69"/>
      <c r="M51" s="72"/>
      <c r="N51" s="72"/>
      <c r="O51" s="72">
        <f t="shared" si="79"/>
        <v>0</v>
      </c>
      <c r="P51" s="73">
        <f>Pricing!M47</f>
        <v>5922.0499999999993</v>
      </c>
      <c r="Q51" s="74">
        <f t="shared" si="4"/>
        <v>592.20499999999993</v>
      </c>
      <c r="R51" s="74">
        <f t="shared" si="5"/>
        <v>716.56804999999997</v>
      </c>
      <c r="S51" s="74">
        <f t="shared" si="6"/>
        <v>36.154115249999997</v>
      </c>
      <c r="T51" s="74">
        <f t="shared" si="7"/>
        <v>72.669771652499989</v>
      </c>
      <c r="U51" s="72">
        <f t="shared" si="8"/>
        <v>7339.646936902499</v>
      </c>
      <c r="V51" s="74">
        <f t="shared" si="9"/>
        <v>110.09470405353748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1882.5576000000001</v>
      </c>
      <c r="AE51" s="76">
        <f t="shared" si="43"/>
        <v>604.91803278688531</v>
      </c>
      <c r="AF51" s="342">
        <f t="shared" si="44"/>
        <v>619.92000000000007</v>
      </c>
      <c r="AG51" s="343"/>
      <c r="AH51" s="76">
        <f t="shared" si="45"/>
        <v>22.14</v>
      </c>
      <c r="AI51" s="76">
        <f t="shared" ref="AI51:AI56" si="106">(((F51+G51)*2*I51)/1000)*2*$AI$7</f>
        <v>73.8</v>
      </c>
      <c r="AJ51" s="76">
        <f>J51*Pricing!Q47</f>
        <v>0</v>
      </c>
      <c r="AK51" s="76">
        <f>J51*Pricing!R47</f>
        <v>0</v>
      </c>
      <c r="AL51" s="76">
        <f t="shared" si="81"/>
        <v>2022.3403199999998</v>
      </c>
      <c r="AM51" s="77">
        <f t="shared" si="82"/>
        <v>0</v>
      </c>
      <c r="AN51" s="76">
        <f t="shared" si="83"/>
        <v>1617.8722559999999</v>
      </c>
      <c r="AO51" s="72">
        <f t="shared" si="84"/>
        <v>8770.5196737429214</v>
      </c>
      <c r="AP51" s="74">
        <f t="shared" si="85"/>
        <v>10963.149592178652</v>
      </c>
      <c r="AQ51" s="74">
        <f t="shared" si="21"/>
        <v>0</v>
      </c>
      <c r="AR51" s="74">
        <f t="shared" si="86"/>
        <v>10503.336845817315</v>
      </c>
      <c r="AS51" s="72">
        <f t="shared" si="87"/>
        <v>25256.439441921575</v>
      </c>
      <c r="AT51" s="72">
        <f t="shared" si="88"/>
        <v>13442.856845817316</v>
      </c>
      <c r="AU51" s="78">
        <f t="shared" si="25"/>
        <v>1248.8718734501408</v>
      </c>
      <c r="AV51" s="79">
        <f t="shared" si="89"/>
        <v>8.7223415005981686E-3</v>
      </c>
      <c r="AW51" s="80">
        <f t="shared" si="90"/>
        <v>368.37230446733298</v>
      </c>
      <c r="AX51" s="81">
        <f t="shared" si="91"/>
        <v>880.49956898280777</v>
      </c>
      <c r="AY51" s="82"/>
      <c r="AZ51" s="83">
        <f t="shared" si="29"/>
        <v>0</v>
      </c>
      <c r="BB51" s="84"/>
    </row>
    <row r="52" spans="2:54" ht="34.5" customHeight="1" thickTop="1" thickBot="1">
      <c r="B52" s="129">
        <f>Pricing!A48</f>
        <v>45</v>
      </c>
      <c r="C52" s="130" t="str">
        <f>Pricing!D48</f>
        <v>GLASS LOUVERS</v>
      </c>
      <c r="D52" s="131" t="str">
        <f>Pricing!B48</f>
        <v>V5</v>
      </c>
      <c r="E52" s="132" t="str">
        <f>Pricing!N48</f>
        <v>6MM (A)</v>
      </c>
      <c r="F52" s="68">
        <f>Pricing!G48</f>
        <v>2490</v>
      </c>
      <c r="G52" s="68">
        <f>Pricing!H48</f>
        <v>458</v>
      </c>
      <c r="H52" s="100">
        <f t="shared" si="0"/>
        <v>1.14042</v>
      </c>
      <c r="I52" s="70">
        <f>Pricing!I48</f>
        <v>2</v>
      </c>
      <c r="J52" s="69">
        <f t="shared" si="30"/>
        <v>2.28084</v>
      </c>
      <c r="K52" s="71">
        <f t="shared" si="31"/>
        <v>24.55096176</v>
      </c>
      <c r="L52" s="69"/>
      <c r="M52" s="72"/>
      <c r="N52" s="72"/>
      <c r="O52" s="72">
        <f t="shared" si="79"/>
        <v>0</v>
      </c>
      <c r="P52" s="73">
        <f>Pricing!M48</f>
        <v>9699.3799999999992</v>
      </c>
      <c r="Q52" s="74">
        <f t="shared" si="4"/>
        <v>969.93799999999999</v>
      </c>
      <c r="R52" s="74">
        <f t="shared" si="5"/>
        <v>1173.6249799999998</v>
      </c>
      <c r="S52" s="74">
        <f t="shared" si="6"/>
        <v>59.214714899999997</v>
      </c>
      <c r="T52" s="74">
        <f t="shared" si="7"/>
        <v>119.02157694899999</v>
      </c>
      <c r="U52" s="72">
        <f t="shared" si="8"/>
        <v>12021.179271849</v>
      </c>
      <c r="V52" s="74">
        <f t="shared" si="9"/>
        <v>180.317689077735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2285.4016799999999</v>
      </c>
      <c r="AE52" s="76">
        <f t="shared" si="43"/>
        <v>966.55737704918033</v>
      </c>
      <c r="AF52" s="342">
        <f t="shared" si="44"/>
        <v>990.52799999999991</v>
      </c>
      <c r="AG52" s="343"/>
      <c r="AH52" s="76">
        <f t="shared" si="45"/>
        <v>35.375999999999998</v>
      </c>
      <c r="AI52" s="76">
        <f t="shared" si="106"/>
        <v>117.92</v>
      </c>
      <c r="AJ52" s="76">
        <f>J52*Pricing!Q48</f>
        <v>0</v>
      </c>
      <c r="AK52" s="76">
        <f>J52*Pricing!R48</f>
        <v>0</v>
      </c>
      <c r="AL52" s="76">
        <f t="shared" si="81"/>
        <v>2455.0961759999996</v>
      </c>
      <c r="AM52" s="77">
        <f t="shared" si="82"/>
        <v>0</v>
      </c>
      <c r="AN52" s="76">
        <f t="shared" si="83"/>
        <v>1964.0769407999996</v>
      </c>
      <c r="AO52" s="72">
        <f t="shared" si="84"/>
        <v>14311.878337975915</v>
      </c>
      <c r="AP52" s="74">
        <f t="shared" si="85"/>
        <v>17889.847922469893</v>
      </c>
      <c r="AQ52" s="74">
        <f t="shared" si="21"/>
        <v>0</v>
      </c>
      <c r="AR52" s="74">
        <f t="shared" si="86"/>
        <v>14118.362647290389</v>
      </c>
      <c r="AS52" s="72">
        <f t="shared" si="87"/>
        <v>38906.301057245808</v>
      </c>
      <c r="AT52" s="72">
        <f t="shared" si="88"/>
        <v>17057.882647290389</v>
      </c>
      <c r="AU52" s="78">
        <f t="shared" si="25"/>
        <v>1584.7159650028234</v>
      </c>
      <c r="AV52" s="79">
        <f t="shared" si="89"/>
        <v>1.0588814875571815E-2</v>
      </c>
      <c r="AW52" s="80">
        <f t="shared" si="90"/>
        <v>496.98651646332632</v>
      </c>
      <c r="AX52" s="81">
        <f t="shared" si="91"/>
        <v>1087.7294485394968</v>
      </c>
      <c r="AY52" s="82"/>
      <c r="AZ52" s="83">
        <f t="shared" si="29"/>
        <v>0</v>
      </c>
      <c r="BB52" s="84"/>
    </row>
    <row r="53" spans="2:54" ht="34.5" customHeight="1" thickTop="1" thickBot="1">
      <c r="B53" s="129">
        <f>Pricing!A49</f>
        <v>46</v>
      </c>
      <c r="C53" s="130" t="str">
        <f>Pricing!D49</f>
        <v>GLASS LOUVERS</v>
      </c>
      <c r="D53" s="131" t="str">
        <f>Pricing!B49</f>
        <v>V6</v>
      </c>
      <c r="E53" s="132" t="str">
        <f>Pricing!N49</f>
        <v>6MM (A)</v>
      </c>
      <c r="F53" s="68">
        <f>Pricing!G49</f>
        <v>3868</v>
      </c>
      <c r="G53" s="68">
        <f>Pricing!H49</f>
        <v>610</v>
      </c>
      <c r="H53" s="100">
        <f t="shared" si="0"/>
        <v>2.35948</v>
      </c>
      <c r="I53" s="70">
        <f>Pricing!I49</f>
        <v>1</v>
      </c>
      <c r="J53" s="69">
        <f t="shared" si="30"/>
        <v>2.35948</v>
      </c>
      <c r="K53" s="71">
        <f t="shared" si="31"/>
        <v>25.397442719999997</v>
      </c>
      <c r="L53" s="69"/>
      <c r="M53" s="72"/>
      <c r="N53" s="72"/>
      <c r="O53" s="72">
        <f t="shared" si="79"/>
        <v>0</v>
      </c>
      <c r="P53" s="73">
        <f>Pricing!M49</f>
        <v>7144.6399999999994</v>
      </c>
      <c r="Q53" s="74">
        <f t="shared" si="4"/>
        <v>714.46399999999994</v>
      </c>
      <c r="R53" s="74">
        <f t="shared" si="5"/>
        <v>864.50143999999989</v>
      </c>
      <c r="S53" s="74">
        <f t="shared" si="6"/>
        <v>43.6180272</v>
      </c>
      <c r="T53" s="74">
        <f t="shared" si="7"/>
        <v>87.672234672000002</v>
      </c>
      <c r="U53" s="72">
        <f t="shared" si="8"/>
        <v>8854.8957018719993</v>
      </c>
      <c r="V53" s="74">
        <f t="shared" si="9"/>
        <v>132.82343552807998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2364.1989600000002</v>
      </c>
      <c r="AE53" s="76">
        <f t="shared" si="43"/>
        <v>734.09836065573768</v>
      </c>
      <c r="AF53" s="342">
        <f t="shared" si="44"/>
        <v>752.30399999999997</v>
      </c>
      <c r="AG53" s="343"/>
      <c r="AH53" s="76">
        <f t="shared" si="45"/>
        <v>26.867999999999999</v>
      </c>
      <c r="AI53" s="76">
        <f t="shared" si="106"/>
        <v>89.56</v>
      </c>
      <c r="AJ53" s="76">
        <f>J53*Pricing!Q49</f>
        <v>0</v>
      </c>
      <c r="AK53" s="76">
        <f>J53*Pricing!R49</f>
        <v>0</v>
      </c>
      <c r="AL53" s="76">
        <f t="shared" si="81"/>
        <v>2539.7442719999999</v>
      </c>
      <c r="AM53" s="77">
        <f t="shared" si="82"/>
        <v>0</v>
      </c>
      <c r="AN53" s="76">
        <f t="shared" si="83"/>
        <v>2031.7954175999998</v>
      </c>
      <c r="AO53" s="72">
        <f t="shared" si="84"/>
        <v>10590.549498055818</v>
      </c>
      <c r="AP53" s="74">
        <f t="shared" si="85"/>
        <v>13238.186872569771</v>
      </c>
      <c r="AQ53" s="74">
        <f t="shared" si="21"/>
        <v>0</v>
      </c>
      <c r="AR53" s="74">
        <f t="shared" si="86"/>
        <v>10099.147426816751</v>
      </c>
      <c r="AS53" s="72">
        <f t="shared" si="87"/>
        <v>30764.475020225589</v>
      </c>
      <c r="AT53" s="72">
        <f t="shared" si="88"/>
        <v>13038.667426816752</v>
      </c>
      <c r="AU53" s="78">
        <f t="shared" si="25"/>
        <v>1211.3217602022253</v>
      </c>
      <c r="AV53" s="79">
        <f t="shared" si="89"/>
        <v>1.0953901598803153E-2</v>
      </c>
      <c r="AW53" s="80">
        <f t="shared" si="90"/>
        <v>353.88283916956817</v>
      </c>
      <c r="AX53" s="81">
        <f t="shared" si="91"/>
        <v>857.43892103265705</v>
      </c>
      <c r="AY53" s="82"/>
      <c r="AZ53" s="83">
        <f t="shared" si="29"/>
        <v>0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159.16224799999998</v>
      </c>
      <c r="I109" s="87">
        <f>SUM(I8:I108)</f>
        <v>66</v>
      </c>
      <c r="J109" s="88">
        <f>SUM(J8:J108)</f>
        <v>215.40087599999995</v>
      </c>
      <c r="K109" s="89">
        <f>SUM(K8:K108)</f>
        <v>2318.575029264</v>
      </c>
      <c r="L109" s="88">
        <f>SUM(L8:L8)</f>
        <v>0</v>
      </c>
      <c r="M109" s="88"/>
      <c r="N109" s="88"/>
      <c r="O109" s="88"/>
      <c r="P109" s="87">
        <f>SUM(P8:P108)</f>
        <v>1552039.4099999995</v>
      </c>
      <c r="Q109" s="88">
        <f t="shared" ref="Q109:AE109" si="156">SUM(Q8:Q108)</f>
        <v>155203.94100000005</v>
      </c>
      <c r="R109" s="88">
        <f t="shared" si="156"/>
        <v>187796.76861</v>
      </c>
      <c r="S109" s="88">
        <f t="shared" si="156"/>
        <v>9475.200598049998</v>
      </c>
      <c r="T109" s="88">
        <f t="shared" si="156"/>
        <v>19045.153202080506</v>
      </c>
      <c r="U109" s="88">
        <f t="shared" si="156"/>
        <v>1923560.4734101307</v>
      </c>
      <c r="V109" s="88">
        <f t="shared" si="156"/>
        <v>28853.407101151959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588854.72926799988</v>
      </c>
      <c r="AE109" s="88">
        <f t="shared" si="156"/>
        <v>39690.655737704932</v>
      </c>
      <c r="AF109" s="353">
        <f>SUM(AF8:AG108)</f>
        <v>40674.983999999989</v>
      </c>
      <c r="AG109" s="354"/>
      <c r="AH109" s="88">
        <f t="shared" ref="AH109:AQ109" si="157">SUM(AH8:AH108)</f>
        <v>1452.6779999999999</v>
      </c>
      <c r="AI109" s="88">
        <f t="shared" si="157"/>
        <v>4842.2600000000011</v>
      </c>
      <c r="AJ109" s="88">
        <f t="shared" ref="AJ109" si="158">SUM(AJ8:AJ108)</f>
        <v>64003.25851919999</v>
      </c>
      <c r="AK109" s="88">
        <f t="shared" si="157"/>
        <v>0</v>
      </c>
      <c r="AL109" s="88">
        <f t="shared" si="157"/>
        <v>231857.50292639993</v>
      </c>
      <c r="AM109" s="88">
        <f t="shared" si="157"/>
        <v>0</v>
      </c>
      <c r="AN109" s="88">
        <f t="shared" si="157"/>
        <v>185486.00234111992</v>
      </c>
      <c r="AO109" s="88">
        <f t="shared" si="157"/>
        <v>2039074.4582489878</v>
      </c>
      <c r="AP109" s="88">
        <f t="shared" si="157"/>
        <v>2548843.0728112352</v>
      </c>
      <c r="AQ109" s="88">
        <f t="shared" si="157"/>
        <v>0</v>
      </c>
      <c r="AR109" s="88"/>
      <c r="AS109" s="87">
        <f>SUM(AS8:AS108)</f>
        <v>5658119.0241149431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40674.983999999989</v>
      </c>
      <c r="AW110" s="84"/>
    </row>
    <row r="111" spans="2:54">
      <c r="AF111" s="174"/>
      <c r="AG111" s="174"/>
      <c r="AH111" s="174">
        <f>SUM(AE109:AI109,AC109)</f>
        <v>86660.577737704909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P55" sqref="P5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1"/>
    </row>
    <row r="2" spans="2:15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4"/>
    </row>
    <row r="3" spans="2:15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4"/>
    </row>
    <row r="4" spans="2:15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4"/>
    </row>
    <row r="5" spans="2:15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4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ABPL-DE-19.20-2193</v>
      </c>
      <c r="N6" s="474"/>
    </row>
    <row r="7" spans="2:15" ht="24.95" customHeight="1">
      <c r="B7" s="490" t="s">
        <v>126</v>
      </c>
      <c r="C7" s="491"/>
      <c r="D7" s="491"/>
      <c r="E7" s="491"/>
      <c r="F7" s="428" t="str">
        <f>'BD Team'!E2</f>
        <v>Mr. Abhimanyu</v>
      </c>
      <c r="G7" s="428"/>
      <c r="H7" s="428"/>
      <c r="I7" s="428"/>
      <c r="J7" s="429"/>
      <c r="K7" s="498" t="s">
        <v>104</v>
      </c>
      <c r="L7" s="491"/>
      <c r="M7" s="496">
        <f>'BD Team'!J3</f>
        <v>43724</v>
      </c>
      <c r="N7" s="497"/>
    </row>
    <row r="8" spans="2:15" ht="24.95" customHeight="1">
      <c r="B8" s="490" t="s">
        <v>127</v>
      </c>
      <c r="C8" s="491"/>
      <c r="D8" s="491"/>
      <c r="E8" s="491"/>
      <c r="F8" s="215" t="str">
        <f>'BD Team'!E3</f>
        <v>Hyderabad</v>
      </c>
      <c r="G8" s="482" t="s">
        <v>179</v>
      </c>
      <c r="H8" s="483"/>
      <c r="I8" s="428" t="str">
        <f>'BD Team'!G3</f>
        <v>1Kpa</v>
      </c>
      <c r="J8" s="429"/>
      <c r="K8" s="498" t="s">
        <v>105</v>
      </c>
      <c r="L8" s="491"/>
      <c r="M8" s="178" t="s">
        <v>363</v>
      </c>
      <c r="N8" s="179">
        <v>43724</v>
      </c>
    </row>
    <row r="9" spans="2:15" ht="24.95" customHeight="1">
      <c r="B9" s="490" t="s">
        <v>168</v>
      </c>
      <c r="C9" s="491"/>
      <c r="D9" s="491"/>
      <c r="E9" s="491"/>
      <c r="F9" s="428" t="str">
        <f>'BD Team'!E4</f>
        <v>Mr. Anamol Anand : 7702300826</v>
      </c>
      <c r="G9" s="428"/>
      <c r="H9" s="428"/>
      <c r="I9" s="428"/>
      <c r="J9" s="429"/>
      <c r="K9" s="498" t="s">
        <v>178</v>
      </c>
      <c r="L9" s="491"/>
      <c r="M9" s="475" t="str">
        <f>'BD Team'!J4</f>
        <v>Bal Kumari</v>
      </c>
      <c r="N9" s="476"/>
    </row>
    <row r="10" spans="2:15" ht="27.75" customHeight="1" thickBot="1">
      <c r="B10" s="492" t="s">
        <v>176</v>
      </c>
      <c r="C10" s="493"/>
      <c r="D10" s="493"/>
      <c r="E10" s="493"/>
      <c r="F10" s="217" t="str">
        <f>'BD Team'!E5</f>
        <v>Anodized</v>
      </c>
      <c r="G10" s="503" t="s">
        <v>177</v>
      </c>
      <c r="H10" s="504"/>
      <c r="I10" s="501" t="str">
        <f>'BD Team'!G5</f>
        <v>Silver</v>
      </c>
      <c r="J10" s="502"/>
      <c r="K10" s="499" t="s">
        <v>372</v>
      </c>
      <c r="L10" s="500"/>
      <c r="M10" s="494">
        <f>'BD Team'!J5</f>
        <v>0</v>
      </c>
      <c r="N10" s="495"/>
    </row>
    <row r="11" spans="2:15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7"/>
    </row>
    <row r="12" spans="2:15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7"/>
    </row>
    <row r="13" spans="2:15" s="93" customFormat="1" ht="18" customHeight="1" thickTop="1" thickBot="1">
      <c r="B13" s="484" t="s">
        <v>169</v>
      </c>
      <c r="C13" s="485"/>
      <c r="D13" s="488" t="s">
        <v>170</v>
      </c>
      <c r="E13" s="488" t="s">
        <v>171</v>
      </c>
      <c r="F13" s="488" t="s">
        <v>37</v>
      </c>
      <c r="G13" s="486" t="s">
        <v>63</v>
      </c>
      <c r="H13" s="486" t="s">
        <v>209</v>
      </c>
      <c r="I13" s="486" t="s">
        <v>208</v>
      </c>
      <c r="J13" s="487" t="s">
        <v>172</v>
      </c>
      <c r="K13" s="487" t="s">
        <v>173</v>
      </c>
      <c r="L13" s="485" t="s">
        <v>210</v>
      </c>
      <c r="M13" s="487" t="s">
        <v>174</v>
      </c>
      <c r="N13" s="489" t="s">
        <v>175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SD1</v>
      </c>
      <c r="E16" s="187" t="str">
        <f>Pricing!C4</f>
        <v>M14600</v>
      </c>
      <c r="F16" s="187" t="str">
        <f>Pricing!D4</f>
        <v>3 TRACK 4 SHUTTER SLIDING DOOR</v>
      </c>
      <c r="G16" s="187" t="str">
        <f>Pricing!N4</f>
        <v>24MM</v>
      </c>
      <c r="H16" s="187" t="str">
        <f>Pricing!F4</f>
        <v>GF - STUDY &amp; LIVING</v>
      </c>
      <c r="I16" s="216" t="str">
        <f>Pricing!E4</f>
        <v>SS</v>
      </c>
      <c r="J16" s="216">
        <f>Pricing!G4</f>
        <v>3354</v>
      </c>
      <c r="K16" s="216">
        <f>Pricing!H4</f>
        <v>2440</v>
      </c>
      <c r="L16" s="216">
        <f>Pricing!I4</f>
        <v>1</v>
      </c>
      <c r="M16" s="188">
        <f t="shared" ref="M16:M24" si="0">J16*K16*L16/1000000</f>
        <v>8.1837599999999995</v>
      </c>
      <c r="N16" s="189">
        <f>'Cost Calculation'!AS8</f>
        <v>225232.88528896711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SD2</v>
      </c>
      <c r="E17" s="187" t="str">
        <f>Pricing!C5</f>
        <v>M14600</v>
      </c>
      <c r="F17" s="187" t="str">
        <f>Pricing!D5</f>
        <v>3 TRACK 4 SHUTTER SLIDING DOOR</v>
      </c>
      <c r="G17" s="187" t="str">
        <f>Pricing!N5</f>
        <v>24MM</v>
      </c>
      <c r="H17" s="187" t="str">
        <f>Pricing!F5</f>
        <v>GF - GREAT ROOM</v>
      </c>
      <c r="I17" s="216" t="str">
        <f>Pricing!E5</f>
        <v>SS</v>
      </c>
      <c r="J17" s="216">
        <f>Pricing!G5</f>
        <v>5386</v>
      </c>
      <c r="K17" s="216">
        <f>Pricing!H5</f>
        <v>2744</v>
      </c>
      <c r="L17" s="216">
        <f>Pricing!I5</f>
        <v>2</v>
      </c>
      <c r="M17" s="188">
        <f t="shared" si="0"/>
        <v>29.558368000000002</v>
      </c>
      <c r="N17" s="189">
        <f>'Cost Calculation'!AS9</f>
        <v>605533.32395254995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PD1</v>
      </c>
      <c r="E18" s="187" t="str">
        <f>Pricing!C6</f>
        <v>M14600</v>
      </c>
      <c r="F18" s="187" t="str">
        <f>Pricing!D6</f>
        <v>POCKET DOOR</v>
      </c>
      <c r="G18" s="187" t="str">
        <f>Pricing!N6</f>
        <v>24MM</v>
      </c>
      <c r="H18" s="187" t="str">
        <f>Pricing!F6</f>
        <v>GF - STUDY &amp; LIVING</v>
      </c>
      <c r="I18" s="216" t="str">
        <f>Pricing!E6</f>
        <v>NO</v>
      </c>
      <c r="J18" s="216">
        <f>Pricing!G6</f>
        <v>1983</v>
      </c>
      <c r="K18" s="216">
        <f>Pricing!H6</f>
        <v>2440</v>
      </c>
      <c r="L18" s="216">
        <f>Pricing!I6</f>
        <v>1</v>
      </c>
      <c r="M18" s="188">
        <f t="shared" si="0"/>
        <v>4.8385199999999999</v>
      </c>
      <c r="N18" s="189">
        <f>'Cost Calculation'!AS10</f>
        <v>125351.14178661065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PD2</v>
      </c>
      <c r="E19" s="187" t="str">
        <f>Pricing!C7</f>
        <v>M14600</v>
      </c>
      <c r="F19" s="187" t="str">
        <f>Pricing!D7</f>
        <v>POCKET DOOR</v>
      </c>
      <c r="G19" s="187" t="str">
        <f>Pricing!N7</f>
        <v>24MM</v>
      </c>
      <c r="H19" s="187" t="str">
        <f>Pricing!F7</f>
        <v>GF - GREAT &amp; FAMILY</v>
      </c>
      <c r="I19" s="216" t="str">
        <f>Pricing!E7</f>
        <v>NO</v>
      </c>
      <c r="J19" s="216">
        <f>Pricing!G7</f>
        <v>2450</v>
      </c>
      <c r="K19" s="216">
        <f>Pricing!H7</f>
        <v>2744</v>
      </c>
      <c r="L19" s="216">
        <f>Pricing!I7</f>
        <v>2</v>
      </c>
      <c r="M19" s="188">
        <f t="shared" si="0"/>
        <v>13.445600000000001</v>
      </c>
      <c r="N19" s="189">
        <f>'Cost Calculation'!AS11</f>
        <v>294566.81406596303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DW1-A</v>
      </c>
      <c r="E20" s="187" t="str">
        <f>Pricing!C8</f>
        <v>M15000</v>
      </c>
      <c r="F20" s="187" t="str">
        <f>Pricing!D8</f>
        <v>FRENCH CASEMENT WINDOW</v>
      </c>
      <c r="G20" s="187" t="str">
        <f>Pricing!N8</f>
        <v>24MM</v>
      </c>
      <c r="H20" s="187" t="str">
        <f>Pricing!F8</f>
        <v>GF - SERVANT ROOM</v>
      </c>
      <c r="I20" s="216" t="str">
        <f>Pricing!E8</f>
        <v>NO</v>
      </c>
      <c r="J20" s="216">
        <f>Pricing!G8</f>
        <v>1220</v>
      </c>
      <c r="K20" s="216">
        <f>Pricing!H8</f>
        <v>1372</v>
      </c>
      <c r="L20" s="216">
        <f>Pricing!I8</f>
        <v>1</v>
      </c>
      <c r="M20" s="188">
        <f t="shared" si="0"/>
        <v>1.67384</v>
      </c>
      <c r="N20" s="189">
        <f>'Cost Calculation'!AS12</f>
        <v>83465.126578780822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DW1-B</v>
      </c>
      <c r="E21" s="187" t="str">
        <f>Pricing!C9</f>
        <v>M15000</v>
      </c>
      <c r="F21" s="187" t="str">
        <f>Pricing!D9</f>
        <v>SINGLE DOOR</v>
      </c>
      <c r="G21" s="187" t="str">
        <f>Pricing!N9</f>
        <v>24MM</v>
      </c>
      <c r="H21" s="187" t="str">
        <f>Pricing!F9</f>
        <v>GF - SERVANT ROOM</v>
      </c>
      <c r="I21" s="216" t="str">
        <f>Pricing!E9</f>
        <v>NO</v>
      </c>
      <c r="J21" s="216">
        <f>Pricing!G9</f>
        <v>916</v>
      </c>
      <c r="K21" s="216">
        <f>Pricing!H9</f>
        <v>2440</v>
      </c>
      <c r="L21" s="216">
        <f>Pricing!I9</f>
        <v>1</v>
      </c>
      <c r="M21" s="188">
        <f t="shared" si="0"/>
        <v>2.2350400000000001</v>
      </c>
      <c r="N21" s="189">
        <f>'Cost Calculation'!AS13</f>
        <v>98736.666363175667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DW2-A</v>
      </c>
      <c r="E22" s="187" t="str">
        <f>Pricing!C10</f>
        <v>-</v>
      </c>
      <c r="F22" s="187" t="str">
        <f>Pricing!D10</f>
        <v>GLASS LOUVERS</v>
      </c>
      <c r="G22" s="187" t="str">
        <f>Pricing!N10</f>
        <v>6MM (A)</v>
      </c>
      <c r="H22" s="187" t="str">
        <f>Pricing!F10</f>
        <v>GF - UTILITY</v>
      </c>
      <c r="I22" s="216" t="str">
        <f>Pricing!E10</f>
        <v>SS</v>
      </c>
      <c r="J22" s="216">
        <f>Pricing!G10</f>
        <v>1068</v>
      </c>
      <c r="K22" s="216">
        <f>Pricing!H10</f>
        <v>1372</v>
      </c>
      <c r="L22" s="216">
        <f>Pricing!I10</f>
        <v>1</v>
      </c>
      <c r="M22" s="188">
        <f t="shared" si="0"/>
        <v>1.4652959999999999</v>
      </c>
      <c r="N22" s="189">
        <f>'Cost Calculation'!AS14</f>
        <v>22549.572882394299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DW2-B</v>
      </c>
      <c r="E23" s="187" t="str">
        <f>Pricing!C11</f>
        <v>M15000</v>
      </c>
      <c r="F23" s="187" t="str">
        <f>Pricing!D11</f>
        <v>SINGLE DOOR</v>
      </c>
      <c r="G23" s="187" t="str">
        <f>Pricing!N11</f>
        <v>24MM</v>
      </c>
      <c r="H23" s="187" t="str">
        <f>Pricing!F11</f>
        <v>GF - UTILITY</v>
      </c>
      <c r="I23" s="216" t="str">
        <f>Pricing!E11</f>
        <v>NO</v>
      </c>
      <c r="J23" s="216">
        <f>Pricing!G11</f>
        <v>916</v>
      </c>
      <c r="K23" s="216">
        <f>Pricing!H11</f>
        <v>2440</v>
      </c>
      <c r="L23" s="216">
        <f>Pricing!I11</f>
        <v>1</v>
      </c>
      <c r="M23" s="188">
        <f t="shared" si="0"/>
        <v>2.2350400000000001</v>
      </c>
      <c r="N23" s="189">
        <f>'Cost Calculation'!AS15</f>
        <v>94223.751744027482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DW2-C</v>
      </c>
      <c r="E24" s="187" t="str">
        <f>Pricing!C12</f>
        <v>-</v>
      </c>
      <c r="F24" s="187" t="str">
        <f>Pricing!D12</f>
        <v>GLASS LOUVERS</v>
      </c>
      <c r="G24" s="187" t="str">
        <f>Pricing!N12</f>
        <v>6MM (A)</v>
      </c>
      <c r="H24" s="187" t="str">
        <f>Pricing!F12</f>
        <v>GF - UTILITY</v>
      </c>
      <c r="I24" s="216" t="str">
        <f>Pricing!E12</f>
        <v>SS</v>
      </c>
      <c r="J24" s="216">
        <f>Pricing!G12</f>
        <v>610</v>
      </c>
      <c r="K24" s="216">
        <f>Pricing!H12</f>
        <v>1372</v>
      </c>
      <c r="L24" s="216">
        <f>Pricing!I12</f>
        <v>1</v>
      </c>
      <c r="M24" s="188">
        <f t="shared" si="0"/>
        <v>0.83692</v>
      </c>
      <c r="N24" s="189">
        <f>'Cost Calculation'!AS16</f>
        <v>16476.224986571302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DV1-A</v>
      </c>
      <c r="E25" s="187" t="str">
        <f>Pricing!C13</f>
        <v>M15000</v>
      </c>
      <c r="F25" s="187" t="str">
        <f>Pricing!D13</f>
        <v>SINGLE DOOR</v>
      </c>
      <c r="G25" s="187" t="str">
        <f>Pricing!N13</f>
        <v>24MM</v>
      </c>
      <c r="H25" s="187" t="str">
        <f>Pricing!F13</f>
        <v>GF - SERVANT TOILET</v>
      </c>
      <c r="I25" s="216" t="str">
        <f>Pricing!E13</f>
        <v>NO</v>
      </c>
      <c r="J25" s="216">
        <f>Pricing!G13</f>
        <v>916</v>
      </c>
      <c r="K25" s="216">
        <f>Pricing!H13</f>
        <v>2440</v>
      </c>
      <c r="L25" s="216">
        <f>Pricing!I13</f>
        <v>1</v>
      </c>
      <c r="M25" s="188">
        <f t="shared" ref="M25:M42" si="1">J25*K25*L25/1000000</f>
        <v>2.2350400000000001</v>
      </c>
      <c r="N25" s="189">
        <f>'Cost Calculation'!AS17</f>
        <v>98736.666363175667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DV1-B</v>
      </c>
      <c r="E26" s="187" t="str">
        <f>Pricing!C14</f>
        <v>-</v>
      </c>
      <c r="F26" s="187" t="str">
        <f>Pricing!D14</f>
        <v>GLASS LOUVERS</v>
      </c>
      <c r="G26" s="187" t="str">
        <f>Pricing!N14</f>
        <v>6MM (A)</v>
      </c>
      <c r="H26" s="187" t="str">
        <f>Pricing!F14</f>
        <v>GF - SERVANT TOILET</v>
      </c>
      <c r="I26" s="216" t="str">
        <f>Pricing!E14</f>
        <v>SS</v>
      </c>
      <c r="J26" s="216">
        <f>Pricing!G14</f>
        <v>864</v>
      </c>
      <c r="K26" s="216">
        <f>Pricing!H14</f>
        <v>916</v>
      </c>
      <c r="L26" s="216">
        <f>Pricing!I14</f>
        <v>1</v>
      </c>
      <c r="M26" s="188">
        <f t="shared" si="1"/>
        <v>0.79142400000000002</v>
      </c>
      <c r="N26" s="189">
        <f>'Cost Calculation'!AS18</f>
        <v>8442.7245148250113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</v>
      </c>
      <c r="E27" s="187" t="str">
        <f>Pricing!C15</f>
        <v>M15000</v>
      </c>
      <c r="F27" s="187" t="str">
        <f>Pricing!D15</f>
        <v>SINGLE DOOR</v>
      </c>
      <c r="G27" s="187" t="str">
        <f>Pricing!N15</f>
        <v>24MM</v>
      </c>
      <c r="H27" s="187" t="str">
        <f>Pricing!F15</f>
        <v>GF / FF - STAIRCASE</v>
      </c>
      <c r="I27" s="216" t="str">
        <f>Pricing!E15</f>
        <v>NO</v>
      </c>
      <c r="J27" s="216">
        <f>Pricing!G15</f>
        <v>712</v>
      </c>
      <c r="K27" s="216">
        <f>Pricing!H15</f>
        <v>2134</v>
      </c>
      <c r="L27" s="216">
        <f>Pricing!I15</f>
        <v>2</v>
      </c>
      <c r="M27" s="188">
        <f t="shared" si="1"/>
        <v>3.0388160000000002</v>
      </c>
      <c r="N27" s="189">
        <f>'Cost Calculation'!AS19</f>
        <v>170057.45612282809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W2</v>
      </c>
      <c r="E28" s="187" t="str">
        <f>Pricing!C16</f>
        <v>M15000</v>
      </c>
      <c r="F28" s="187" t="str">
        <f>Pricing!D16</f>
        <v>SINGLE DOOR</v>
      </c>
      <c r="G28" s="187" t="str">
        <f>Pricing!N16</f>
        <v>24MM</v>
      </c>
      <c r="H28" s="187" t="str">
        <f>Pricing!F16</f>
        <v>GF - MBR, GBR &amp; FF - BR 1 &amp; BR 2</v>
      </c>
      <c r="I28" s="216" t="str">
        <f>Pricing!E16</f>
        <v>NO</v>
      </c>
      <c r="J28" s="216">
        <f>Pricing!G16</f>
        <v>712</v>
      </c>
      <c r="K28" s="216">
        <f>Pricing!H16</f>
        <v>1678</v>
      </c>
      <c r="L28" s="216">
        <f>Pricing!I16</f>
        <v>8</v>
      </c>
      <c r="M28" s="188">
        <f t="shared" si="1"/>
        <v>9.5578880000000002</v>
      </c>
      <c r="N28" s="189">
        <f>'Cost Calculation'!AS20</f>
        <v>571259.63700178952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W3</v>
      </c>
      <c r="E29" s="187" t="str">
        <f>Pricing!C17</f>
        <v>M15000</v>
      </c>
      <c r="F29" s="187" t="str">
        <f>Pricing!D17</f>
        <v>FIXED GLASS 3 NO'S</v>
      </c>
      <c r="G29" s="187" t="str">
        <f>Pricing!N17</f>
        <v>24MM</v>
      </c>
      <c r="H29" s="187" t="str">
        <f>Pricing!F17</f>
        <v>FF - BR 1</v>
      </c>
      <c r="I29" s="216" t="str">
        <f>Pricing!E17</f>
        <v>NO</v>
      </c>
      <c r="J29" s="216">
        <f>Pricing!G17</f>
        <v>3864</v>
      </c>
      <c r="K29" s="216">
        <f>Pricing!H17</f>
        <v>1220</v>
      </c>
      <c r="L29" s="216">
        <f>Pricing!I17</f>
        <v>1</v>
      </c>
      <c r="M29" s="188">
        <f t="shared" si="1"/>
        <v>4.71408</v>
      </c>
      <c r="N29" s="189">
        <f>'Cost Calculation'!AS21</f>
        <v>67308.957337196902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W4-A</v>
      </c>
      <c r="E30" s="187" t="str">
        <f>Pricing!C18</f>
        <v>M15000</v>
      </c>
      <c r="F30" s="187" t="str">
        <f>Pricing!D18</f>
        <v>FIXED GLASS 3 NO'S</v>
      </c>
      <c r="G30" s="187" t="str">
        <f>Pricing!N18</f>
        <v>10MM</v>
      </c>
      <c r="H30" s="187" t="str">
        <f>Pricing!F18</f>
        <v>FF - GREAT ROOM</v>
      </c>
      <c r="I30" s="216" t="str">
        <f>Pricing!E18</f>
        <v>NO</v>
      </c>
      <c r="J30" s="216">
        <f>Pricing!G18</f>
        <v>6808</v>
      </c>
      <c r="K30" s="216">
        <f>Pricing!H18</f>
        <v>306</v>
      </c>
      <c r="L30" s="216">
        <f>Pricing!I18</f>
        <v>1</v>
      </c>
      <c r="M30" s="188">
        <f t="shared" si="1"/>
        <v>2.0832480000000002</v>
      </c>
      <c r="N30" s="189">
        <f>'Cost Calculation'!AS22</f>
        <v>60385.145915621761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W4-B</v>
      </c>
      <c r="E31" s="187" t="str">
        <f>Pricing!C19</f>
        <v>M15000</v>
      </c>
      <c r="F31" s="187" t="str">
        <f>Pricing!D19</f>
        <v>FIXED GLASS</v>
      </c>
      <c r="G31" s="187" t="str">
        <f>Pricing!N19</f>
        <v>10MM</v>
      </c>
      <c r="H31" s="187" t="str">
        <f>Pricing!F19</f>
        <v>FF - GREAT ROOM</v>
      </c>
      <c r="I31" s="216" t="str">
        <f>Pricing!E19</f>
        <v>NO</v>
      </c>
      <c r="J31" s="216">
        <f>Pricing!G19</f>
        <v>2186</v>
      </c>
      <c r="K31" s="216">
        <f>Pricing!H19</f>
        <v>306</v>
      </c>
      <c r="L31" s="216">
        <f>Pricing!I19</f>
        <v>1</v>
      </c>
      <c r="M31" s="188">
        <f t="shared" si="1"/>
        <v>0.66891599999999996</v>
      </c>
      <c r="N31" s="189">
        <f>'Cost Calculation'!AS23</f>
        <v>17674.401063725763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W4-C</v>
      </c>
      <c r="E32" s="187" t="str">
        <f>Pricing!C20</f>
        <v>M15000</v>
      </c>
      <c r="F32" s="187" t="str">
        <f>Pricing!D20</f>
        <v>FIXED GLASS</v>
      </c>
      <c r="G32" s="187" t="str">
        <f>Pricing!N20</f>
        <v>10MM</v>
      </c>
      <c r="H32" s="187" t="str">
        <f>Pricing!F20</f>
        <v>FF - GREAT ROOM</v>
      </c>
      <c r="I32" s="216" t="str">
        <f>Pricing!E20</f>
        <v>NO</v>
      </c>
      <c r="J32" s="216">
        <f>Pricing!G20</f>
        <v>610</v>
      </c>
      <c r="K32" s="216">
        <f>Pricing!H20</f>
        <v>3272</v>
      </c>
      <c r="L32" s="216">
        <f>Pricing!I20</f>
        <v>1</v>
      </c>
      <c r="M32" s="188">
        <f t="shared" si="1"/>
        <v>1.9959199999999999</v>
      </c>
      <c r="N32" s="189">
        <f>'Cost Calculation'!AS24</f>
        <v>29163.437397269518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SW1</v>
      </c>
      <c r="E33" s="187" t="str">
        <f>Pricing!C21</f>
        <v>M900</v>
      </c>
      <c r="F33" s="187" t="str">
        <f>Pricing!D21</f>
        <v>3 TRACK 2 SHUTTER SLIDING WINDOW</v>
      </c>
      <c r="G33" s="187" t="str">
        <f>Pricing!N21</f>
        <v>20MM</v>
      </c>
      <c r="H33" s="187" t="str">
        <f>Pricing!F21</f>
        <v>GF - STAFF RECEPTION ROOM</v>
      </c>
      <c r="I33" s="216" t="str">
        <f>Pricing!E21</f>
        <v>SS</v>
      </c>
      <c r="J33" s="216">
        <f>Pricing!G21</f>
        <v>1170</v>
      </c>
      <c r="K33" s="216">
        <f>Pricing!H21</f>
        <v>1372</v>
      </c>
      <c r="L33" s="216">
        <f>Pricing!I21</f>
        <v>1</v>
      </c>
      <c r="M33" s="188">
        <f t="shared" si="1"/>
        <v>1.60524</v>
      </c>
      <c r="N33" s="189">
        <f>'Cost Calculation'!AS25</f>
        <v>44258.263988155217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SW3</v>
      </c>
      <c r="E34" s="187" t="str">
        <f>Pricing!C22</f>
        <v>M900</v>
      </c>
      <c r="F34" s="187" t="str">
        <f>Pricing!D22</f>
        <v>3 TRACK 2 SHUTTER SLIDING WINDOW</v>
      </c>
      <c r="G34" s="187" t="str">
        <f>Pricing!N22</f>
        <v>20MM</v>
      </c>
      <c r="H34" s="187" t="str">
        <f>Pricing!F22</f>
        <v>GF - STUDY &amp; LIVING</v>
      </c>
      <c r="I34" s="216" t="str">
        <f>Pricing!E22</f>
        <v>SS</v>
      </c>
      <c r="J34" s="216">
        <f>Pricing!G22</f>
        <v>2490</v>
      </c>
      <c r="K34" s="216">
        <f>Pricing!H22</f>
        <v>1524</v>
      </c>
      <c r="L34" s="216">
        <f>Pricing!I22</f>
        <v>1</v>
      </c>
      <c r="M34" s="188">
        <f t="shared" si="1"/>
        <v>3.7947600000000001</v>
      </c>
      <c r="N34" s="189">
        <f>'Cost Calculation'!AS26</f>
        <v>68306.252912009033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SW4</v>
      </c>
      <c r="E35" s="187" t="str">
        <f>Pricing!C23</f>
        <v>M14600</v>
      </c>
      <c r="F35" s="187" t="str">
        <f>Pricing!D23</f>
        <v>3 TRACK 2 SHUTTER SLIDING DOOR</v>
      </c>
      <c r="G35" s="187" t="str">
        <f>Pricing!N23</f>
        <v>24MM</v>
      </c>
      <c r="H35" s="187" t="str">
        <f>Pricing!F23</f>
        <v>GF - FAMILY AREA</v>
      </c>
      <c r="I35" s="216" t="str">
        <f>Pricing!E23</f>
        <v>SS</v>
      </c>
      <c r="J35" s="216">
        <f>Pricing!G23</f>
        <v>2948</v>
      </c>
      <c r="K35" s="216">
        <f>Pricing!H23</f>
        <v>2134</v>
      </c>
      <c r="L35" s="216">
        <f>Pricing!I23</f>
        <v>1</v>
      </c>
      <c r="M35" s="188">
        <f t="shared" si="1"/>
        <v>6.2910320000000004</v>
      </c>
      <c r="N35" s="189">
        <f>'Cost Calculation'!AS27</f>
        <v>144698.69821908581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SW5</v>
      </c>
      <c r="E36" s="187" t="str">
        <f>Pricing!C24</f>
        <v>M14600</v>
      </c>
      <c r="F36" s="187" t="str">
        <f>Pricing!D24</f>
        <v>3 TRACK 2 SHUTTER SLIDING WINDOW</v>
      </c>
      <c r="G36" s="187" t="str">
        <f>Pricing!N24</f>
        <v>24MM</v>
      </c>
      <c r="H36" s="187" t="str">
        <f>Pricing!F24</f>
        <v>GF - STUDY ROOM</v>
      </c>
      <c r="I36" s="216" t="str">
        <f>Pricing!E24</f>
        <v>SS</v>
      </c>
      <c r="J36" s="216">
        <f>Pricing!G24</f>
        <v>3302</v>
      </c>
      <c r="K36" s="216">
        <f>Pricing!H24</f>
        <v>1372</v>
      </c>
      <c r="L36" s="216">
        <f>Pricing!I24</f>
        <v>1</v>
      </c>
      <c r="M36" s="188">
        <f t="shared" si="1"/>
        <v>4.5303440000000004</v>
      </c>
      <c r="N36" s="189">
        <f>'Cost Calculation'!AS28</f>
        <v>117446.72413524256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SW6</v>
      </c>
      <c r="E37" s="187" t="str">
        <f>Pricing!C25</f>
        <v>M900</v>
      </c>
      <c r="F37" s="187" t="str">
        <f>Pricing!D25</f>
        <v>3 TRACK 2 SHUTTER SLIDING WINDOW</v>
      </c>
      <c r="G37" s="187" t="str">
        <f>Pricing!N25</f>
        <v>20MM</v>
      </c>
      <c r="H37" s="187" t="str">
        <f>Pricing!F25</f>
        <v>GF - STAFF RECEPTION ROOM</v>
      </c>
      <c r="I37" s="216" t="str">
        <f>Pricing!E25</f>
        <v>SS</v>
      </c>
      <c r="J37" s="216">
        <f>Pricing!G25</f>
        <v>1322</v>
      </c>
      <c r="K37" s="216">
        <f>Pricing!H25</f>
        <v>1372</v>
      </c>
      <c r="L37" s="216">
        <f>Pricing!I25</f>
        <v>1</v>
      </c>
      <c r="M37" s="188">
        <f t="shared" si="1"/>
        <v>1.8137840000000001</v>
      </c>
      <c r="N37" s="189">
        <f>'Cost Calculation'!AS29</f>
        <v>46570.344896758841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SW7</v>
      </c>
      <c r="E38" s="187" t="str">
        <f>Pricing!C26</f>
        <v>M14600</v>
      </c>
      <c r="F38" s="187" t="str">
        <f>Pricing!D26</f>
        <v>3 TRACK 4 SHUTTER SLIDING DOOR</v>
      </c>
      <c r="G38" s="187" t="str">
        <f>Pricing!N26</f>
        <v>24MM</v>
      </c>
      <c r="H38" s="187" t="str">
        <f>Pricing!F26</f>
        <v>GF - DINING</v>
      </c>
      <c r="I38" s="216" t="str">
        <f>Pricing!E26</f>
        <v>SS</v>
      </c>
      <c r="J38" s="216">
        <f>Pricing!G26</f>
        <v>3862</v>
      </c>
      <c r="K38" s="216">
        <f>Pricing!H26</f>
        <v>2134</v>
      </c>
      <c r="L38" s="216">
        <f>Pricing!I26</f>
        <v>1</v>
      </c>
      <c r="M38" s="188">
        <f t="shared" si="1"/>
        <v>8.2415079999999996</v>
      </c>
      <c r="N38" s="189">
        <f>'Cost Calculation'!AS30</f>
        <v>224519.47607399081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SW8</v>
      </c>
      <c r="E39" s="187" t="str">
        <f>Pricing!C27</f>
        <v>M14600</v>
      </c>
      <c r="F39" s="187" t="str">
        <f>Pricing!D27</f>
        <v>3 TRACK 2 SHUTTER SLIDING DOOR</v>
      </c>
      <c r="G39" s="187" t="str">
        <f>Pricing!N27</f>
        <v>24MM</v>
      </c>
      <c r="H39" s="187" t="str">
        <f>Pricing!F27</f>
        <v>GF - POOJA ROOM</v>
      </c>
      <c r="I39" s="216" t="str">
        <f>Pricing!E27</f>
        <v>SS</v>
      </c>
      <c r="J39" s="216">
        <f>Pricing!G27</f>
        <v>1372</v>
      </c>
      <c r="K39" s="216">
        <f>Pricing!H27</f>
        <v>2134</v>
      </c>
      <c r="L39" s="216">
        <f>Pricing!I27</f>
        <v>1</v>
      </c>
      <c r="M39" s="188">
        <f t="shared" si="1"/>
        <v>2.927848</v>
      </c>
      <c r="N39" s="189">
        <f>'Cost Calculation'!AS31</f>
        <v>98722.554731870929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SW9</v>
      </c>
      <c r="E40" s="187" t="str">
        <f>Pricing!C28</f>
        <v>M900</v>
      </c>
      <c r="F40" s="187" t="str">
        <f>Pricing!D28</f>
        <v>3 TRACK 2 SHUTTER SLIDING WINDOW</v>
      </c>
      <c r="G40" s="187" t="str">
        <f>Pricing!N28</f>
        <v>20MM</v>
      </c>
      <c r="H40" s="187" t="str">
        <f>Pricing!F28</f>
        <v>GF - KITCHEN</v>
      </c>
      <c r="I40" s="216" t="str">
        <f>Pricing!E28</f>
        <v>SS</v>
      </c>
      <c r="J40" s="216">
        <f>Pricing!G28</f>
        <v>1778</v>
      </c>
      <c r="K40" s="216">
        <f>Pricing!H28</f>
        <v>1372</v>
      </c>
      <c r="L40" s="216">
        <f>Pricing!I28</f>
        <v>1</v>
      </c>
      <c r="M40" s="188">
        <f t="shared" si="1"/>
        <v>2.439416</v>
      </c>
      <c r="N40" s="189">
        <f>'Cost Calculation'!AS32</f>
        <v>53506.587622569707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SW10</v>
      </c>
      <c r="E41" s="187" t="str">
        <f>Pricing!C29</f>
        <v>M14600</v>
      </c>
      <c r="F41" s="187" t="str">
        <f>Pricing!D29</f>
        <v>3 TRACK 4 SHUTTER SLIDING WINDOW</v>
      </c>
      <c r="G41" s="187" t="str">
        <f>Pricing!N29</f>
        <v>24MM</v>
      </c>
      <c r="H41" s="187" t="str">
        <f>Pricing!F29</f>
        <v>FF - FAMILY ROOM</v>
      </c>
      <c r="I41" s="216" t="str">
        <f>Pricing!E29</f>
        <v>SS</v>
      </c>
      <c r="J41" s="216">
        <f>Pricing!G29</f>
        <v>3862</v>
      </c>
      <c r="K41" s="216">
        <f>Pricing!H29</f>
        <v>1678</v>
      </c>
      <c r="L41" s="216">
        <f>Pricing!I29</f>
        <v>1</v>
      </c>
      <c r="M41" s="188">
        <f t="shared" si="1"/>
        <v>6.4804360000000001</v>
      </c>
      <c r="N41" s="189">
        <f>'Cost Calculation'!AS33</f>
        <v>195107.74018256675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SW11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24MM</v>
      </c>
      <c r="H42" s="187" t="str">
        <f>Pricing!F30</f>
        <v>FF - BAR</v>
      </c>
      <c r="I42" s="216" t="str">
        <f>Pricing!E30</f>
        <v>SS</v>
      </c>
      <c r="J42" s="216">
        <f>Pricing!G30</f>
        <v>3302</v>
      </c>
      <c r="K42" s="216">
        <f>Pricing!H30</f>
        <v>1830</v>
      </c>
      <c r="L42" s="216">
        <f>Pricing!I30</f>
        <v>1</v>
      </c>
      <c r="M42" s="188">
        <f t="shared" si="1"/>
        <v>6.0426599999999997</v>
      </c>
      <c r="N42" s="189">
        <f>'Cost Calculation'!AS34</f>
        <v>139454.65244102245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SFW1</v>
      </c>
      <c r="E43" s="187" t="str">
        <f>Pricing!C31</f>
        <v>M9800</v>
      </c>
      <c r="F43" s="187" t="str">
        <f>Pricing!D31</f>
        <v>5 LEAF SLIDING FOLDING WINDOW</v>
      </c>
      <c r="G43" s="187" t="str">
        <f>Pricing!N31</f>
        <v>24MM</v>
      </c>
      <c r="H43" s="187" t="str">
        <f>Pricing!F31</f>
        <v>FF - FAMILY ROOM</v>
      </c>
      <c r="I43" s="216" t="str">
        <f>Pricing!E31</f>
        <v>NO</v>
      </c>
      <c r="J43" s="216">
        <f>Pricing!G31</f>
        <v>4572</v>
      </c>
      <c r="K43" s="216">
        <f>Pricing!H31</f>
        <v>1830</v>
      </c>
      <c r="L43" s="216">
        <f>Pricing!I31</f>
        <v>1</v>
      </c>
      <c r="M43" s="188">
        <f t="shared" ref="M43:M92" si="2">J43*K43*L43/1000000</f>
        <v>8.3667599999999993</v>
      </c>
      <c r="N43" s="189">
        <f>'Cost Calculation'!AS35</f>
        <v>322208.55458298151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CW1-A</v>
      </c>
      <c r="E44" s="187" t="str">
        <f>Pricing!C32</f>
        <v>M15000</v>
      </c>
      <c r="F44" s="187" t="str">
        <f>Pricing!D32</f>
        <v>SIDE HUNG WITH FIXED GLASS</v>
      </c>
      <c r="G44" s="187" t="str">
        <f>Pricing!N32</f>
        <v>24MM</v>
      </c>
      <c r="H44" s="187" t="str">
        <f>Pricing!F32</f>
        <v>GF - KITCHEN</v>
      </c>
      <c r="I44" s="216" t="str">
        <f>Pricing!E32</f>
        <v>NO</v>
      </c>
      <c r="J44" s="216">
        <f>Pricing!G32</f>
        <v>1728</v>
      </c>
      <c r="K44" s="216">
        <f>Pricing!H32</f>
        <v>1372</v>
      </c>
      <c r="L44" s="216">
        <f>Pricing!I32</f>
        <v>1</v>
      </c>
      <c r="M44" s="188">
        <f t="shared" si="2"/>
        <v>2.370816</v>
      </c>
      <c r="N44" s="189">
        <f>'Cost Calculation'!AS36</f>
        <v>84204.24190524299</v>
      </c>
      <c r="O44" s="95"/>
    </row>
    <row r="45" spans="2:15" s="94" customFormat="1" ht="49.9" customHeight="1" thickTop="1" thickBot="1">
      <c r="B45" s="414">
        <f>Pricing!A33</f>
        <v>30</v>
      </c>
      <c r="C45" s="415"/>
      <c r="D45" s="187" t="str">
        <f>Pricing!B33</f>
        <v>CW1-B</v>
      </c>
      <c r="E45" s="187" t="str">
        <f>Pricing!C33</f>
        <v>M14600</v>
      </c>
      <c r="F45" s="187" t="str">
        <f>Pricing!D33</f>
        <v>3 TRACK 2 SHUTTER SLIDING WINDOW</v>
      </c>
      <c r="G45" s="187" t="str">
        <f>Pricing!N33</f>
        <v>24MM</v>
      </c>
      <c r="H45" s="187" t="str">
        <f>Pricing!F33</f>
        <v>GF - KITCHEN</v>
      </c>
      <c r="I45" s="216" t="str">
        <f>Pricing!E33</f>
        <v>SS</v>
      </c>
      <c r="J45" s="216">
        <f>Pricing!G33</f>
        <v>2032</v>
      </c>
      <c r="K45" s="216">
        <f>Pricing!H33</f>
        <v>1372</v>
      </c>
      <c r="L45" s="216">
        <f>Pricing!I33</f>
        <v>1</v>
      </c>
      <c r="M45" s="188">
        <f t="shared" si="2"/>
        <v>2.7879040000000002</v>
      </c>
      <c r="N45" s="189">
        <f>'Cost Calculation'!AS37</f>
        <v>84844.438137256555</v>
      </c>
      <c r="O45" s="95"/>
    </row>
    <row r="46" spans="2:15" s="94" customFormat="1" ht="49.9" customHeight="1" thickTop="1" thickBot="1">
      <c r="B46" s="414">
        <f>Pricing!A34</f>
        <v>31</v>
      </c>
      <c r="C46" s="415"/>
      <c r="D46" s="187" t="str">
        <f>Pricing!B34</f>
        <v>CW2-A</v>
      </c>
      <c r="E46" s="187" t="str">
        <f>Pricing!C34</f>
        <v>M14600</v>
      </c>
      <c r="F46" s="187" t="str">
        <f>Pricing!D34</f>
        <v>3 TRACK 2 SHUTTER SLIDING WINDOW</v>
      </c>
      <c r="G46" s="187" t="str">
        <f>Pricing!N34</f>
        <v>24MM</v>
      </c>
      <c r="H46" s="187" t="str">
        <f>Pricing!F34</f>
        <v>GF - MBR &amp; FF - BR 1</v>
      </c>
      <c r="I46" s="216" t="str">
        <f>Pricing!E34</f>
        <v>SS</v>
      </c>
      <c r="J46" s="216">
        <f>Pricing!G34</f>
        <v>1524</v>
      </c>
      <c r="K46" s="216">
        <f>Pricing!H34</f>
        <v>1678</v>
      </c>
      <c r="L46" s="216">
        <f>Pricing!I34</f>
        <v>2</v>
      </c>
      <c r="M46" s="188">
        <f t="shared" si="2"/>
        <v>5.1145440000000004</v>
      </c>
      <c r="N46" s="189">
        <f>'Cost Calculation'!AS38</f>
        <v>174149.04340341489</v>
      </c>
      <c r="O46" s="95"/>
    </row>
    <row r="47" spans="2:15" s="94" customFormat="1" ht="49.9" customHeight="1" thickTop="1" thickBot="1">
      <c r="B47" s="414">
        <f>Pricing!A35</f>
        <v>32</v>
      </c>
      <c r="C47" s="415"/>
      <c r="D47" s="187" t="str">
        <f>Pricing!B35</f>
        <v>CW2-B</v>
      </c>
      <c r="E47" s="187" t="str">
        <f>Pricing!C35</f>
        <v>M15000</v>
      </c>
      <c r="F47" s="187" t="str">
        <f>Pricing!D35</f>
        <v>FIXED GLASS CORNOR WINDOW</v>
      </c>
      <c r="G47" s="187" t="str">
        <f>Pricing!N35</f>
        <v>24MM</v>
      </c>
      <c r="H47" s="187" t="str">
        <f>Pricing!F35</f>
        <v>GF - MBR &amp; FF - BR 1</v>
      </c>
      <c r="I47" s="216" t="str">
        <f>Pricing!E35</f>
        <v>NO</v>
      </c>
      <c r="J47" s="216">
        <f>Pricing!G35</f>
        <v>2924</v>
      </c>
      <c r="K47" s="216">
        <f>Pricing!H35</f>
        <v>1678</v>
      </c>
      <c r="L47" s="216">
        <f>Pricing!I35</f>
        <v>2</v>
      </c>
      <c r="M47" s="188">
        <f t="shared" si="2"/>
        <v>9.8129439999999999</v>
      </c>
      <c r="N47" s="189">
        <f>'Cost Calculation'!AS39</f>
        <v>92153.033161554064</v>
      </c>
      <c r="O47" s="95"/>
    </row>
    <row r="48" spans="2:15" s="94" customFormat="1" ht="49.9" customHeight="1" thickTop="1" thickBot="1">
      <c r="B48" s="414">
        <f>Pricing!A36</f>
        <v>33</v>
      </c>
      <c r="C48" s="415"/>
      <c r="D48" s="187" t="str">
        <f>Pricing!B36</f>
        <v>CW2-C</v>
      </c>
      <c r="E48" s="187" t="str">
        <f>Pricing!C36</f>
        <v>M14600</v>
      </c>
      <c r="F48" s="187" t="str">
        <f>Pricing!D36</f>
        <v>3 TRACK 2 SHUTTER SLIDING WINDOW</v>
      </c>
      <c r="G48" s="187" t="str">
        <f>Pricing!N36</f>
        <v>24MM</v>
      </c>
      <c r="H48" s="187" t="str">
        <f>Pricing!F36</f>
        <v>GF - MBR &amp; FF - BR 1</v>
      </c>
      <c r="I48" s="216" t="str">
        <f>Pricing!E36</f>
        <v>SS</v>
      </c>
      <c r="J48" s="216">
        <f>Pricing!G36</f>
        <v>1830</v>
      </c>
      <c r="K48" s="216">
        <f>Pricing!H36</f>
        <v>1678</v>
      </c>
      <c r="L48" s="216">
        <f>Pricing!I36</f>
        <v>2</v>
      </c>
      <c r="M48" s="188">
        <f t="shared" si="2"/>
        <v>6.1414799999999996</v>
      </c>
      <c r="N48" s="189">
        <f>'Cost Calculation'!AS40</f>
        <v>188484.92842533698</v>
      </c>
      <c r="O48" s="95"/>
    </row>
    <row r="49" spans="2:15" s="94" customFormat="1" ht="49.9" customHeight="1" thickTop="1" thickBot="1">
      <c r="B49" s="414">
        <f>Pricing!A37</f>
        <v>34</v>
      </c>
      <c r="C49" s="415"/>
      <c r="D49" s="187" t="str">
        <f>Pricing!B37</f>
        <v>CW3-A</v>
      </c>
      <c r="E49" s="187" t="str">
        <f>Pricing!C37</f>
        <v>M14600</v>
      </c>
      <c r="F49" s="187" t="str">
        <f>Pricing!D37</f>
        <v>3 TRACK 2 SHUTTER SLIDING WINDOW</v>
      </c>
      <c r="G49" s="187" t="str">
        <f>Pricing!N37</f>
        <v>24MM</v>
      </c>
      <c r="H49" s="187" t="str">
        <f>Pricing!F37</f>
        <v>GF - GBR &amp; FF - BR 2</v>
      </c>
      <c r="I49" s="216" t="str">
        <f>Pricing!E37</f>
        <v>SS</v>
      </c>
      <c r="J49" s="216">
        <f>Pricing!G37</f>
        <v>1830</v>
      </c>
      <c r="K49" s="216">
        <f>Pricing!H37</f>
        <v>1678</v>
      </c>
      <c r="L49" s="216">
        <f>Pricing!I37</f>
        <v>2</v>
      </c>
      <c r="M49" s="188">
        <f t="shared" si="2"/>
        <v>6.1414799999999996</v>
      </c>
      <c r="N49" s="189">
        <f>'Cost Calculation'!AS41</f>
        <v>188484.92842533698</v>
      </c>
      <c r="O49" s="95"/>
    </row>
    <row r="50" spans="2:15" s="94" customFormat="1" ht="49.9" customHeight="1" thickTop="1" thickBot="1">
      <c r="B50" s="414">
        <f>Pricing!A38</f>
        <v>35</v>
      </c>
      <c r="C50" s="415"/>
      <c r="D50" s="187" t="str">
        <f>Pricing!B38</f>
        <v>CW3-B</v>
      </c>
      <c r="E50" s="187" t="str">
        <f>Pricing!C38</f>
        <v>M15000</v>
      </c>
      <c r="F50" s="187" t="str">
        <f>Pricing!D38</f>
        <v>FIXED GLASS CORNOR WINDOW</v>
      </c>
      <c r="G50" s="187" t="str">
        <f>Pricing!N38</f>
        <v>24MM</v>
      </c>
      <c r="H50" s="187" t="str">
        <f>Pricing!F38</f>
        <v>GF - GBR &amp; FF - BR 2</v>
      </c>
      <c r="I50" s="216" t="str">
        <f>Pricing!E38</f>
        <v>NO</v>
      </c>
      <c r="J50" s="216">
        <f>Pricing!G38</f>
        <v>2694</v>
      </c>
      <c r="K50" s="216">
        <f>Pricing!H38</f>
        <v>1678</v>
      </c>
      <c r="L50" s="216">
        <f>Pricing!I38</f>
        <v>2</v>
      </c>
      <c r="M50" s="188">
        <f t="shared" si="2"/>
        <v>9.0410640000000004</v>
      </c>
      <c r="N50" s="189">
        <f>'Cost Calculation'!AS42</f>
        <v>86506.335852842225</v>
      </c>
      <c r="O50" s="95"/>
    </row>
    <row r="51" spans="2:15" s="94" customFormat="1" ht="49.9" customHeight="1" thickTop="1" thickBot="1">
      <c r="B51" s="414">
        <f>Pricing!A39</f>
        <v>36</v>
      </c>
      <c r="C51" s="415"/>
      <c r="D51" s="187" t="str">
        <f>Pricing!B39</f>
        <v>CW3-C</v>
      </c>
      <c r="E51" s="187" t="str">
        <f>Pricing!C39</f>
        <v>M14600</v>
      </c>
      <c r="F51" s="187" t="str">
        <f>Pricing!D39</f>
        <v>3 TRACK 2 SHUTTER SLIDING WINDOW</v>
      </c>
      <c r="G51" s="187" t="str">
        <f>Pricing!N39</f>
        <v>24MM</v>
      </c>
      <c r="H51" s="187" t="str">
        <f>Pricing!F39</f>
        <v>GF - GBR &amp; FF - BR 2</v>
      </c>
      <c r="I51" s="216" t="str">
        <f>Pricing!E39</f>
        <v>SS</v>
      </c>
      <c r="J51" s="216">
        <f>Pricing!G39</f>
        <v>1830</v>
      </c>
      <c r="K51" s="216">
        <f>Pricing!H39</f>
        <v>1678</v>
      </c>
      <c r="L51" s="216">
        <f>Pricing!I39</f>
        <v>2</v>
      </c>
      <c r="M51" s="188">
        <f t="shared" si="2"/>
        <v>6.1414799999999996</v>
      </c>
      <c r="N51" s="189">
        <f>'Cost Calculation'!AS43</f>
        <v>188484.92842533698</v>
      </c>
      <c r="O51" s="95"/>
    </row>
    <row r="52" spans="2:15" s="94" customFormat="1" ht="49.9" customHeight="1" thickTop="1" thickBot="1">
      <c r="B52" s="414">
        <f>Pricing!A40</f>
        <v>37</v>
      </c>
      <c r="C52" s="415"/>
      <c r="D52" s="187" t="str">
        <f>Pricing!B40</f>
        <v>CW4-A</v>
      </c>
      <c r="E52" s="187" t="str">
        <f>Pricing!C40</f>
        <v>M14600</v>
      </c>
      <c r="F52" s="187" t="str">
        <f>Pricing!D40</f>
        <v>3 TRACK 2 SHUTTER SLIDING WINDOW</v>
      </c>
      <c r="G52" s="187" t="str">
        <f>Pricing!N40</f>
        <v>24MM</v>
      </c>
      <c r="H52" s="187" t="str">
        <f>Pricing!F40</f>
        <v>GF - DINING</v>
      </c>
      <c r="I52" s="216" t="str">
        <f>Pricing!E40</f>
        <v>SS</v>
      </c>
      <c r="J52" s="216">
        <f>Pricing!G40</f>
        <v>2694</v>
      </c>
      <c r="K52" s="216">
        <f>Pricing!H40</f>
        <v>1678</v>
      </c>
      <c r="L52" s="216">
        <f>Pricing!I40</f>
        <v>1</v>
      </c>
      <c r="M52" s="188">
        <f t="shared" si="2"/>
        <v>4.5205320000000002</v>
      </c>
      <c r="N52" s="189">
        <f>'Cost Calculation'!AS44</f>
        <v>206659.26901334591</v>
      </c>
      <c r="O52" s="95"/>
    </row>
    <row r="53" spans="2:15" s="94" customFormat="1" ht="49.9" customHeight="1" thickTop="1" thickBot="1">
      <c r="B53" s="414">
        <f>Pricing!A41</f>
        <v>38</v>
      </c>
      <c r="C53" s="415"/>
      <c r="D53" s="187" t="str">
        <f>Pricing!B41</f>
        <v>CW4-B</v>
      </c>
      <c r="E53" s="187" t="str">
        <f>Pricing!C41</f>
        <v>M15000</v>
      </c>
      <c r="F53" s="187" t="str">
        <f>Pricing!D41</f>
        <v>FIXED GLASS CORNOR WINDOW</v>
      </c>
      <c r="G53" s="187" t="str">
        <f>Pricing!N41</f>
        <v>24MM</v>
      </c>
      <c r="H53" s="187" t="str">
        <f>Pricing!F41</f>
        <v>GF - DINING</v>
      </c>
      <c r="I53" s="216" t="str">
        <f>Pricing!E41</f>
        <v>NO</v>
      </c>
      <c r="J53" s="216">
        <f>Pricing!G41</f>
        <v>2288</v>
      </c>
      <c r="K53" s="216">
        <f>Pricing!H41</f>
        <v>1678</v>
      </c>
      <c r="L53" s="216">
        <f>Pricing!I41</f>
        <v>1</v>
      </c>
      <c r="M53" s="188">
        <f t="shared" si="2"/>
        <v>3.839264</v>
      </c>
      <c r="N53" s="189">
        <f>'Cost Calculation'!AS45</f>
        <v>38265.584975564343</v>
      </c>
      <c r="O53" s="95"/>
    </row>
    <row r="54" spans="2:15" s="94" customFormat="1" ht="49.9" customHeight="1" thickTop="1" thickBot="1">
      <c r="B54" s="414">
        <f>Pricing!A42</f>
        <v>39</v>
      </c>
      <c r="C54" s="415"/>
      <c r="D54" s="187" t="str">
        <f>Pricing!B42</f>
        <v>CW4-C</v>
      </c>
      <c r="E54" s="187" t="str">
        <f>Pricing!C42</f>
        <v>M14600</v>
      </c>
      <c r="F54" s="187" t="str">
        <f>Pricing!D42</f>
        <v>3 TRACK 2 SHUTTER SLIDING WINDOW</v>
      </c>
      <c r="G54" s="187" t="str">
        <f>Pricing!N42</f>
        <v>24MM</v>
      </c>
      <c r="H54" s="187" t="str">
        <f>Pricing!F42</f>
        <v>GF - DINING</v>
      </c>
      <c r="I54" s="216" t="str">
        <f>Pricing!E42</f>
        <v>SS</v>
      </c>
      <c r="J54" s="216">
        <f>Pricing!G42</f>
        <v>1830</v>
      </c>
      <c r="K54" s="216">
        <f>Pricing!H42</f>
        <v>1678</v>
      </c>
      <c r="L54" s="216">
        <f>Pricing!I42</f>
        <v>1</v>
      </c>
      <c r="M54" s="188">
        <f t="shared" si="2"/>
        <v>3.0707399999999998</v>
      </c>
      <c r="N54" s="189">
        <f>'Cost Calculation'!AS46</f>
        <v>94242.464212668492</v>
      </c>
      <c r="O54" s="95"/>
    </row>
    <row r="55" spans="2:15" s="94" customFormat="1" ht="49.9" customHeight="1" thickTop="1" thickBot="1">
      <c r="B55" s="414">
        <f>Pricing!A43</f>
        <v>40</v>
      </c>
      <c r="C55" s="415"/>
      <c r="D55" s="187" t="str">
        <f>Pricing!B43</f>
        <v>V1</v>
      </c>
      <c r="E55" s="187" t="str">
        <f>Pricing!C43</f>
        <v>-</v>
      </c>
      <c r="F55" s="187" t="str">
        <f>Pricing!D43</f>
        <v>GLASS LOUVERS</v>
      </c>
      <c r="G55" s="187" t="str">
        <f>Pricing!N43</f>
        <v>6MM (A)</v>
      </c>
      <c r="H55" s="187" t="str">
        <f>Pricing!F43</f>
        <v>GF - POWDER ROOM TOILET</v>
      </c>
      <c r="I55" s="216" t="str">
        <f>Pricing!E43</f>
        <v>NO</v>
      </c>
      <c r="J55" s="216">
        <f>Pricing!G43</f>
        <v>610</v>
      </c>
      <c r="K55" s="216">
        <f>Pricing!H43</f>
        <v>610</v>
      </c>
      <c r="L55" s="216">
        <f>Pricing!I43</f>
        <v>1</v>
      </c>
      <c r="M55" s="188">
        <f t="shared" si="2"/>
        <v>0.37209999999999999</v>
      </c>
      <c r="N55" s="189">
        <f>'Cost Calculation'!AS47</f>
        <v>5287.7539627316783</v>
      </c>
      <c r="O55" s="95"/>
    </row>
    <row r="56" spans="2:15" s="94" customFormat="1" ht="49.9" customHeight="1" thickTop="1" thickBot="1">
      <c r="B56" s="414">
        <f>Pricing!A44</f>
        <v>41</v>
      </c>
      <c r="C56" s="415"/>
      <c r="D56" s="187" t="str">
        <f>Pricing!B44</f>
        <v>V2</v>
      </c>
      <c r="E56" s="187" t="str">
        <f>Pricing!C44</f>
        <v>-</v>
      </c>
      <c r="F56" s="187" t="str">
        <f>Pricing!D44</f>
        <v>GLASS LOUVERS</v>
      </c>
      <c r="G56" s="187" t="str">
        <f>Pricing!N44</f>
        <v>6MM (A)</v>
      </c>
      <c r="H56" s="187" t="str">
        <f>Pricing!F44</f>
        <v>GF - MBR, GBR &amp; FF - BR 1 &amp; BR 2</v>
      </c>
      <c r="I56" s="216" t="str">
        <f>Pricing!E44</f>
        <v>NO</v>
      </c>
      <c r="J56" s="216">
        <f>Pricing!G44</f>
        <v>916</v>
      </c>
      <c r="K56" s="216">
        <f>Pricing!H44</f>
        <v>916</v>
      </c>
      <c r="L56" s="216">
        <f>Pricing!I44</f>
        <v>4</v>
      </c>
      <c r="M56" s="188">
        <f t="shared" si="2"/>
        <v>3.3562240000000001</v>
      </c>
      <c r="N56" s="189">
        <f>'Cost Calculation'!AS48</f>
        <v>33255.148197950679</v>
      </c>
      <c r="O56" s="95"/>
    </row>
    <row r="57" spans="2:15" s="94" customFormat="1" ht="49.9" customHeight="1" thickTop="1" thickBot="1">
      <c r="B57" s="414">
        <f>Pricing!A45</f>
        <v>42</v>
      </c>
      <c r="C57" s="415"/>
      <c r="D57" s="187" t="str">
        <f>Pricing!B45</f>
        <v>V3</v>
      </c>
      <c r="E57" s="187" t="str">
        <f>Pricing!C45</f>
        <v>-</v>
      </c>
      <c r="F57" s="187" t="str">
        <f>Pricing!D45</f>
        <v>GLASS LOUVERS</v>
      </c>
      <c r="G57" s="187" t="str">
        <f>Pricing!N45</f>
        <v>6MM (A)</v>
      </c>
      <c r="H57" s="187" t="str">
        <f>Pricing!F45</f>
        <v>GF - CAR PARKING</v>
      </c>
      <c r="I57" s="216" t="str">
        <f>Pricing!E45</f>
        <v>NO</v>
      </c>
      <c r="J57" s="216">
        <f>Pricing!G45</f>
        <v>3658</v>
      </c>
      <c r="K57" s="216">
        <f>Pricing!H45</f>
        <v>610</v>
      </c>
      <c r="L57" s="216">
        <f>Pricing!I45</f>
        <v>1</v>
      </c>
      <c r="M57" s="188">
        <f t="shared" si="2"/>
        <v>2.2313800000000001</v>
      </c>
      <c r="N57" s="189">
        <f>'Cost Calculation'!AS49</f>
        <v>29297.891396201703</v>
      </c>
      <c r="O57" s="95"/>
    </row>
    <row r="58" spans="2:15" s="94" customFormat="1" ht="49.9" customHeight="1" thickTop="1" thickBot="1">
      <c r="B58" s="414">
        <f>Pricing!A46</f>
        <v>43</v>
      </c>
      <c r="C58" s="415"/>
      <c r="D58" s="187" t="str">
        <f>Pricing!B46</f>
        <v>V4-A</v>
      </c>
      <c r="E58" s="187" t="str">
        <f>Pricing!C46</f>
        <v>-</v>
      </c>
      <c r="F58" s="187" t="str">
        <f>Pricing!D46</f>
        <v>GLASS LOUVERS</v>
      </c>
      <c r="G58" s="187" t="str">
        <f>Pricing!N46</f>
        <v>6MM (A)</v>
      </c>
      <c r="H58" s="187" t="str">
        <f>Pricing!F46</f>
        <v>GF - CAR PARKING</v>
      </c>
      <c r="I58" s="216" t="str">
        <f>Pricing!E46</f>
        <v>NO</v>
      </c>
      <c r="J58" s="216">
        <f>Pricing!G46</f>
        <v>3030</v>
      </c>
      <c r="K58" s="216">
        <f>Pricing!H46</f>
        <v>610</v>
      </c>
      <c r="L58" s="216">
        <f>Pricing!I46</f>
        <v>1</v>
      </c>
      <c r="M58" s="188">
        <f t="shared" si="2"/>
        <v>1.8483000000000001</v>
      </c>
      <c r="N58" s="189">
        <f>'Cost Calculation'!AS50</f>
        <v>24908.035949038025</v>
      </c>
      <c r="O58" s="95"/>
    </row>
    <row r="59" spans="2:15" s="94" customFormat="1" ht="49.9" customHeight="1" thickTop="1" thickBot="1">
      <c r="B59" s="414">
        <f>Pricing!A47</f>
        <v>44</v>
      </c>
      <c r="C59" s="415"/>
      <c r="D59" s="187" t="str">
        <f>Pricing!B47</f>
        <v>V4-B</v>
      </c>
      <c r="E59" s="187" t="str">
        <f>Pricing!C47</f>
        <v>-</v>
      </c>
      <c r="F59" s="187" t="str">
        <f>Pricing!D47</f>
        <v>GLASS LOUVERS</v>
      </c>
      <c r="G59" s="187" t="str">
        <f>Pricing!N47</f>
        <v>6MM (A)</v>
      </c>
      <c r="H59" s="187" t="str">
        <f>Pricing!F47</f>
        <v>GF - CAR PARKING</v>
      </c>
      <c r="I59" s="216" t="str">
        <f>Pricing!E47</f>
        <v>NO</v>
      </c>
      <c r="J59" s="216">
        <f>Pricing!G47</f>
        <v>3080</v>
      </c>
      <c r="K59" s="216">
        <f>Pricing!H47</f>
        <v>610</v>
      </c>
      <c r="L59" s="216">
        <f>Pricing!I47</f>
        <v>1</v>
      </c>
      <c r="M59" s="188">
        <f t="shared" si="2"/>
        <v>1.8788</v>
      </c>
      <c r="N59" s="189">
        <f>'Cost Calculation'!AS51</f>
        <v>25256.439441921575</v>
      </c>
      <c r="O59" s="95"/>
    </row>
    <row r="60" spans="2:15" s="94" customFormat="1" ht="49.9" customHeight="1" thickTop="1" thickBot="1">
      <c r="B60" s="414">
        <f>Pricing!A48</f>
        <v>45</v>
      </c>
      <c r="C60" s="415"/>
      <c r="D60" s="187" t="str">
        <f>Pricing!B48</f>
        <v>V5</v>
      </c>
      <c r="E60" s="187" t="str">
        <f>Pricing!C48</f>
        <v>-</v>
      </c>
      <c r="F60" s="187" t="str">
        <f>Pricing!D48</f>
        <v>GLASS LOUVERS</v>
      </c>
      <c r="G60" s="187" t="str">
        <f>Pricing!N48</f>
        <v>6MM (A)</v>
      </c>
      <c r="H60" s="187" t="str">
        <f>Pricing!F48</f>
        <v>GF &amp; FF - WALK IN CLOSET</v>
      </c>
      <c r="I60" s="216" t="str">
        <f>Pricing!E48</f>
        <v>NO</v>
      </c>
      <c r="J60" s="216">
        <f>Pricing!G48</f>
        <v>2490</v>
      </c>
      <c r="K60" s="216">
        <f>Pricing!H48</f>
        <v>458</v>
      </c>
      <c r="L60" s="216">
        <f>Pricing!I48</f>
        <v>2</v>
      </c>
      <c r="M60" s="188">
        <f t="shared" si="2"/>
        <v>2.28084</v>
      </c>
      <c r="N60" s="189">
        <f>'Cost Calculation'!AS52</f>
        <v>38906.301057245808</v>
      </c>
      <c r="O60" s="95"/>
    </row>
    <row r="61" spans="2:15" s="94" customFormat="1" ht="49.9" customHeight="1" thickTop="1" thickBot="1">
      <c r="B61" s="414">
        <f>Pricing!A49</f>
        <v>46</v>
      </c>
      <c r="C61" s="415"/>
      <c r="D61" s="187" t="str">
        <f>Pricing!B49</f>
        <v>V6</v>
      </c>
      <c r="E61" s="187" t="str">
        <f>Pricing!C49</f>
        <v>-</v>
      </c>
      <c r="F61" s="187" t="str">
        <f>Pricing!D49</f>
        <v>GLASS LOUVERS</v>
      </c>
      <c r="G61" s="187" t="str">
        <f>Pricing!N49</f>
        <v>6MM (A)</v>
      </c>
      <c r="H61" s="187" t="str">
        <f>Pricing!F49</f>
        <v>GF - CAR PARKING</v>
      </c>
      <c r="I61" s="216" t="str">
        <f>Pricing!E49</f>
        <v>NO</v>
      </c>
      <c r="J61" s="216">
        <f>Pricing!G49</f>
        <v>3868</v>
      </c>
      <c r="K61" s="216">
        <f>Pricing!H49</f>
        <v>610</v>
      </c>
      <c r="L61" s="216">
        <f>Pricing!I49</f>
        <v>1</v>
      </c>
      <c r="M61" s="188">
        <f t="shared" si="2"/>
        <v>2.35948</v>
      </c>
      <c r="N61" s="189">
        <f>'Cost Calculation'!AS53</f>
        <v>30764.475020225589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66</v>
      </c>
      <c r="M116" s="191">
        <f>SUM(M16:M115)</f>
        <v>215.40087599999995</v>
      </c>
      <c r="N116" s="186"/>
      <c r="O116" s="95"/>
    </row>
    <row r="117" spans="2:15" s="94" customFormat="1" ht="30" customHeight="1" thickTop="1" thickBot="1">
      <c r="B117" s="508" t="s">
        <v>180</v>
      </c>
      <c r="C117" s="509"/>
      <c r="D117" s="509"/>
      <c r="E117" s="509"/>
      <c r="F117" s="509"/>
      <c r="G117" s="509"/>
      <c r="H117" s="509"/>
      <c r="I117" s="509"/>
      <c r="J117" s="509"/>
      <c r="K117" s="509"/>
      <c r="L117" s="509"/>
      <c r="M117" s="510"/>
      <c r="N117" s="192">
        <f>ROUND(SUM(N16:N115),0.1)</f>
        <v>5658119</v>
      </c>
      <c r="O117" s="95">
        <f>N117/SUM(M116)</f>
        <v>26267.855103801903</v>
      </c>
    </row>
    <row r="118" spans="2:15" s="94" customFormat="1" ht="30" customHeight="1" thickTop="1" thickBot="1">
      <c r="B118" s="508" t="s">
        <v>111</v>
      </c>
      <c r="C118" s="509"/>
      <c r="D118" s="509"/>
      <c r="E118" s="509"/>
      <c r="F118" s="509"/>
      <c r="G118" s="509"/>
      <c r="H118" s="509"/>
      <c r="I118" s="509"/>
      <c r="J118" s="509"/>
      <c r="K118" s="509"/>
      <c r="L118" s="509"/>
      <c r="M118" s="510"/>
      <c r="N118" s="192">
        <f>ROUND(N117*18%,0.1)</f>
        <v>1018461</v>
      </c>
      <c r="O118" s="95">
        <f>N118/SUM(M116)</f>
        <v>4728.2119688315488</v>
      </c>
    </row>
    <row r="119" spans="2:15" s="94" customFormat="1" ht="30" customHeight="1" thickTop="1" thickBot="1">
      <c r="B119" s="508" t="s">
        <v>181</v>
      </c>
      <c r="C119" s="509"/>
      <c r="D119" s="509"/>
      <c r="E119" s="509"/>
      <c r="F119" s="509"/>
      <c r="G119" s="509"/>
      <c r="H119" s="509"/>
      <c r="I119" s="509"/>
      <c r="J119" s="509"/>
      <c r="K119" s="509"/>
      <c r="L119" s="509"/>
      <c r="M119" s="510"/>
      <c r="N119" s="192">
        <f>ROUND(SUM(N117:N118),0.1)</f>
        <v>6676580</v>
      </c>
      <c r="O119" s="95">
        <f>N119/SUM(M116)</f>
        <v>30996.067072633454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2440.3432835193148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139" customFormat="1" ht="30" customHeight="1">
      <c r="B123" s="446" t="s">
        <v>206</v>
      </c>
      <c r="C123" s="447"/>
      <c r="D123" s="447"/>
      <c r="E123" s="447"/>
      <c r="F123" s="447"/>
      <c r="G123" s="447"/>
      <c r="H123" s="447"/>
      <c r="I123" s="447"/>
      <c r="J123" s="447"/>
      <c r="K123" s="447"/>
      <c r="L123" s="447"/>
      <c r="M123" s="447"/>
      <c r="N123" s="448"/>
      <c r="O123" s="138"/>
    </row>
    <row r="124" spans="2:15" s="93" customFormat="1" ht="24.95" customHeight="1">
      <c r="B124" s="410">
        <v>1</v>
      </c>
      <c r="C124" s="411"/>
      <c r="D124" s="412" t="s">
        <v>516</v>
      </c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93" customFormat="1" ht="24.95" customHeight="1">
      <c r="B125" s="410">
        <v>2</v>
      </c>
      <c r="C125" s="411"/>
      <c r="D125" s="412" t="s">
        <v>519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3</v>
      </c>
      <c r="C126" s="411"/>
      <c r="D126" s="412" t="s">
        <v>517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93" customFormat="1" ht="24.95" customHeight="1">
      <c r="B127" s="410">
        <v>4</v>
      </c>
      <c r="C127" s="411"/>
      <c r="D127" s="412" t="s">
        <v>518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139" customFormat="1" ht="30" customHeight="1">
      <c r="B128" s="446" t="s">
        <v>140</v>
      </c>
      <c r="C128" s="447"/>
      <c r="D128" s="447"/>
      <c r="E128" s="447"/>
      <c r="F128" s="447"/>
      <c r="G128" s="447"/>
      <c r="H128" s="447"/>
      <c r="I128" s="447"/>
      <c r="J128" s="447"/>
      <c r="K128" s="447"/>
      <c r="L128" s="447"/>
      <c r="M128" s="447"/>
      <c r="N128" s="448"/>
      <c r="O128" s="138"/>
    </row>
    <row r="129" spans="2:14" s="93" customFormat="1" ht="24.95" customHeight="1">
      <c r="B129" s="410">
        <v>1</v>
      </c>
      <c r="C129" s="411"/>
      <c r="D129" s="412" t="s">
        <v>362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2</v>
      </c>
      <c r="C130" s="411"/>
      <c r="D130" s="412" t="s">
        <v>387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93" customFormat="1" ht="24.95" customHeight="1">
      <c r="B131" s="410">
        <v>3</v>
      </c>
      <c r="C131" s="411"/>
      <c r="D131" s="436" t="s">
        <v>403</v>
      </c>
      <c r="E131" s="436"/>
      <c r="F131" s="436"/>
      <c r="G131" s="436"/>
      <c r="H131" s="436"/>
      <c r="I131" s="436"/>
      <c r="J131" s="436"/>
      <c r="K131" s="436"/>
      <c r="L131" s="436"/>
      <c r="M131" s="436"/>
      <c r="N131" s="437"/>
    </row>
    <row r="132" spans="2:14" s="139" customFormat="1" ht="30" customHeight="1">
      <c r="B132" s="430" t="s">
        <v>141</v>
      </c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2"/>
    </row>
    <row r="133" spans="2:14" s="93" customFormat="1" ht="24.95" customHeight="1">
      <c r="B133" s="410">
        <v>1</v>
      </c>
      <c r="C133" s="411"/>
      <c r="D133" s="412" t="s">
        <v>142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2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3</v>
      </c>
      <c r="C135" s="411"/>
      <c r="D135" s="412" t="s">
        <v>144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139" customFormat="1" ht="30" customHeight="1">
      <c r="B136" s="430" t="s">
        <v>145</v>
      </c>
      <c r="C136" s="431"/>
      <c r="D136" s="431"/>
      <c r="E136" s="431"/>
      <c r="F136" s="431"/>
      <c r="G136" s="431"/>
      <c r="H136" s="431"/>
      <c r="I136" s="431"/>
      <c r="J136" s="431"/>
      <c r="K136" s="431"/>
      <c r="L136" s="431"/>
      <c r="M136" s="431"/>
      <c r="N136" s="432"/>
    </row>
    <row r="137" spans="2:14" s="139" customFormat="1" ht="30" customHeight="1">
      <c r="B137" s="433" t="s">
        <v>146</v>
      </c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5"/>
    </row>
    <row r="138" spans="2:14" s="93" customFormat="1" ht="24.95" customHeight="1">
      <c r="B138" s="410">
        <v>1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2</v>
      </c>
      <c r="C139" s="411"/>
      <c r="D139" s="412" t="s">
        <v>400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3</v>
      </c>
      <c r="C140" s="411"/>
      <c r="D140" s="412" t="s">
        <v>148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4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5</v>
      </c>
      <c r="C142" s="411"/>
      <c r="D142" s="412" t="s">
        <v>150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6</v>
      </c>
      <c r="C143" s="411"/>
      <c r="D143" s="412" t="s">
        <v>151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30" t="s">
        <v>152</v>
      </c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</row>
    <row r="145" spans="2:14" s="93" customFormat="1" ht="24.95" customHeight="1">
      <c r="B145" s="410">
        <v>1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135" customHeight="1">
      <c r="B146" s="410">
        <v>2</v>
      </c>
      <c r="C146" s="411"/>
      <c r="D146" s="416" t="s">
        <v>419</v>
      </c>
      <c r="E146" s="417"/>
      <c r="F146" s="417"/>
      <c r="G146" s="417"/>
      <c r="H146" s="417"/>
      <c r="I146" s="417"/>
      <c r="J146" s="417"/>
      <c r="K146" s="417"/>
      <c r="L146" s="417"/>
      <c r="M146" s="417"/>
      <c r="N146" s="418"/>
    </row>
    <row r="147" spans="2:14" s="93" customFormat="1" ht="24.95" customHeight="1">
      <c r="B147" s="410">
        <v>3</v>
      </c>
      <c r="C147" s="411"/>
      <c r="D147" s="412" t="s">
        <v>154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0">
        <v>4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30" t="s">
        <v>156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</row>
    <row r="150" spans="2:14" s="93" customFormat="1" ht="24.95" customHeight="1">
      <c r="B150" s="410">
        <v>1</v>
      </c>
      <c r="C150" s="411"/>
      <c r="D150" s="412" t="s">
        <v>157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55.9" customHeight="1">
      <c r="B151" s="410">
        <v>2</v>
      </c>
      <c r="C151" s="411"/>
      <c r="D151" s="416" t="s">
        <v>158</v>
      </c>
      <c r="E151" s="417"/>
      <c r="F151" s="417"/>
      <c r="G151" s="417"/>
      <c r="H151" s="417"/>
      <c r="I151" s="417"/>
      <c r="J151" s="417"/>
      <c r="K151" s="417"/>
      <c r="L151" s="417"/>
      <c r="M151" s="417"/>
      <c r="N151" s="418"/>
    </row>
    <row r="152" spans="2:14" s="140" customFormat="1" ht="30" customHeight="1">
      <c r="B152" s="430" t="s">
        <v>159</v>
      </c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2"/>
    </row>
    <row r="153" spans="2:14" s="93" customFormat="1" ht="24.95" customHeight="1">
      <c r="B153" s="410">
        <v>1</v>
      </c>
      <c r="C153" s="411"/>
      <c r="D153" s="438" t="s">
        <v>160</v>
      </c>
      <c r="E153" s="438"/>
      <c r="F153" s="438"/>
      <c r="G153" s="438"/>
      <c r="H153" s="438"/>
      <c r="I153" s="438"/>
      <c r="J153" s="438"/>
      <c r="K153" s="438"/>
      <c r="L153" s="438"/>
      <c r="M153" s="438"/>
      <c r="N153" s="439"/>
    </row>
    <row r="154" spans="2:14" s="93" customFormat="1" ht="24.95" customHeight="1">
      <c r="B154" s="410">
        <v>2</v>
      </c>
      <c r="C154" s="411"/>
      <c r="D154" s="438" t="s">
        <v>161</v>
      </c>
      <c r="E154" s="438"/>
      <c r="F154" s="438"/>
      <c r="G154" s="438"/>
      <c r="H154" s="438"/>
      <c r="I154" s="438"/>
      <c r="J154" s="438"/>
      <c r="K154" s="438"/>
      <c r="L154" s="438"/>
      <c r="M154" s="438"/>
      <c r="N154" s="439"/>
    </row>
    <row r="155" spans="2:14" s="93" customFormat="1" ht="49.9" customHeight="1">
      <c r="B155" s="410">
        <v>3</v>
      </c>
      <c r="C155" s="411"/>
      <c r="D155" s="443" t="s">
        <v>162</v>
      </c>
      <c r="E155" s="444"/>
      <c r="F155" s="444"/>
      <c r="G155" s="444"/>
      <c r="H155" s="444"/>
      <c r="I155" s="444"/>
      <c r="J155" s="444"/>
      <c r="K155" s="444"/>
      <c r="L155" s="444"/>
      <c r="M155" s="444"/>
      <c r="N155" s="445"/>
    </row>
    <row r="156" spans="2:14" s="93" customFormat="1" ht="24.95" customHeight="1">
      <c r="B156" s="410">
        <v>4</v>
      </c>
      <c r="C156" s="411"/>
      <c r="D156" s="438" t="s">
        <v>163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140" customFormat="1" ht="30" customHeight="1">
      <c r="B157" s="430" t="s">
        <v>164</v>
      </c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2"/>
    </row>
    <row r="158" spans="2:14" s="93" customFormat="1" ht="24.95" customHeight="1">
      <c r="B158" s="410">
        <v>1</v>
      </c>
      <c r="C158" s="411"/>
      <c r="D158" s="438" t="s">
        <v>165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93" customFormat="1" ht="24.95" customHeight="1">
      <c r="B159" s="410">
        <v>2</v>
      </c>
      <c r="C159" s="411"/>
      <c r="D159" s="438" t="s">
        <v>166</v>
      </c>
      <c r="E159" s="438"/>
      <c r="F159" s="438"/>
      <c r="G159" s="438"/>
      <c r="H159" s="438"/>
      <c r="I159" s="438"/>
      <c r="J159" s="438"/>
      <c r="K159" s="438"/>
      <c r="L159" s="438"/>
      <c r="M159" s="438"/>
      <c r="N159" s="439"/>
    </row>
    <row r="160" spans="2:14" s="93" customFormat="1" ht="24.95" customHeight="1">
      <c r="B160" s="410">
        <v>3</v>
      </c>
      <c r="C160" s="411"/>
      <c r="D160" s="438" t="s">
        <v>167</v>
      </c>
      <c r="E160" s="438"/>
      <c r="F160" s="438"/>
      <c r="G160" s="438"/>
      <c r="H160" s="438"/>
      <c r="I160" s="438"/>
      <c r="J160" s="438"/>
      <c r="K160" s="438"/>
      <c r="L160" s="438"/>
      <c r="M160" s="438"/>
      <c r="N160" s="439"/>
    </row>
    <row r="161" spans="2:14" s="93" customFormat="1" ht="24.95" customHeight="1">
      <c r="B161" s="410">
        <v>4</v>
      </c>
      <c r="C161" s="411"/>
      <c r="D161" s="438" t="s">
        <v>399</v>
      </c>
      <c r="E161" s="438"/>
      <c r="F161" s="438"/>
      <c r="G161" s="438"/>
      <c r="H161" s="438"/>
      <c r="I161" s="438"/>
      <c r="J161" s="438"/>
      <c r="K161" s="438"/>
      <c r="L161" s="438"/>
      <c r="M161" s="438"/>
      <c r="N161" s="439"/>
    </row>
    <row r="162" spans="2:14" s="93" customFormat="1" ht="24.95" customHeight="1">
      <c r="B162" s="440" t="s">
        <v>239</v>
      </c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2"/>
    </row>
    <row r="163" spans="2:14" s="93" customFormat="1" ht="24.95" customHeight="1">
      <c r="B163" s="440" t="s">
        <v>240</v>
      </c>
      <c r="C163" s="441"/>
      <c r="D163" s="441"/>
      <c r="E163" s="441"/>
      <c r="F163" s="441"/>
      <c r="G163" s="441"/>
      <c r="H163" s="441"/>
      <c r="I163" s="441"/>
      <c r="J163" s="441"/>
      <c r="K163" s="441"/>
      <c r="L163" s="441"/>
      <c r="M163" s="441"/>
      <c r="N163" s="442"/>
    </row>
    <row r="164" spans="2:14" s="93" customFormat="1" ht="41.25" customHeigh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9.950000000000003" customHeigh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41.25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39.950000000000003" customHeight="1" thickBot="1">
      <c r="B167" s="467"/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9"/>
    </row>
    <row r="168" spans="2:14" s="93" customFormat="1" ht="30" customHeight="1" thickTop="1">
      <c r="B168" s="451" t="s">
        <v>110</v>
      </c>
      <c r="C168" s="452"/>
      <c r="D168" s="452"/>
      <c r="E168" s="455"/>
      <c r="F168" s="456"/>
      <c r="G168" s="456"/>
      <c r="H168" s="456"/>
      <c r="I168" s="456"/>
      <c r="J168" s="456"/>
      <c r="K168" s="456"/>
      <c r="L168" s="457"/>
      <c r="M168" s="452" t="s">
        <v>204</v>
      </c>
      <c r="N168" s="453"/>
    </row>
    <row r="169" spans="2:14" s="93" customFormat="1" ht="33" customHeight="1" thickBot="1">
      <c r="B169" s="454" t="s">
        <v>107</v>
      </c>
      <c r="C169" s="449"/>
      <c r="D169" s="449"/>
      <c r="E169" s="458"/>
      <c r="F169" s="459"/>
      <c r="G169" s="459"/>
      <c r="H169" s="459"/>
      <c r="I169" s="459"/>
      <c r="J169" s="459"/>
      <c r="K169" s="459"/>
      <c r="L169" s="460"/>
      <c r="M169" s="449" t="s">
        <v>108</v>
      </c>
      <c r="N169" s="450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B132:N132"/>
    <mergeCell ref="B128:N128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124:C124"/>
    <mergeCell ref="D124:N124"/>
    <mergeCell ref="B114:C114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375</v>
      </c>
      <c r="D2" s="306" t="str">
        <f>QUOTATION!M8</f>
        <v>R0</v>
      </c>
      <c r="E2" s="307">
        <f>QUOTATION!N8</f>
        <v>43724</v>
      </c>
      <c r="F2" s="515" t="s">
        <v>244</v>
      </c>
      <c r="G2" s="515"/>
    </row>
    <row r="3" spans="3:13">
      <c r="C3" s="297" t="s">
        <v>126</v>
      </c>
      <c r="D3" s="516" t="str">
        <f>QUOTATION!F7</f>
        <v>Mr. Abhimanyu</v>
      </c>
      <c r="E3" s="516"/>
      <c r="F3" s="519" t="s">
        <v>245</v>
      </c>
      <c r="G3" s="520">
        <f>QUOTATION!N8</f>
        <v>43724</v>
      </c>
    </row>
    <row r="4" spans="3:13">
      <c r="C4" s="297" t="s">
        <v>242</v>
      </c>
      <c r="D4" s="517" t="str">
        <f>QUOTATION!M6</f>
        <v>ABPL-DE-19.20-2193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168</v>
      </c>
      <c r="D6" s="516" t="str">
        <f>QUOTATION!F9</f>
        <v>Mr. Anamol Anand : 7702300826</v>
      </c>
      <c r="E6" s="516"/>
      <c r="F6" s="519"/>
      <c r="G6" s="521"/>
    </row>
    <row r="7" spans="3:13">
      <c r="C7" s="297" t="s">
        <v>374</v>
      </c>
      <c r="D7" s="516">
        <f>QUOTATION!M10</f>
        <v>0</v>
      </c>
      <c r="E7" s="516"/>
      <c r="F7" s="519"/>
      <c r="G7" s="521"/>
    </row>
    <row r="8" spans="3:13">
      <c r="C8" s="297" t="s">
        <v>176</v>
      </c>
      <c r="D8" s="516" t="str">
        <f>QUOTATION!F10</f>
        <v>Anodized</v>
      </c>
      <c r="E8" s="516"/>
      <c r="F8" s="519"/>
      <c r="G8" s="521"/>
    </row>
    <row r="9" spans="3:13">
      <c r="C9" s="297" t="s">
        <v>177</v>
      </c>
      <c r="D9" s="516" t="str">
        <f>QUOTATION!I10</f>
        <v>Silver</v>
      </c>
      <c r="E9" s="516"/>
      <c r="F9" s="519"/>
      <c r="G9" s="521"/>
    </row>
    <row r="10" spans="3:13">
      <c r="C10" s="297" t="s">
        <v>179</v>
      </c>
      <c r="D10" s="516" t="str">
        <f>QUOTATION!I8</f>
        <v>1Kpa</v>
      </c>
      <c r="E10" s="516"/>
      <c r="F10" s="519"/>
      <c r="G10" s="521"/>
    </row>
    <row r="11" spans="3:13">
      <c r="C11" s="297" t="s">
        <v>241</v>
      </c>
      <c r="D11" s="516" t="str">
        <f>QUOTATION!M9</f>
        <v>Bal Kumari</v>
      </c>
      <c r="E11" s="516"/>
      <c r="F11" s="519"/>
      <c r="G11" s="521"/>
    </row>
    <row r="12" spans="3:13">
      <c r="C12" s="297" t="s">
        <v>243</v>
      </c>
      <c r="D12" s="518">
        <f>QUOTATION!M7</f>
        <v>43724</v>
      </c>
      <c r="E12" s="518"/>
      <c r="F12" s="519"/>
      <c r="G12" s="522"/>
    </row>
    <row r="13" spans="3:13">
      <c r="C13" s="193" t="s">
        <v>235</v>
      </c>
      <c r="D13" s="511" t="s">
        <v>231</v>
      </c>
      <c r="E13" s="512"/>
      <c r="F13" s="513" t="s">
        <v>232</v>
      </c>
      <c r="G13" s="514"/>
    </row>
    <row r="14" spans="3:13">
      <c r="C14" s="194" t="s">
        <v>233</v>
      </c>
      <c r="D14" s="296"/>
      <c r="E14" s="244">
        <f>Pricing!L104</f>
        <v>18699.269999999997</v>
      </c>
      <c r="F14" s="205"/>
      <c r="G14" s="206">
        <f>E14</f>
        <v>18699.269999999997</v>
      </c>
    </row>
    <row r="15" spans="3:13">
      <c r="C15" s="194" t="s">
        <v>234</v>
      </c>
      <c r="D15" s="296">
        <f>'Changable Values'!D4</f>
        <v>83</v>
      </c>
      <c r="E15" s="199">
        <f>E14*D15</f>
        <v>1552039.4099999997</v>
      </c>
      <c r="F15" s="205"/>
      <c r="G15" s="207">
        <f>E15</f>
        <v>1552039.4099999997</v>
      </c>
    </row>
    <row r="16" spans="3:13">
      <c r="C16" s="195" t="s">
        <v>97</v>
      </c>
      <c r="D16" s="200">
        <f>'Changable Values'!D5</f>
        <v>0.1</v>
      </c>
      <c r="E16" s="199">
        <f>E15*D16</f>
        <v>155203.94099999996</v>
      </c>
      <c r="F16" s="208">
        <f>'Changable Values'!D5</f>
        <v>0.1</v>
      </c>
      <c r="G16" s="207">
        <f>G15*F16</f>
        <v>155203.94099999996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187796.76860999994</v>
      </c>
      <c r="F17" s="208">
        <f>'Changable Values'!D6</f>
        <v>0.11</v>
      </c>
      <c r="G17" s="207">
        <f>SUM(G15:G16)*F17</f>
        <v>187796.76860999994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9475.200598049998</v>
      </c>
      <c r="F18" s="208">
        <f>'Changable Values'!D7</f>
        <v>5.0000000000000001E-3</v>
      </c>
      <c r="G18" s="207">
        <f>SUM(G15:G17)*F18</f>
        <v>9475.200598049998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19045.153202080495</v>
      </c>
      <c r="F19" s="208">
        <f>'Changable Values'!D8</f>
        <v>0.01</v>
      </c>
      <c r="G19" s="207">
        <f>SUM(G15:G18)*F19</f>
        <v>19045.153202080495</v>
      </c>
    </row>
    <row r="20" spans="3:7">
      <c r="C20" s="195" t="s">
        <v>99</v>
      </c>
      <c r="D20" s="201"/>
      <c r="E20" s="199">
        <f>SUM(E15:E19)</f>
        <v>1923560.4734101298</v>
      </c>
      <c r="F20" s="208"/>
      <c r="G20" s="207">
        <f>SUM(G15:G19)</f>
        <v>1923560.4734101298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28853.407101151945</v>
      </c>
      <c r="F21" s="208">
        <f>'Changable Values'!D9</f>
        <v>1.4999999999999999E-2</v>
      </c>
      <c r="G21" s="207">
        <f>G20*F21</f>
        <v>28853.407101151945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588854.72926799988</v>
      </c>
      <c r="F23" s="209"/>
      <c r="G23" s="207">
        <f t="shared" si="0"/>
        <v>588854.72926799988</v>
      </c>
    </row>
    <row r="24" spans="3:7">
      <c r="C24" s="195" t="s">
        <v>229</v>
      </c>
      <c r="D24" s="198"/>
      <c r="E24" s="199">
        <f>'Cost Calculation'!AH111</f>
        <v>86660.577737704909</v>
      </c>
      <c r="F24" s="209"/>
      <c r="G24" s="207">
        <f t="shared" si="0"/>
        <v>86660.577737704909</v>
      </c>
    </row>
    <row r="25" spans="3:7">
      <c r="C25" s="196" t="s">
        <v>237</v>
      </c>
      <c r="D25" s="198"/>
      <c r="E25" s="199">
        <f>'Cost Calculation'!AJ109</f>
        <v>64003.25851919999</v>
      </c>
      <c r="F25" s="209"/>
      <c r="G25" s="207">
        <f t="shared" si="0"/>
        <v>64003.25851919999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231857.50292639993</v>
      </c>
      <c r="F27" s="209"/>
      <c r="G27" s="207">
        <f t="shared" si="0"/>
        <v>231857.50292639993</v>
      </c>
    </row>
    <row r="28" spans="3:7">
      <c r="C28" s="195" t="s">
        <v>88</v>
      </c>
      <c r="D28" s="198"/>
      <c r="E28" s="199">
        <f>'Cost Calculation'!AN109</f>
        <v>185486.00234111992</v>
      </c>
      <c r="F28" s="209"/>
      <c r="G28" s="207">
        <f t="shared" si="0"/>
        <v>185486.00234111992</v>
      </c>
    </row>
    <row r="29" spans="3:7">
      <c r="C29" s="293" t="s">
        <v>377</v>
      </c>
      <c r="D29" s="294"/>
      <c r="E29" s="295">
        <f>SUM(E20:E28)</f>
        <v>3109275.9513037065</v>
      </c>
      <c r="F29" s="209"/>
      <c r="G29" s="207">
        <f>SUM(G20:G21,G24)</f>
        <v>2039074.4582489866</v>
      </c>
    </row>
    <row r="30" spans="3:7">
      <c r="C30" s="293" t="s">
        <v>378</v>
      </c>
      <c r="D30" s="294"/>
      <c r="E30" s="295">
        <f>E29/E33</f>
        <v>1341.0288267836231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2548843.0728112338</v>
      </c>
      <c r="F31" s="214">
        <f>'Changable Values'!D23</f>
        <v>1.25</v>
      </c>
      <c r="G31" s="207">
        <f>G29*F31</f>
        <v>2548843.0728112333</v>
      </c>
    </row>
    <row r="32" spans="3:7">
      <c r="C32" s="290" t="s">
        <v>5</v>
      </c>
      <c r="D32" s="291"/>
      <c r="E32" s="292">
        <f>E31+E29</f>
        <v>5658119.0241149403</v>
      </c>
      <c r="F32" s="205"/>
      <c r="G32" s="207">
        <f>SUM(G25:G31,G22:G23)</f>
        <v>5658119.0241149394</v>
      </c>
    </row>
    <row r="33" spans="3:7">
      <c r="C33" s="300" t="s">
        <v>230</v>
      </c>
      <c r="D33" s="301"/>
      <c r="E33" s="308">
        <f>'Cost Calculation'!K109</f>
        <v>2318.575029264</v>
      </c>
      <c r="F33" s="210"/>
      <c r="G33" s="211">
        <f>E33</f>
        <v>2318.575029264</v>
      </c>
    </row>
    <row r="34" spans="3:7">
      <c r="C34" s="302" t="s">
        <v>9</v>
      </c>
      <c r="D34" s="303"/>
      <c r="E34" s="304">
        <f>QUOTATION!L116</f>
        <v>66</v>
      </c>
      <c r="F34" s="298"/>
      <c r="G34" s="299"/>
    </row>
    <row r="35" spans="3:7" ht="13.5" thickBot="1">
      <c r="C35" s="197" t="s">
        <v>376</v>
      </c>
      <c r="D35" s="203"/>
      <c r="E35" s="204">
        <f>E32/(E33)</f>
        <v>2440.3432939200734</v>
      </c>
      <c r="F35" s="212"/>
      <c r="G35" s="213">
        <f>G32/(G33)</f>
        <v>2440.3432939200729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2019-09-20T10:46:54Z</cp:lastPrinted>
  <dcterms:created xsi:type="dcterms:W3CDTF">2010-12-18T06:34:46Z</dcterms:created>
  <dcterms:modified xsi:type="dcterms:W3CDTF">2019-09-21T06:58:07Z</dcterms:modified>
</cp:coreProperties>
</file>