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Drawings!$C$2:$O$392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K24" i="161" l="1"/>
  <c r="K21" i="161"/>
  <c r="K18" i="161"/>
  <c r="K17" i="161"/>
  <c r="Q10" i="161" l="1"/>
  <c r="R10" i="161"/>
  <c r="S10" i="161"/>
  <c r="Q11" i="161"/>
  <c r="R11" i="161"/>
  <c r="S11" i="161"/>
  <c r="Q12" i="161"/>
  <c r="R12" i="161"/>
  <c r="S12" i="161"/>
  <c r="Q13" i="161"/>
  <c r="R13" i="161"/>
  <c r="S13" i="161"/>
  <c r="Q14" i="161"/>
  <c r="R14" i="161"/>
  <c r="S14" i="161"/>
  <c r="Q15" i="161"/>
  <c r="R15" i="161"/>
  <c r="S15" i="161"/>
  <c r="Q16" i="161"/>
  <c r="R16" i="161"/>
  <c r="S16" i="161"/>
  <c r="Q17" i="161"/>
  <c r="R17" i="161"/>
  <c r="S17" i="161"/>
  <c r="Q18" i="161"/>
  <c r="R18" i="161"/>
  <c r="S18" i="161"/>
  <c r="Q19" i="161"/>
  <c r="R19" i="161"/>
  <c r="S19" i="161"/>
  <c r="Q20" i="161"/>
  <c r="R20" i="161"/>
  <c r="S20" i="161"/>
  <c r="Q21" i="161"/>
  <c r="R21" i="161"/>
  <c r="S21" i="161"/>
  <c r="Q22" i="161"/>
  <c r="R22" i="161"/>
  <c r="S22" i="161"/>
  <c r="Q23" i="161"/>
  <c r="R23" i="161"/>
  <c r="S23" i="161"/>
  <c r="Q24" i="161"/>
  <c r="R24" i="161"/>
  <c r="S24" i="161"/>
  <c r="Q25" i="161"/>
  <c r="R25" i="161"/>
  <c r="S25" i="161"/>
  <c r="Q26" i="161"/>
  <c r="R26" i="161"/>
  <c r="S26" i="161"/>
  <c r="Q27" i="161"/>
  <c r="R27" i="161"/>
  <c r="S27" i="161"/>
  <c r="Q28" i="161"/>
  <c r="R28" i="161"/>
  <c r="S28" i="161"/>
  <c r="Q29" i="161"/>
  <c r="R29" i="161"/>
  <c r="S29" i="161"/>
  <c r="Q30" i="161"/>
  <c r="R30" i="161"/>
  <c r="S30" i="161"/>
  <c r="Q31" i="161"/>
  <c r="R31" i="161"/>
  <c r="S31" i="161"/>
  <c r="Q32" i="161"/>
  <c r="R32" i="161"/>
  <c r="S32" i="161"/>
  <c r="Q33" i="161"/>
  <c r="R33" i="161"/>
  <c r="S33" i="161"/>
  <c r="Q34" i="161"/>
  <c r="R34" i="161"/>
  <c r="S34" i="161"/>
  <c r="Q35" i="161"/>
  <c r="R35" i="161"/>
  <c r="S35" i="161"/>
  <c r="Q36" i="161"/>
  <c r="R36" i="161"/>
  <c r="S36" i="161"/>
  <c r="Q37" i="161"/>
  <c r="R37" i="161"/>
  <c r="S37" i="161"/>
  <c r="Q38" i="161"/>
  <c r="R38" i="161"/>
  <c r="S38" i="161"/>
  <c r="Q39" i="161"/>
  <c r="R39" i="161"/>
  <c r="S39" i="161"/>
  <c r="Q40" i="161"/>
  <c r="R40" i="161"/>
  <c r="S40" i="161"/>
  <c r="Q41" i="161"/>
  <c r="R41" i="161"/>
  <c r="S41" i="161"/>
  <c r="Q42" i="161"/>
  <c r="R42" i="161"/>
  <c r="S42" i="161"/>
  <c r="Q43" i="161"/>
  <c r="R43" i="161"/>
  <c r="S43" i="161"/>
  <c r="R9" i="161"/>
  <c r="S9" i="161"/>
  <c r="Q9" i="161"/>
  <c r="Q33" i="158" l="1"/>
  <c r="Q31" i="158"/>
  <c r="Q30" i="158"/>
  <c r="Q28" i="158"/>
  <c r="Q27" i="158"/>
  <c r="Q25" i="158"/>
  <c r="Q21" i="158"/>
  <c r="Q20" i="158"/>
  <c r="Q19" i="158"/>
  <c r="Q18" i="158"/>
  <c r="Q17" i="158"/>
  <c r="Q16" i="158"/>
  <c r="Q15" i="158"/>
  <c r="Q14" i="158"/>
  <c r="Q13" i="158"/>
  <c r="Q12" i="158"/>
  <c r="Q5" i="158"/>
  <c r="Q4" i="158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2" i="169"/>
  <c r="U51" i="158" l="1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51" i="158" l="1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51" i="158" l="1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0" i="158" l="1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62" i="160" l="1"/>
  <c r="U50" i="158"/>
  <c r="Y50" i="158"/>
  <c r="V50" i="158"/>
  <c r="T50" i="158"/>
  <c r="W50" i="158" s="1"/>
  <c r="X50" i="158" s="1"/>
  <c r="J61" i="160"/>
  <c r="U49" i="158"/>
  <c r="Y49" i="158"/>
  <c r="V49" i="158"/>
  <c r="T49" i="158"/>
  <c r="W49" i="158" s="1"/>
  <c r="X49" i="158" s="1"/>
  <c r="J60" i="160"/>
  <c r="U48" i="158"/>
  <c r="Y48" i="158"/>
  <c r="V48" i="158"/>
  <c r="T48" i="158"/>
  <c r="W48" i="158" s="1"/>
  <c r="X48" i="158" s="1"/>
  <c r="J59" i="160"/>
  <c r="U47" i="158"/>
  <c r="Y47" i="158"/>
  <c r="V47" i="158"/>
  <c r="T47" i="158"/>
  <c r="W47" i="158" s="1"/>
  <c r="X47" i="158" s="1"/>
  <c r="J58" i="160"/>
  <c r="U46" i="158"/>
  <c r="Y46" i="158"/>
  <c r="V46" i="158"/>
  <c r="T46" i="158"/>
  <c r="W46" i="158" s="1"/>
  <c r="X46" i="158" s="1"/>
  <c r="J57" i="160"/>
  <c r="U45" i="158"/>
  <c r="Y45" i="158"/>
  <c r="V45" i="158"/>
  <c r="T45" i="158"/>
  <c r="W45" i="158" s="1"/>
  <c r="X45" i="158" s="1"/>
  <c r="J56" i="160"/>
  <c r="U44" i="158"/>
  <c r="Y44" i="158"/>
  <c r="V44" i="158"/>
  <c r="T44" i="158"/>
  <c r="W44" i="158" s="1"/>
  <c r="X44" i="158" s="1"/>
  <c r="J55" i="160"/>
  <c r="U43" i="158"/>
  <c r="Y43" i="158"/>
  <c r="V43" i="158"/>
  <c r="T43" i="158"/>
  <c r="W43" i="158" s="1"/>
  <c r="X43" i="158" s="1"/>
  <c r="J54" i="160"/>
  <c r="U42" i="158"/>
  <c r="Y42" i="158"/>
  <c r="V42" i="158"/>
  <c r="T42" i="158"/>
  <c r="W42" i="158" s="1"/>
  <c r="X42" i="158" s="1"/>
  <c r="J53" i="160"/>
  <c r="U41" i="158"/>
  <c r="Y41" i="158"/>
  <c r="V41" i="158"/>
  <c r="T41" i="158"/>
  <c r="W41" i="158" s="1"/>
  <c r="X41" i="158" s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L42" i="158"/>
  <c r="M42" i="158" s="1"/>
  <c r="P46" i="159" s="1"/>
  <c r="Q46" i="159" s="1"/>
  <c r="R46" i="159" s="1"/>
  <c r="S46" i="159" s="1"/>
  <c r="L54" i="160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62" i="160" l="1"/>
  <c r="M37" i="160"/>
  <c r="M54" i="160"/>
  <c r="M41" i="160"/>
  <c r="M35" i="160"/>
  <c r="M26" i="160"/>
  <c r="M59" i="160"/>
  <c r="M56" i="160"/>
  <c r="AH22" i="159"/>
  <c r="AH54" i="159"/>
  <c r="AH57" i="159"/>
  <c r="M25" i="160"/>
  <c r="M47" i="160"/>
  <c r="AH52" i="159"/>
  <c r="M57" i="160"/>
  <c r="M38" i="160"/>
  <c r="M45" i="160"/>
  <c r="AH48" i="159"/>
  <c r="AH51" i="159"/>
  <c r="AH55" i="159"/>
  <c r="AH49" i="159"/>
  <c r="AH16" i="159"/>
  <c r="AH42" i="159"/>
  <c r="M42" i="160"/>
  <c r="AH56" i="159"/>
  <c r="AH24" i="159"/>
  <c r="AH40" i="159"/>
  <c r="M50" i="160"/>
  <c r="M36" i="160"/>
  <c r="M53" i="160"/>
  <c r="AH53" i="159"/>
  <c r="AH50" i="159"/>
  <c r="AH47" i="159"/>
  <c r="AH46" i="159"/>
  <c r="AH45" i="159"/>
  <c r="AH44" i="159"/>
  <c r="AH43" i="159"/>
  <c r="M51" i="160"/>
  <c r="AH41" i="159"/>
  <c r="M49" i="160"/>
  <c r="AH39" i="159"/>
  <c r="AH38" i="159"/>
  <c r="AH37" i="159"/>
  <c r="AH36" i="159"/>
  <c r="AH35" i="159"/>
  <c r="M43" i="160"/>
  <c r="AH34" i="159"/>
  <c r="AH33" i="159"/>
  <c r="AH32" i="159"/>
  <c r="M40" i="160"/>
  <c r="AH31" i="159"/>
  <c r="AH30" i="159"/>
  <c r="AH29" i="159"/>
  <c r="AH28" i="159"/>
  <c r="AH27" i="159"/>
  <c r="AH26" i="159"/>
  <c r="M34" i="160"/>
  <c r="AH25" i="159"/>
  <c r="AH23" i="159"/>
  <c r="M31" i="160"/>
  <c r="M30" i="160"/>
  <c r="AH21" i="159"/>
  <c r="AH20" i="159"/>
  <c r="AH19" i="159"/>
  <c r="AH18" i="159"/>
  <c r="AH17" i="159"/>
  <c r="AH15" i="159"/>
  <c r="AH14" i="159"/>
  <c r="AH13" i="159"/>
  <c r="AH12" i="159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T107" i="159"/>
  <c r="AU107" i="159" s="1"/>
  <c r="AZ107" i="159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U48" i="159" s="1"/>
  <c r="AZ48" i="159" s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<sst xmlns="http://schemas.openxmlformats.org/spreadsheetml/2006/main" count="2130" uniqueCount="503">
  <si>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</si>
  <si>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</si>
  <si>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</si>
  <si>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</si>
  <si>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</si>
  <si>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</si>
  <si>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</si>
  <si>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</si>
  <si>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</si>
  <si>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</si>
  <si>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</si>
  <si>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</si>
  <si>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</si>
  <si>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</si>
  <si>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</si>
  <si>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</si>
  <si>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</si>
  <si>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</si>
  <si>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</si>
  <si>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</si>
  <si>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</si>
  <si>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</si>
  <si>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</si>
  <si>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</si>
  <si>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</si>
  <si>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</si>
  <si>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</si>
  <si>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</si>
  <si>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</si>
  <si>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</si>
  <si>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</si>
  <si>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</si>
  <si>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</si>
  <si>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</si>
  <si>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</si>
  <si>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</si>
  <si>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</si>
  <si>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</si>
  <si>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</si>
  <si>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</si>
  <si>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</si>
  <si>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</si>
  <si>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</si>
  <si>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</si>
  <si>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</si>
  <si>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</si>
  <si>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</si>
  <si>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</si>
  <si>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</si>
  <si>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</si>
  <si>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</si>
  <si>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</si>
  <si>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</si>
  <si>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</si>
  <si>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</si>
  <si>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</si>
  <si>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</si>
  <si>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</si>
  <si>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</si>
  <si>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</si>
  <si>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</si>
  <si>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</si>
  <si>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</si>
  <si>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</si>
  <si>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</si>
  <si>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</si>
  <si>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</si>
  <si>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</si>
  <si>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</si>
  <si>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</si>
  <si>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</si>
  <si>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</si>
  <si>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</si>
  <si>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</si>
  <si>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</si>
  <si>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</si>
  <si>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</si>
  <si>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</si>
  <si>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</si>
  <si>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</si>
  <si>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</si>
  <si>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</si>
  <si>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</si>
  <si>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</si>
  <si>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</si>
  <si>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</si>
  <si>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</si>
  <si>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</si>
  <si>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</si>
  <si>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</si>
  <si>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</si>
  <si>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</si>
  <si>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</si>
  <si>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</si>
  <si>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</si>
  <si>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</si>
  <si>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</si>
  <si>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</si>
  <si>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</si>
  <si>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</si>
  <si>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</si>
  <si>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</si>
  <si>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</si>
  <si>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</si>
  <si>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</si>
  <si>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</si>
  <si>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</si>
  <si>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</si>
  <si>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</si>
  <si>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</si>
  <si>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</si>
  <si>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</si>
  <si>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</si>
  <si>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</si>
  <si>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</si>
  <si>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</si>
  <si>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</si>
  <si>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</si>
  <si>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</si>
  <si>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</si>
  <si>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</si>
  <si>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</si>
  <si>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</si>
  <si>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</si>
  <si>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</si>
  <si>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</si>
  <si>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</si>
  <si>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</si>
  <si>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</si>
  <si>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</si>
  <si>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</si>
  <si>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</si>
  <si>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</si>
  <si>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</si>
  <si>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</si>
  <si>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</si>
  <si>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</si>
  <si>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</si>
  <si>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</si>
  <si>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</si>
  <si>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</si>
  <si>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</si>
  <si>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</si>
  <si>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</si>
  <si>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</si>
  <si>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</si>
  <si>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</si>
  <si>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</si>
  <si>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</si>
  <si>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</si>
  <si>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</si>
  <si>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</si>
  <si>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</si>
  <si>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</si>
  <si>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</si>
  <si>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</si>
  <si>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</si>
  <si>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</si>
  <si>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</si>
  <si>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</si>
  <si>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</si>
  <si>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</si>
  <si>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</si>
  <si>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</si>
  <si>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</si>
  <si>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</si>
  <si>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</si>
  <si>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</si>
  <si>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</si>
  <si>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</si>
  <si>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</si>
  <si>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</si>
  <si>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</si>
  <si>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</si>
  <si>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</si>
  <si>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</si>
  <si>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</si>
  <si>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</si>
  <si>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</si>
  <si>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</si>
  <si>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</si>
  <si>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</si>
  <si>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</si>
  <si>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</si>
  <si>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</si>
  <si>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</si>
  <si>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</si>
  <si>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</si>
  <si>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</si>
  <si>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</si>
  <si>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</si>
  <si>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</si>
  <si>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</si>
  <si>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</si>
  <si>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</si>
  <si>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</si>
  <si>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</si>
  <si>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</si>
  <si>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</si>
  <si>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</si>
  <si>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</si>
  <si>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</si>
  <si>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</si>
  <si>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</si>
  <si>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</si>
  <si>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</si>
  <si>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</si>
  <si>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</si>
  <si>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</si>
  <si>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</si>
  <si>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</si>
  <si>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</si>
  <si>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</si>
  <si>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</si>
  <si>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</si>
  <si>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</si>
  <si>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</si>
  <si>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</si>
  <si>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</si>
  <si>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</si>
  <si>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</si>
  <si>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</si>
  <si>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</si>
  <si>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</si>
  <si>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</si>
  <si>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</si>
  <si>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</si>
  <si>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</si>
  <si>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</si>
  <si>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</si>
  <si>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</si>
  <si>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</si>
  <si>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</si>
  <si>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</si>
  <si>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</si>
  <si>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</si>
  <si>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</si>
  <si>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</si>
  <si>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</si>
  <si>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</si>
  <si>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</si>
  <si>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</si>
  <si>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</si>
  <si>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</si>
  <si>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</si>
  <si>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</si>
  <si>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</si>
  <si>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</si>
  <si>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</si>
  <si>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</si>
  <si>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</si>
  <si>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</si>
  <si>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</si>
  <si>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</si>
  <si>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</si>
  <si>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</si>
  <si>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</si>
  <si>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</si>
  <si>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</si>
  <si>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</si>
  <si>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</si>
  <si>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</si>
  <si>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</si>
  <si>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</si>
  <si>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</si>
  <si>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</si>
  <si>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</si>
  <si>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</si>
  <si>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</si>
  <si>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</si>
  <si>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</si>
  <si>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</si>
  <si>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</si>
  <si>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</si>
  <si>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</si>
  <si>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</si>
  <si>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</si>
  <si>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</si>
  <si>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</si>
  <si>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</si>
  <si>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</si>
  <si>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</si>
  <si>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</si>
  <si>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</si>
  <si>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</si>
  <si>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</si>
  <si>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</si>
  <si>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</si>
  <si>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</si>
  <si>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</si>
  <si>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</si>
  <si>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</si>
  <si>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</si>
  <si>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</si>
  <si>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</si>
  <si>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</si>
  <si>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</si>
  <si>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</si>
  <si>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</si>
  <si>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</si>
  <si>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</si>
  <si>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</si>
  <si>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</si>
  <si>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</si>
  <si>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</si>
  <si>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</si>
  <si>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</si>
  <si>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</si>
  <si>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</si>
  <si>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</si>
  <si>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</si>
  <si>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</si>
  <si>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</si>
  <si>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</si>
  <si>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</si>
  <si>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</si>
  <si>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</si>
  <si>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</si>
  <si>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</si>
  <si>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</si>
  <si>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</si>
  <si>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</si>
  <si>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</si>
  <si>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</si>
  <si>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</si>
  <si>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</si>
  <si>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</si>
  <si>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</si>
  <si>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</si>
  <si>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</si>
  <si>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</si>
  <si>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</si>
  <si>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</si>
  <si>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</si>
  <si>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</si>
  <si>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</si>
  <si>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</si>
  <si>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</si>
  <si>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</si>
  <si>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</si>
  <si>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</si>
  <si>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</si>
  <si>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</si>
  <si>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</si>
  <si>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</si>
  <si>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</si>
  <si>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</si>
  <si>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</si>
  <si>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</si>
  <si>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</si>
  <si>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</si>
  <si>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</si>
  <si>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</si>
  <si>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</si>
  <si>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</si>
  <si>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</si>
  <si>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</si>
  <si>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</si>
  <si>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</si>
  <si>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</si>
  <si>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</si>
  <si>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</si>
  <si>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</si>
  <si>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</si>
  <si>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</si>
  <si>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</si>
  <si>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</si>
  <si>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</si>
  <si>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</si>
  <si>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</si>
  <si>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</si>
  <si>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</si>
  <si>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</si>
  <si>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</si>
  <si>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</si>
  <si>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</si>
  <si>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</si>
  <si>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</si>
  <si>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</si>
  <si>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</si>
  <si>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</si>
  <si>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</si>
  <si>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</si>
  <si>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</si>
  <si>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</si>
  <si>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</si>
  <si>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</si>
  <si>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</si>
  <si>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</si>
  <si>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</si>
  <si>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</si>
  <si>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</si>
  <si>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</si>
  <si>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</si>
  <si>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</si>
  <si>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</si>
  <si>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</si>
  <si>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</si>
  <si>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</si>
  <si>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</si>
  <si>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</si>
  <si>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</si>
  <si>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</si>
  <si>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</si>
  <si>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</si>
  <si>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</si>
  <si>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</si>
  <si>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</si>
  <si>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</si>
  <si>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</si>
  <si>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</si>
  <si>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</si>
  <si>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</si>
  <si>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</si>
  <si>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</si>
  <si>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</si>
  <si>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</si>
  <si>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</si>
  <si>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</si>
  <si>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Abhimanyu</t>
  </si>
  <si>
    <t>Hyderabad</t>
  </si>
  <si>
    <t>Anodized</t>
  </si>
  <si>
    <t>1Kpa</t>
  </si>
  <si>
    <t>SD1</t>
  </si>
  <si>
    <t>M14600</t>
  </si>
  <si>
    <t>SS</t>
  </si>
  <si>
    <t>GF - STUDY &amp; LIVING</t>
  </si>
  <si>
    <t>SD2</t>
  </si>
  <si>
    <t>GF - GREAT ROOM</t>
  </si>
  <si>
    <t>NO</t>
  </si>
  <si>
    <t>M15000</t>
  </si>
  <si>
    <t>SINGLE DOOR</t>
  </si>
  <si>
    <t>6MM (A)</t>
  </si>
  <si>
    <t>W1</t>
  </si>
  <si>
    <t>GF / FF - STAIRCASE</t>
  </si>
  <si>
    <t>W2</t>
  </si>
  <si>
    <t>GF - MBR, GBR &amp; FF - BR 1 &amp; BR 2</t>
  </si>
  <si>
    <t>W3</t>
  </si>
  <si>
    <t>FIXED GLASS 3 NO'S</t>
  </si>
  <si>
    <t>FF - BR 1</t>
  </si>
  <si>
    <t>W4-A</t>
  </si>
  <si>
    <t>FF - GREAT ROOM</t>
  </si>
  <si>
    <t>W4-B</t>
  </si>
  <si>
    <t>FIXED GLASS</t>
  </si>
  <si>
    <t>W4-C</t>
  </si>
  <si>
    <t>SW1</t>
  </si>
  <si>
    <t>M900</t>
  </si>
  <si>
    <t>3 TRACK 2 SHUTTER SLIDING WINDOW</t>
  </si>
  <si>
    <t>20MM</t>
  </si>
  <si>
    <t>GF - STAFF RECEPTION ROOM</t>
  </si>
  <si>
    <t>SW3</t>
  </si>
  <si>
    <t>SW4</t>
  </si>
  <si>
    <t>3 TRACK 2 SHUTTER SLIDING DOOR</t>
  </si>
  <si>
    <t>GF - FAMILY AREA</t>
  </si>
  <si>
    <t>SW5</t>
  </si>
  <si>
    <t>GF - STUDY ROOM</t>
  </si>
  <si>
    <t>SW6</t>
  </si>
  <si>
    <t>SW7</t>
  </si>
  <si>
    <t>GF - DINING</t>
  </si>
  <si>
    <t>SW8</t>
  </si>
  <si>
    <t>GF - POOJA ROOM</t>
  </si>
  <si>
    <t>SW9</t>
  </si>
  <si>
    <t>GF - KITCHEN</t>
  </si>
  <si>
    <t>SW10</t>
  </si>
  <si>
    <t>FF - FAMILY ROOM</t>
  </si>
  <si>
    <t>SW11</t>
  </si>
  <si>
    <t>FF - BAR</t>
  </si>
  <si>
    <t>SFW1</t>
  </si>
  <si>
    <t>M9800</t>
  </si>
  <si>
    <t>5 LEAF SLIDING FOLDING WINDOW</t>
  </si>
  <si>
    <t>CW1-A</t>
  </si>
  <si>
    <t>SIDE HUNG WITH FIXED GLASS</t>
  </si>
  <si>
    <t>CW2-A</t>
  </si>
  <si>
    <t>GF - MBR &amp; FF - BR 1</t>
  </si>
  <si>
    <t>CW2-B</t>
  </si>
  <si>
    <t>FIXED GLASS CORNOR WINDOW</t>
  </si>
  <si>
    <t>CW2-C</t>
  </si>
  <si>
    <t>CW3-A</t>
  </si>
  <si>
    <t>GF - GBR &amp; FF - BR 2</t>
  </si>
  <si>
    <t>CW3-B</t>
  </si>
  <si>
    <t>CW3-C</t>
  </si>
  <si>
    <t>CW4-A</t>
  </si>
  <si>
    <t>CW4-B</t>
  </si>
  <si>
    <t>CW4-C</t>
  </si>
  <si>
    <t>V1</t>
  </si>
  <si>
    <t>GF - POWDER ROOM TOILET</t>
  </si>
  <si>
    <t>V2</t>
  </si>
  <si>
    <t>V3</t>
  </si>
  <si>
    <t>GF - CAR PARKING</t>
  </si>
  <si>
    <t>V4-A</t>
  </si>
  <si>
    <t>V4-B</t>
  </si>
  <si>
    <t>24mm :- 6mm Clear Toughened Glass + 12mm Spacer with Argon Gas + 6mm Clear Toughened Glass</t>
  </si>
  <si>
    <t>10mm :- 10mm Clear Toughened Glass</t>
  </si>
  <si>
    <t>6mm (A) :- 6mm Frosted Annealed Glass</t>
  </si>
  <si>
    <t>20mm :- 5mm Clear Toughened Glass + 10mm Spacer with Argon Gas + 5mm Clear Toughened Glass</t>
  </si>
  <si>
    <t>R1</t>
  </si>
  <si>
    <t>ABPL-DE-19.20-2193-OP-1</t>
  </si>
  <si>
    <t>3 TRACK 2 SHUTTER SLIDING DOOR WITH 2 FIXED</t>
  </si>
  <si>
    <t>FIXED GLASS IN SHAPE</t>
  </si>
  <si>
    <t>W5</t>
  </si>
  <si>
    <t>COURT - 4</t>
  </si>
  <si>
    <t>SIDE HUNG WINDOW</t>
  </si>
  <si>
    <t>FIXED GLASS 2 NO'S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</si>
</sst>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1" fontId="61" fillId="2" borderId="89" xfId="129" applyNumberFormat="1" applyFont="1" applyFill="1" applyBorder="1" applyAlignment="1" applyProtection="1">
      <alignment horizontal="center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tmp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1496291</xdr:colOff>
      <xdr:row>166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372717</xdr:colOff>
      <xdr:row>8</xdr:row>
      <xdr:rowOff>91109</xdr:rowOff>
    </xdr:from>
    <xdr:to>
      <xdr:col>8</xdr:col>
      <xdr:colOff>33130</xdr:colOff>
      <xdr:row>16</xdr:row>
      <xdr:rowOff>268630</xdr:rowOff>
    </xdr:to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978" y="1565413"/>
          <a:ext cx="2990022" cy="2695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163995</xdr:colOff>
      <xdr:row>19</xdr:row>
      <xdr:rowOff>79927</xdr:rowOff>
    </xdr:from>
    <xdr:to>
      <xdr:col>9</xdr:col>
      <xdr:colOff>513267</xdr:colOff>
      <xdr:row>27</xdr:row>
      <xdr:rowOff>248478</xdr:rowOff>
    </xdr:to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6256" y="4867275"/>
          <a:ext cx="4266946" cy="26864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579782</xdr:colOff>
      <xdr:row>22</xdr:row>
      <xdr:rowOff>57979</xdr:rowOff>
    </xdr:from>
    <xdr:to>
      <xdr:col>5</xdr:col>
      <xdr:colOff>265043</xdr:colOff>
      <xdr:row>23</xdr:row>
      <xdr:rowOff>124240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2043" y="5789544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22</xdr:row>
      <xdr:rowOff>57979</xdr:rowOff>
    </xdr:from>
    <xdr:to>
      <xdr:col>8</xdr:col>
      <xdr:colOff>571499</xdr:colOff>
      <xdr:row>23</xdr:row>
      <xdr:rowOff>124240</xdr:rowOff>
    </xdr:to>
    <xdr:pic>
      <xdr:nvPicPr>
        <xdr:cNvPr id="135" name="Picture 134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2369" y="5789544"/>
          <a:ext cx="381000" cy="381000"/>
        </a:xfrm>
        <a:prstGeom prst="rect">
          <a:avLst/>
        </a:prstGeom>
      </xdr:spPr>
    </xdr:pic>
    <xdr:clientData/>
  </xdr:twoCellAnchor>
  <xdr:twoCellAnchor>
    <xdr:from>
      <xdr:col>5</xdr:col>
      <xdr:colOff>760342</xdr:colOff>
      <xdr:row>30</xdr:row>
      <xdr:rowOff>127553</xdr:rowOff>
    </xdr:from>
    <xdr:to>
      <xdr:col>5</xdr:col>
      <xdr:colOff>1905000</xdr:colOff>
      <xdr:row>38</xdr:row>
      <xdr:rowOff>184243</xdr:rowOff>
    </xdr:to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8342" y="8227944"/>
          <a:ext cx="1144658" cy="25746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563217</xdr:colOff>
      <xdr:row>41</xdr:row>
      <xdr:rowOff>265043</xdr:rowOff>
    </xdr:from>
    <xdr:to>
      <xdr:col>5</xdr:col>
      <xdr:colOff>1755913</xdr:colOff>
      <xdr:row>48</xdr:row>
      <xdr:rowOff>255512</xdr:rowOff>
    </xdr:to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217" y="11678478"/>
          <a:ext cx="1192696" cy="2193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188842</xdr:colOff>
      <xdr:row>53</xdr:row>
      <xdr:rowOff>207480</xdr:rowOff>
    </xdr:from>
    <xdr:to>
      <xdr:col>9</xdr:col>
      <xdr:colOff>278322</xdr:colOff>
      <xdr:row>59</xdr:row>
      <xdr:rowOff>165653</xdr:rowOff>
    </xdr:to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038" y="15248697"/>
          <a:ext cx="4595219" cy="1846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314738</xdr:colOff>
      <xdr:row>96</xdr:row>
      <xdr:rowOff>91108</xdr:rowOff>
    </xdr:from>
    <xdr:to>
      <xdr:col>6</xdr:col>
      <xdr:colOff>115956</xdr:colOff>
      <xdr:row>104</xdr:row>
      <xdr:rowOff>196858</xdr:rowOff>
    </xdr:to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738" y="28069760"/>
          <a:ext cx="1780761" cy="2623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339586</xdr:colOff>
      <xdr:row>107</xdr:row>
      <xdr:rowOff>240195</xdr:rowOff>
    </xdr:from>
    <xdr:to>
      <xdr:col>7</xdr:col>
      <xdr:colOff>107674</xdr:colOff>
      <xdr:row>115</xdr:row>
      <xdr:rowOff>40667</xdr:rowOff>
    </xdr:to>
    <xdr:pic>
      <xdr:nvPicPr>
        <xdr:cNvPr id="141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47" y="31531891"/>
          <a:ext cx="2832653" cy="23183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314737</xdr:colOff>
      <xdr:row>118</xdr:row>
      <xdr:rowOff>66262</xdr:rowOff>
    </xdr:from>
    <xdr:to>
      <xdr:col>7</xdr:col>
      <xdr:colOff>115955</xdr:colOff>
      <xdr:row>126</xdr:row>
      <xdr:rowOff>184161</xdr:rowOff>
    </xdr:to>
    <xdr:pic>
      <xdr:nvPicPr>
        <xdr:cNvPr id="142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998" y="34671001"/>
          <a:ext cx="2865783" cy="2635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190499</xdr:colOff>
      <xdr:row>129</xdr:row>
      <xdr:rowOff>273325</xdr:rowOff>
    </xdr:from>
    <xdr:to>
      <xdr:col>9</xdr:col>
      <xdr:colOff>16937</xdr:colOff>
      <xdr:row>137</xdr:row>
      <xdr:rowOff>57978</xdr:rowOff>
    </xdr:to>
    <xdr:pic>
      <xdr:nvPicPr>
        <xdr:cNvPr id="143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2760" y="38191108"/>
          <a:ext cx="3744112" cy="2302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115957</xdr:colOff>
      <xdr:row>65</xdr:row>
      <xdr:rowOff>265045</xdr:rowOff>
    </xdr:from>
    <xdr:to>
      <xdr:col>10</xdr:col>
      <xdr:colOff>513522</xdr:colOff>
      <xdr:row>67</xdr:row>
      <xdr:rowOff>284884</xdr:rowOff>
    </xdr:to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087" y="18934045"/>
          <a:ext cx="6079435" cy="649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487017</xdr:colOff>
      <xdr:row>76</xdr:row>
      <xdr:rowOff>156542</xdr:rowOff>
    </xdr:from>
    <xdr:to>
      <xdr:col>8</xdr:col>
      <xdr:colOff>226332</xdr:colOff>
      <xdr:row>79</xdr:row>
      <xdr:rowOff>207066</xdr:rowOff>
    </xdr:to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1213" y="22138585"/>
          <a:ext cx="3656989" cy="9947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853108</xdr:colOff>
      <xdr:row>85</xdr:row>
      <xdr:rowOff>132521</xdr:rowOff>
    </xdr:from>
    <xdr:to>
      <xdr:col>5</xdr:col>
      <xdr:colOff>1689652</xdr:colOff>
      <xdr:row>93</xdr:row>
      <xdr:rowOff>205440</xdr:rowOff>
    </xdr:to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108" y="24798130"/>
          <a:ext cx="836544" cy="2590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140</xdr:row>
      <xdr:rowOff>74543</xdr:rowOff>
    </xdr:from>
    <xdr:to>
      <xdr:col>6</xdr:col>
      <xdr:colOff>281609</xdr:colOff>
      <xdr:row>148</xdr:row>
      <xdr:rowOff>176571</xdr:rowOff>
    </xdr:to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41305369"/>
          <a:ext cx="1979544" cy="2619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463826</xdr:colOff>
      <xdr:row>162</xdr:row>
      <xdr:rowOff>57979</xdr:rowOff>
    </xdr:from>
    <xdr:to>
      <xdr:col>5</xdr:col>
      <xdr:colOff>1929848</xdr:colOff>
      <xdr:row>170</xdr:row>
      <xdr:rowOff>186846</xdr:rowOff>
    </xdr:to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6" y="47914892"/>
          <a:ext cx="1466022" cy="2646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97734</xdr:colOff>
      <xdr:row>174</xdr:row>
      <xdr:rowOff>15322</xdr:rowOff>
    </xdr:from>
    <xdr:to>
      <xdr:col>6</xdr:col>
      <xdr:colOff>91109</xdr:colOff>
      <xdr:row>180</xdr:row>
      <xdr:rowOff>160961</xdr:rowOff>
    </xdr:to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5734" y="51500018"/>
          <a:ext cx="1972918" cy="20340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430694</xdr:colOff>
      <xdr:row>184</xdr:row>
      <xdr:rowOff>149087</xdr:rowOff>
    </xdr:from>
    <xdr:to>
      <xdr:col>8</xdr:col>
      <xdr:colOff>571500</xdr:colOff>
      <xdr:row>192</xdr:row>
      <xdr:rowOff>76770</xdr:rowOff>
    </xdr:to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890" y="54632087"/>
          <a:ext cx="4058480" cy="24455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107674</xdr:colOff>
      <xdr:row>195</xdr:row>
      <xdr:rowOff>99390</xdr:rowOff>
    </xdr:from>
    <xdr:to>
      <xdr:col>8</xdr:col>
      <xdr:colOff>331305</xdr:colOff>
      <xdr:row>203</xdr:row>
      <xdr:rowOff>220365</xdr:rowOff>
    </xdr:to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935" y="57895433"/>
          <a:ext cx="3553240" cy="2638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106016</xdr:colOff>
      <xdr:row>206</xdr:row>
      <xdr:rowOff>241437</xdr:rowOff>
    </xdr:from>
    <xdr:to>
      <xdr:col>9</xdr:col>
      <xdr:colOff>580526</xdr:colOff>
      <xdr:row>214</xdr:row>
      <xdr:rowOff>57977</xdr:rowOff>
    </xdr:to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212" y="61350524"/>
          <a:ext cx="4980249" cy="23344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669234</xdr:colOff>
      <xdr:row>217</xdr:row>
      <xdr:rowOff>280780</xdr:rowOff>
    </xdr:from>
    <xdr:to>
      <xdr:col>6</xdr:col>
      <xdr:colOff>256762</xdr:colOff>
      <xdr:row>224</xdr:row>
      <xdr:rowOff>166969</xdr:rowOff>
    </xdr:to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1495" y="64702910"/>
          <a:ext cx="2262810" cy="20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97735</xdr:colOff>
      <xdr:row>239</xdr:row>
      <xdr:rowOff>106845</xdr:rowOff>
    </xdr:from>
    <xdr:to>
      <xdr:col>5</xdr:col>
      <xdr:colOff>1954696</xdr:colOff>
      <xdr:row>247</xdr:row>
      <xdr:rowOff>180208</xdr:rowOff>
    </xdr:to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5735" y="71155062"/>
          <a:ext cx="1856961" cy="2591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33129</xdr:colOff>
      <xdr:row>250</xdr:row>
      <xdr:rowOff>157370</xdr:rowOff>
    </xdr:from>
    <xdr:to>
      <xdr:col>8</xdr:col>
      <xdr:colOff>107673</xdr:colOff>
      <xdr:row>258</xdr:row>
      <xdr:rowOff>115315</xdr:rowOff>
    </xdr:to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390" y="74518631"/>
          <a:ext cx="3404153" cy="247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677517</xdr:colOff>
      <xdr:row>261</xdr:row>
      <xdr:rowOff>117198</xdr:rowOff>
    </xdr:from>
    <xdr:to>
      <xdr:col>6</xdr:col>
      <xdr:colOff>140805</xdr:colOff>
      <xdr:row>269</xdr:row>
      <xdr:rowOff>160067</xdr:rowOff>
    </xdr:to>
    <xdr:pic>
      <xdr:nvPicPr>
        <xdr:cNvPr id="158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778" y="77791502"/>
          <a:ext cx="2138570" cy="2560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511865</xdr:colOff>
      <xdr:row>272</xdr:row>
      <xdr:rowOff>130036</xdr:rowOff>
    </xdr:from>
    <xdr:to>
      <xdr:col>5</xdr:col>
      <xdr:colOff>1921566</xdr:colOff>
      <xdr:row>280</xdr:row>
      <xdr:rowOff>134408</xdr:rowOff>
    </xdr:to>
    <xdr:pic>
      <xdr:nvPicPr>
        <xdr:cNvPr id="159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4126" y="81117384"/>
          <a:ext cx="2105440" cy="2522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97733</xdr:colOff>
      <xdr:row>283</xdr:row>
      <xdr:rowOff>85311</xdr:rowOff>
    </xdr:from>
    <xdr:to>
      <xdr:col>8</xdr:col>
      <xdr:colOff>41412</xdr:colOff>
      <xdr:row>291</xdr:row>
      <xdr:rowOff>147642</xdr:rowOff>
    </xdr:to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994" y="84385702"/>
          <a:ext cx="3273288" cy="25802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445603</xdr:colOff>
      <xdr:row>305</xdr:row>
      <xdr:rowOff>141214</xdr:rowOff>
    </xdr:from>
    <xdr:to>
      <xdr:col>8</xdr:col>
      <xdr:colOff>190500</xdr:colOff>
      <xdr:row>313</xdr:row>
      <xdr:rowOff>215034</xdr:rowOff>
    </xdr:to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7864" y="91067692"/>
          <a:ext cx="3074506" cy="2591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612912</xdr:colOff>
      <xdr:row>316</xdr:row>
      <xdr:rowOff>99391</xdr:rowOff>
    </xdr:from>
    <xdr:to>
      <xdr:col>8</xdr:col>
      <xdr:colOff>149086</xdr:colOff>
      <xdr:row>324</xdr:row>
      <xdr:rowOff>215786</xdr:rowOff>
    </xdr:to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3" y="94338913"/>
          <a:ext cx="2865783" cy="2634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89451</xdr:colOff>
      <xdr:row>327</xdr:row>
      <xdr:rowOff>127137</xdr:rowOff>
    </xdr:from>
    <xdr:to>
      <xdr:col>6</xdr:col>
      <xdr:colOff>265043</xdr:colOff>
      <xdr:row>335</xdr:row>
      <xdr:rowOff>191046</xdr:rowOff>
    </xdr:to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451" y="97679702"/>
          <a:ext cx="2155135" cy="2581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188842</xdr:colOff>
      <xdr:row>339</xdr:row>
      <xdr:rowOff>234811</xdr:rowOff>
    </xdr:from>
    <xdr:to>
      <xdr:col>5</xdr:col>
      <xdr:colOff>1531421</xdr:colOff>
      <xdr:row>344</xdr:row>
      <xdr:rowOff>16565</xdr:rowOff>
    </xdr:to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6842" y="101415159"/>
          <a:ext cx="1342579" cy="13554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611255</xdr:colOff>
      <xdr:row>350</xdr:row>
      <xdr:rowOff>193398</xdr:rowOff>
    </xdr:from>
    <xdr:to>
      <xdr:col>5</xdr:col>
      <xdr:colOff>1656521</xdr:colOff>
      <xdr:row>356</xdr:row>
      <xdr:rowOff>59808</xdr:rowOff>
    </xdr:to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516" y="104686789"/>
          <a:ext cx="1741005" cy="1754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72887</xdr:colOff>
      <xdr:row>362</xdr:row>
      <xdr:rowOff>263387</xdr:rowOff>
    </xdr:from>
    <xdr:to>
      <xdr:col>10</xdr:col>
      <xdr:colOff>521804</xdr:colOff>
      <xdr:row>365</xdr:row>
      <xdr:rowOff>143645</xdr:rowOff>
    </xdr:to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017" y="108384561"/>
          <a:ext cx="6130787" cy="82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130863</xdr:colOff>
      <xdr:row>372</xdr:row>
      <xdr:rowOff>275811</xdr:rowOff>
    </xdr:from>
    <xdr:to>
      <xdr:col>8</xdr:col>
      <xdr:colOff>546652</xdr:colOff>
      <xdr:row>377</xdr:row>
      <xdr:rowOff>86476</xdr:rowOff>
    </xdr:to>
    <xdr:pic>
      <xdr:nvPicPr>
        <xdr:cNvPr id="168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059" y="111395289"/>
          <a:ext cx="4333463" cy="138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279951</xdr:colOff>
      <xdr:row>384</xdr:row>
      <xdr:rowOff>9940</xdr:rowOff>
    </xdr:from>
    <xdr:to>
      <xdr:col>9</xdr:col>
      <xdr:colOff>30000</xdr:colOff>
      <xdr:row>388</xdr:row>
      <xdr:rowOff>91109</xdr:rowOff>
    </xdr:to>
    <xdr:pic>
      <xdr:nvPicPr>
        <xdr:cNvPr id="1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147" y="114757201"/>
          <a:ext cx="4255788" cy="134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49694</xdr:colOff>
      <xdr:row>151</xdr:row>
      <xdr:rowOff>91108</xdr:rowOff>
    </xdr:from>
    <xdr:to>
      <xdr:col>8</xdr:col>
      <xdr:colOff>455542</xdr:colOff>
      <xdr:row>159</xdr:row>
      <xdr:rowOff>236270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1955" y="44634978"/>
          <a:ext cx="3735457" cy="266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99391</xdr:colOff>
      <xdr:row>294</xdr:row>
      <xdr:rowOff>57979</xdr:rowOff>
    </xdr:from>
    <xdr:to>
      <xdr:col>6</xdr:col>
      <xdr:colOff>57979</xdr:colOff>
      <xdr:row>302</xdr:row>
      <xdr:rowOff>243344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1" y="87671414"/>
          <a:ext cx="1938131" cy="27032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224</v>
      </c>
      <c r="F12" s="322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295" sqref="C295:K30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ABPL-DE-19.20-2193-OP-1</v>
      </c>
      <c r="O2" s="540"/>
      <c r="P2" s="219" t="s">
        <v>255</v>
      </c>
    </row>
    <row r="3" spans="2:16">
      <c r="B3" s="218"/>
      <c r="C3" s="538" t="s">
        <v>126</v>
      </c>
      <c r="D3" s="538"/>
      <c r="E3" s="538"/>
      <c r="F3" s="540" t="str">
        <f>QUOTATION!F7</f>
        <v>Mr. Abhimanyu</v>
      </c>
      <c r="G3" s="540"/>
      <c r="H3" s="540"/>
      <c r="I3" s="540"/>
      <c r="J3" s="540"/>
      <c r="K3" s="540"/>
      <c r="L3" s="540"/>
      <c r="M3" s="284" t="s">
        <v>104</v>
      </c>
      <c r="N3" s="545">
        <f>QUOTATION!M7</f>
        <v>43724</v>
      </c>
      <c r="O3" s="546"/>
      <c r="P3" s="219" t="s">
        <v>255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1" t="s">
        <v>179</v>
      </c>
      <c r="J4" s="541"/>
      <c r="K4" s="540" t="str">
        <f>QUOTATION!I8</f>
        <v>1Kpa</v>
      </c>
      <c r="L4" s="540"/>
      <c r="M4" s="284" t="s">
        <v>105</v>
      </c>
      <c r="N4" s="286" t="str">
        <f>QUOTATION!M8</f>
        <v>R1</v>
      </c>
      <c r="O4" s="287">
        <f>QUOTATION!N8</f>
        <v>43731</v>
      </c>
    </row>
    <row r="5" spans="2:16">
      <c r="B5" s="218"/>
      <c r="C5" s="538" t="s">
        <v>168</v>
      </c>
      <c r="D5" s="538"/>
      <c r="E5" s="538"/>
      <c r="F5" s="540" t="str">
        <f>QUOTATION!F9</f>
        <v>Mr. Anamol Anand : 7702300826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Bal Kumari</v>
      </c>
      <c r="O5" s="540"/>
    </row>
    <row r="6" spans="2:16">
      <c r="B6" s="218"/>
      <c r="C6" s="538" t="s">
        <v>176</v>
      </c>
      <c r="D6" s="538"/>
      <c r="E6" s="538"/>
      <c r="F6" s="285" t="str">
        <f>QUOTATION!F10</f>
        <v>Anodized</v>
      </c>
      <c r="G6" s="538"/>
      <c r="H6" s="538"/>
      <c r="I6" s="541" t="s">
        <v>177</v>
      </c>
      <c r="J6" s="541"/>
      <c r="K6" s="540" t="str">
        <f>QUOTATION!I10</f>
        <v>Silver</v>
      </c>
      <c r="L6" s="540"/>
      <c r="M6" s="320" t="s">
        <v>371</v>
      </c>
      <c r="N6" s="547">
        <f>'BD Team'!J5</f>
        <v>0</v>
      </c>
      <c r="O6" s="548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253</v>
      </c>
      <c r="D8" s="538"/>
      <c r="E8" s="286" t="str">
        <f>'BD Team'!B9</f>
        <v>SD1</v>
      </c>
      <c r="F8" s="288" t="s">
        <v>254</v>
      </c>
      <c r="G8" s="540" t="str">
        <f>'BD Team'!D9</f>
        <v>3 TRACK 2 SHUTTER SLIDING DOOR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GF - STUDY &amp; LIVING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246</v>
      </c>
      <c r="M10" s="538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177</v>
      </c>
      <c r="M11" s="538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247</v>
      </c>
      <c r="M12" s="538"/>
      <c r="N12" s="549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248</v>
      </c>
      <c r="M13" s="538"/>
      <c r="N13" s="540" t="str">
        <f>CONCATENATE('BD Team'!H9," X ",'BD Team'!I9)</f>
        <v>3354 X 2438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249</v>
      </c>
      <c r="M14" s="538"/>
      <c r="N14" s="539">
        <f>'BD Team'!J9</f>
        <v>1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250</v>
      </c>
      <c r="M15" s="538"/>
      <c r="N15" s="540" t="str">
        <f>'BD Team'!C9</f>
        <v>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251</v>
      </c>
      <c r="M16" s="538"/>
      <c r="N16" s="540" t="str">
        <f>'BD Team'!E9</f>
        <v>24MM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252</v>
      </c>
      <c r="M17" s="538"/>
      <c r="N17" s="540" t="str">
        <f>'BD Team'!F9</f>
        <v>SS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253</v>
      </c>
      <c r="D19" s="538"/>
      <c r="E19" s="286" t="str">
        <f>'BD Team'!B10</f>
        <v>SD2</v>
      </c>
      <c r="F19" s="288" t="s">
        <v>254</v>
      </c>
      <c r="G19" s="540" t="str">
        <f>'BD Team'!D10</f>
        <v>3 TRACK 2 SHUTTER SLIDING DOOR WITH 2 FIXED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GF - GREAT ROOM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246</v>
      </c>
      <c r="M21" s="538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177</v>
      </c>
      <c r="M22" s="538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247</v>
      </c>
      <c r="M23" s="538"/>
      <c r="N23" s="543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248</v>
      </c>
      <c r="M24" s="538"/>
      <c r="N24" s="540" t="str">
        <f>CONCATENATE('BD Team'!H10," X ",'BD Team'!I10)</f>
        <v>5386 X 2744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249</v>
      </c>
      <c r="M25" s="538"/>
      <c r="N25" s="539">
        <f>'BD Team'!J10</f>
        <v>2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250</v>
      </c>
      <c r="M26" s="538"/>
      <c r="N26" s="540" t="str">
        <f>'BD Team'!C10</f>
        <v>M14600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251</v>
      </c>
      <c r="M27" s="538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252</v>
      </c>
      <c r="M28" s="538"/>
      <c r="N28" s="540" t="str">
        <f>'BD Team'!F10</f>
        <v>SS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253</v>
      </c>
      <c r="D30" s="538"/>
      <c r="E30" s="286" t="str">
        <f>'BD Team'!B11</f>
        <v>W1</v>
      </c>
      <c r="F30" s="288" t="s">
        <v>254</v>
      </c>
      <c r="G30" s="540" t="str">
        <f>'BD Team'!D11</f>
        <v>SINGLE DOOR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 t="str">
        <f>'BD Team'!G11</f>
        <v>GF / FF - STAIRCASE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246</v>
      </c>
      <c r="M32" s="538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177</v>
      </c>
      <c r="M33" s="538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247</v>
      </c>
      <c r="M34" s="538"/>
      <c r="N34" s="543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248</v>
      </c>
      <c r="M35" s="538"/>
      <c r="N35" s="540" t="str">
        <f>CONCATENATE('BD Team'!H11," X ",'BD Team'!I11)</f>
        <v>712 X 2134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249</v>
      </c>
      <c r="M36" s="538"/>
      <c r="N36" s="539">
        <f>'BD Team'!J11</f>
        <v>2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250</v>
      </c>
      <c r="M37" s="538"/>
      <c r="N37" s="540" t="str">
        <f>'BD Team'!C11</f>
        <v>M15000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251</v>
      </c>
      <c r="M38" s="538"/>
      <c r="N38" s="540" t="str">
        <f>'BD Team'!E11</f>
        <v>24MM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252</v>
      </c>
      <c r="M39" s="538"/>
      <c r="N39" s="540" t="str">
        <f>'BD Team'!F11</f>
        <v>NO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253</v>
      </c>
      <c r="D41" s="538"/>
      <c r="E41" s="286" t="str">
        <f>'BD Team'!B12</f>
        <v>W2</v>
      </c>
      <c r="F41" s="288" t="s">
        <v>254</v>
      </c>
      <c r="G41" s="540" t="str">
        <f>'BD Team'!D12</f>
        <v>SINGLE DOOR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 t="str">
        <f>'BD Team'!G12</f>
        <v>GF - MBR, GBR &amp; FF - BR 1 &amp; BR 2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246</v>
      </c>
      <c r="M43" s="538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177</v>
      </c>
      <c r="M44" s="538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247</v>
      </c>
      <c r="M45" s="538"/>
      <c r="N45" s="543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248</v>
      </c>
      <c r="M46" s="538"/>
      <c r="N46" s="540" t="str">
        <f>CONCATENATE('BD Team'!H12," X ",'BD Team'!I12)</f>
        <v>712 X 1678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249</v>
      </c>
      <c r="M47" s="538"/>
      <c r="N47" s="539">
        <f>'BD Team'!J12</f>
        <v>8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250</v>
      </c>
      <c r="M48" s="538"/>
      <c r="N48" s="540" t="str">
        <f>'BD Team'!C12</f>
        <v>M15000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251</v>
      </c>
      <c r="M49" s="538"/>
      <c r="N49" s="540" t="str">
        <f>'BD Team'!E12</f>
        <v>24MM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252</v>
      </c>
      <c r="M50" s="538"/>
      <c r="N50" s="540" t="str">
        <f>'BD Team'!F12</f>
        <v>NO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253</v>
      </c>
      <c r="D52" s="538"/>
      <c r="E52" s="286" t="str">
        <f>'BD Team'!B13</f>
        <v>W3</v>
      </c>
      <c r="F52" s="288" t="s">
        <v>254</v>
      </c>
      <c r="G52" s="540" t="str">
        <f>'BD Team'!D13</f>
        <v>FIXED GLASS 3 NO'S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 t="str">
        <f>'BD Team'!G13</f>
        <v>FF - BR 1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246</v>
      </c>
      <c r="M54" s="538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177</v>
      </c>
      <c r="M55" s="538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247</v>
      </c>
      <c r="M56" s="538"/>
      <c r="N56" s="543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248</v>
      </c>
      <c r="M57" s="538"/>
      <c r="N57" s="540" t="str">
        <f>CONCATENATE('BD Team'!H13," X ",'BD Team'!I13)</f>
        <v>3864 X 1220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249</v>
      </c>
      <c r="M58" s="538"/>
      <c r="N58" s="539">
        <f>'BD Team'!J13</f>
        <v>1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250</v>
      </c>
      <c r="M59" s="538"/>
      <c r="N59" s="540" t="str">
        <f>'BD Team'!C13</f>
        <v>M15000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251</v>
      </c>
      <c r="M60" s="538"/>
      <c r="N60" s="540" t="str">
        <f>'BD Team'!E13</f>
        <v>24MM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252</v>
      </c>
      <c r="M61" s="538"/>
      <c r="N61" s="540" t="str">
        <f>'BD Team'!F13</f>
        <v>NO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253</v>
      </c>
      <c r="D63" s="538"/>
      <c r="E63" s="286" t="str">
        <f>'BD Team'!B14</f>
        <v>W4-A</v>
      </c>
      <c r="F63" s="288" t="s">
        <v>254</v>
      </c>
      <c r="G63" s="540" t="str">
        <f>'BD Team'!D14</f>
        <v>FIXED GLASS 3 NO'S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127</v>
      </c>
      <c r="M64" s="538"/>
      <c r="N64" s="543" t="str">
        <f>'BD Team'!G14</f>
        <v>FF - GREAT ROOM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246</v>
      </c>
      <c r="M65" s="538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177</v>
      </c>
      <c r="M66" s="538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247</v>
      </c>
      <c r="M67" s="538"/>
      <c r="N67" s="543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248</v>
      </c>
      <c r="M68" s="538"/>
      <c r="N68" s="540" t="str">
        <f>CONCATENATE('BD Team'!H14," X ",'BD Team'!I14)</f>
        <v>6808 X 306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249</v>
      </c>
      <c r="M69" s="538"/>
      <c r="N69" s="539">
        <f>'BD Team'!J14</f>
        <v>1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250</v>
      </c>
      <c r="M70" s="538"/>
      <c r="N70" s="540" t="str">
        <f>'BD Team'!C14</f>
        <v>M15000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251</v>
      </c>
      <c r="M71" s="538"/>
      <c r="N71" s="540" t="str">
        <f>'BD Team'!E14</f>
        <v>10MM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252</v>
      </c>
      <c r="M72" s="538"/>
      <c r="N72" s="540" t="str">
        <f>'BD Team'!F14</f>
        <v>NO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253</v>
      </c>
      <c r="D74" s="538"/>
      <c r="E74" s="286" t="str">
        <f>'BD Team'!B15</f>
        <v>W4-B</v>
      </c>
      <c r="F74" s="288" t="s">
        <v>254</v>
      </c>
      <c r="G74" s="540" t="str">
        <f>'BD Team'!D15</f>
        <v>FIXED GLASS IN SHAPE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127</v>
      </c>
      <c r="M75" s="538"/>
      <c r="N75" s="543" t="str">
        <f>'BD Team'!G15</f>
        <v>FF - GREAT ROOM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246</v>
      </c>
      <c r="M76" s="538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177</v>
      </c>
      <c r="M77" s="538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247</v>
      </c>
      <c r="M78" s="538"/>
      <c r="N78" s="543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248</v>
      </c>
      <c r="M79" s="538"/>
      <c r="N79" s="540" t="str">
        <f>CONCATENATE('BD Team'!H15," X ",'BD Team'!I15)</f>
        <v>2807 X 629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249</v>
      </c>
      <c r="M80" s="538"/>
      <c r="N80" s="539">
        <f>'BD Team'!J15</f>
        <v>1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250</v>
      </c>
      <c r="M81" s="538"/>
      <c r="N81" s="540" t="str">
        <f>'BD Team'!C15</f>
        <v>M15000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251</v>
      </c>
      <c r="M82" s="538"/>
      <c r="N82" s="540" t="str">
        <f>'BD Team'!E15</f>
        <v>10MM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252</v>
      </c>
      <c r="M83" s="538"/>
      <c r="N83" s="540" t="str">
        <f>'BD Team'!F15</f>
        <v>NO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253</v>
      </c>
      <c r="D85" s="538"/>
      <c r="E85" s="286" t="str">
        <f>'BD Team'!B16</f>
        <v>W4-C</v>
      </c>
      <c r="F85" s="288" t="s">
        <v>254</v>
      </c>
      <c r="G85" s="540" t="str">
        <f>'BD Team'!D16</f>
        <v>FIXED GLASS IN SHAPE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127</v>
      </c>
      <c r="M86" s="538"/>
      <c r="N86" s="543" t="str">
        <f>'BD Team'!G16</f>
        <v>FF - GREAT ROOM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246</v>
      </c>
      <c r="M87" s="538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177</v>
      </c>
      <c r="M88" s="538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247</v>
      </c>
      <c r="M89" s="538"/>
      <c r="N89" s="543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248</v>
      </c>
      <c r="M90" s="538"/>
      <c r="N90" s="540" t="str">
        <f>CONCATENATE('BD Team'!H16," X ",'BD Team'!I16)</f>
        <v>610 X 3270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249</v>
      </c>
      <c r="M91" s="538"/>
      <c r="N91" s="539">
        <f>'BD Team'!J16</f>
        <v>1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250</v>
      </c>
      <c r="M92" s="538"/>
      <c r="N92" s="540" t="str">
        <f>'BD Team'!C16</f>
        <v>M15000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251</v>
      </c>
      <c r="M93" s="538"/>
      <c r="N93" s="540" t="str">
        <f>'BD Team'!E16</f>
        <v>10MM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252</v>
      </c>
      <c r="M94" s="538"/>
      <c r="N94" s="540" t="str">
        <f>'BD Team'!F16</f>
        <v>NO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253</v>
      </c>
      <c r="D96" s="538"/>
      <c r="E96" s="286" t="str">
        <f>'BD Team'!B17</f>
        <v>SW1</v>
      </c>
      <c r="F96" s="288" t="s">
        <v>254</v>
      </c>
      <c r="G96" s="540" t="str">
        <f>'BD Team'!D17</f>
        <v>3 TRACK 2 SHUTTER SLIDING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 t="str">
        <f>'BD Team'!G17</f>
        <v>GF - STAFF RECEPTION ROOM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246</v>
      </c>
      <c r="M98" s="538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177</v>
      </c>
      <c r="M99" s="538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247</v>
      </c>
      <c r="M100" s="538"/>
      <c r="N100" s="543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248</v>
      </c>
      <c r="M101" s="538"/>
      <c r="N101" s="540" t="str">
        <f>CONCATENATE('BD Team'!H17," X ",'BD Team'!I17)</f>
        <v>1170 X 1372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249</v>
      </c>
      <c r="M102" s="538"/>
      <c r="N102" s="539">
        <f>'BD Team'!J17</f>
        <v>1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250</v>
      </c>
      <c r="M103" s="538"/>
      <c r="N103" s="540" t="str">
        <f>'BD Team'!C17</f>
        <v>M900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251</v>
      </c>
      <c r="M104" s="538"/>
      <c r="N104" s="540" t="str">
        <f>'BD Team'!E17</f>
        <v>20MM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252</v>
      </c>
      <c r="M105" s="538"/>
      <c r="N105" s="540" t="str">
        <f>'BD Team'!F17</f>
        <v>SS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253</v>
      </c>
      <c r="D107" s="538"/>
      <c r="E107" s="286" t="str">
        <f>'BD Team'!B18</f>
        <v>SW3</v>
      </c>
      <c r="F107" s="288" t="s">
        <v>254</v>
      </c>
      <c r="G107" s="540" t="str">
        <f>'BD Team'!D18</f>
        <v>3 TRACK 2 SHUTTER SLIDING WINDOW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 t="str">
        <f>'BD Team'!G18</f>
        <v>GF - STUDY &amp; LIVING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246</v>
      </c>
      <c r="M109" s="538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177</v>
      </c>
      <c r="M110" s="538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247</v>
      </c>
      <c r="M111" s="538"/>
      <c r="N111" s="543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248</v>
      </c>
      <c r="M112" s="538"/>
      <c r="N112" s="540" t="str">
        <f>CONCATENATE('BD Team'!H18," X ",'BD Team'!I18)</f>
        <v>2490 X 1524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249</v>
      </c>
      <c r="M113" s="538"/>
      <c r="N113" s="539">
        <f>'BD Team'!J18</f>
        <v>1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250</v>
      </c>
      <c r="M114" s="538"/>
      <c r="N114" s="540" t="str">
        <f>'BD Team'!C18</f>
        <v>M900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251</v>
      </c>
      <c r="M115" s="538"/>
      <c r="N115" s="540" t="str">
        <f>'BD Team'!E18</f>
        <v>20MM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252</v>
      </c>
      <c r="M116" s="538"/>
      <c r="N116" s="540" t="str">
        <f>'BD Team'!F18</f>
        <v>SS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253</v>
      </c>
      <c r="D118" s="538"/>
      <c r="E118" s="286" t="str">
        <f>'BD Team'!B19</f>
        <v>SW4</v>
      </c>
      <c r="F118" s="288" t="s">
        <v>254</v>
      </c>
      <c r="G118" s="540" t="str">
        <f>'BD Team'!D19</f>
        <v>3 TRACK 2 SHUTTER SLIDING DOOR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 t="str">
        <f>'BD Team'!G19</f>
        <v>GF - FAMILY AREA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246</v>
      </c>
      <c r="M120" s="538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177</v>
      </c>
      <c r="M121" s="538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247</v>
      </c>
      <c r="M122" s="538"/>
      <c r="N122" s="543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248</v>
      </c>
      <c r="M123" s="538"/>
      <c r="N123" s="540" t="str">
        <f>CONCATENATE('BD Team'!H19," X ",'BD Team'!I19)</f>
        <v>2946 X 2134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249</v>
      </c>
      <c r="M124" s="538"/>
      <c r="N124" s="539">
        <f>'BD Team'!J19</f>
        <v>1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250</v>
      </c>
      <c r="M125" s="538"/>
      <c r="N125" s="540" t="str">
        <f>'BD Team'!C19</f>
        <v>M14600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251</v>
      </c>
      <c r="M126" s="538"/>
      <c r="N126" s="540" t="str">
        <f>'BD Team'!E19</f>
        <v>24MM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252</v>
      </c>
      <c r="M127" s="538"/>
      <c r="N127" s="540" t="str">
        <f>'BD Team'!F19</f>
        <v>SS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253</v>
      </c>
      <c r="D129" s="538"/>
      <c r="E129" s="286" t="str">
        <f>'BD Team'!B20</f>
        <v>SW5</v>
      </c>
      <c r="F129" s="288" t="s">
        <v>254</v>
      </c>
      <c r="G129" s="540" t="str">
        <f>'BD Team'!D20</f>
        <v>3 TRACK 2 SHUTTER SLIDING WINDOW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 t="str">
        <f>'BD Team'!G20</f>
        <v>GF - STUDY ROOM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246</v>
      </c>
      <c r="M131" s="538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177</v>
      </c>
      <c r="M132" s="538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247</v>
      </c>
      <c r="M133" s="538"/>
      <c r="N133" s="543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248</v>
      </c>
      <c r="M134" s="538"/>
      <c r="N134" s="540" t="str">
        <f>CONCATENATE('BD Team'!H20," X ",'BD Team'!I20)</f>
        <v>3302 X 1372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249</v>
      </c>
      <c r="M135" s="538"/>
      <c r="N135" s="539">
        <f>'BD Team'!J20</f>
        <v>1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250</v>
      </c>
      <c r="M136" s="538"/>
      <c r="N136" s="540" t="str">
        <f>'BD Team'!C20</f>
        <v>M14600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251</v>
      </c>
      <c r="M137" s="538"/>
      <c r="N137" s="540" t="str">
        <f>'BD Team'!E20</f>
        <v>24MM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252</v>
      </c>
      <c r="M138" s="538"/>
      <c r="N138" s="540" t="str">
        <f>'BD Team'!F20</f>
        <v>SS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253</v>
      </c>
      <c r="D140" s="538"/>
      <c r="E140" s="286" t="str">
        <f>'BD Team'!B21</f>
        <v>SW6</v>
      </c>
      <c r="F140" s="288" t="s">
        <v>254</v>
      </c>
      <c r="G140" s="540" t="str">
        <f>'BD Team'!D21</f>
        <v>3 TRACK 2 SHUTTER SLIDING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 t="str">
        <f>'BD Team'!G21</f>
        <v>GF - STAFF RECEPTION ROOM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246</v>
      </c>
      <c r="M142" s="538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177</v>
      </c>
      <c r="M143" s="538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247</v>
      </c>
      <c r="M144" s="538"/>
      <c r="N144" s="543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248</v>
      </c>
      <c r="M145" s="538"/>
      <c r="N145" s="540" t="str">
        <f>CONCATENATE('BD Team'!H21," X ",'BD Team'!I21)</f>
        <v>1322 X 1372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249</v>
      </c>
      <c r="M146" s="538"/>
      <c r="N146" s="539">
        <f>'BD Team'!J21</f>
        <v>1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250</v>
      </c>
      <c r="M147" s="538"/>
      <c r="N147" s="540" t="str">
        <f>'BD Team'!C21</f>
        <v>M900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251</v>
      </c>
      <c r="M148" s="538"/>
      <c r="N148" s="540" t="str">
        <f>'BD Team'!E21</f>
        <v>20MM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252</v>
      </c>
      <c r="M149" s="538"/>
      <c r="N149" s="540" t="str">
        <f>'BD Team'!F21</f>
        <v>SS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253</v>
      </c>
      <c r="D151" s="538"/>
      <c r="E151" s="286" t="str">
        <f>'BD Team'!B22</f>
        <v>SW7</v>
      </c>
      <c r="F151" s="288" t="s">
        <v>254</v>
      </c>
      <c r="G151" s="540" t="str">
        <f>'BD Team'!D22</f>
        <v>3 TRACK 2 SHUTTER SLIDING DOOR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 t="str">
        <f>'BD Team'!G22</f>
        <v>GF - DINING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246</v>
      </c>
      <c r="M153" s="538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177</v>
      </c>
      <c r="M154" s="538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247</v>
      </c>
      <c r="M155" s="538"/>
      <c r="N155" s="543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248</v>
      </c>
      <c r="M156" s="538"/>
      <c r="N156" s="540" t="str">
        <f>CONCATENATE('BD Team'!H22," X ",'BD Team'!I22)</f>
        <v>3861 X 2134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249</v>
      </c>
      <c r="M157" s="538"/>
      <c r="N157" s="539">
        <f>'BD Team'!J22</f>
        <v>1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250</v>
      </c>
      <c r="M158" s="538"/>
      <c r="N158" s="540" t="str">
        <f>'BD Team'!C22</f>
        <v>M14600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251</v>
      </c>
      <c r="M159" s="538"/>
      <c r="N159" s="540" t="str">
        <f>'BD Team'!E22</f>
        <v>24MM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252</v>
      </c>
      <c r="M160" s="538"/>
      <c r="N160" s="540" t="str">
        <f>'BD Team'!F22</f>
        <v>SS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253</v>
      </c>
      <c r="D162" s="538"/>
      <c r="E162" s="286" t="str">
        <f>'BD Team'!B23</f>
        <v>SW8</v>
      </c>
      <c r="F162" s="288" t="s">
        <v>254</v>
      </c>
      <c r="G162" s="540" t="str">
        <f>'BD Team'!D23</f>
        <v>3 TRACK 2 SHUTTER SLIDING DOOR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 t="str">
        <f>'BD Team'!G23</f>
        <v>GF - POOJA ROOM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246</v>
      </c>
      <c r="M164" s="538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177</v>
      </c>
      <c r="M165" s="538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247</v>
      </c>
      <c r="M166" s="538"/>
      <c r="N166" s="543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248</v>
      </c>
      <c r="M167" s="538"/>
      <c r="N167" s="540" t="str">
        <f>CONCATENATE('BD Team'!H23," X ",'BD Team'!I23)</f>
        <v>1372 X 2134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249</v>
      </c>
      <c r="M168" s="538"/>
      <c r="N168" s="539">
        <f>'BD Team'!J23</f>
        <v>1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250</v>
      </c>
      <c r="M169" s="538"/>
      <c r="N169" s="540" t="str">
        <f>'BD Team'!C23</f>
        <v>M14600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251</v>
      </c>
      <c r="M170" s="538"/>
      <c r="N170" s="540" t="str">
        <f>'BD Team'!E23</f>
        <v>24MM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252</v>
      </c>
      <c r="M171" s="538"/>
      <c r="N171" s="540" t="str">
        <f>'BD Team'!F23</f>
        <v>SS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253</v>
      </c>
      <c r="D173" s="538"/>
      <c r="E173" s="286" t="str">
        <f>'BD Team'!B24</f>
        <v>SW9</v>
      </c>
      <c r="F173" s="288" t="s">
        <v>254</v>
      </c>
      <c r="G173" s="540" t="str">
        <f>'BD Team'!D24</f>
        <v>3 TRACK 2 SHUTTER SLIDING WINDOW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 t="str">
        <f>'BD Team'!G24</f>
        <v>GF - KITCHEN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246</v>
      </c>
      <c r="M175" s="538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177</v>
      </c>
      <c r="M176" s="538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247</v>
      </c>
      <c r="M177" s="538"/>
      <c r="N177" s="543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248</v>
      </c>
      <c r="M178" s="538"/>
      <c r="N178" s="540" t="str">
        <f>CONCATENATE('BD Team'!H24," X ",'BD Team'!I24)</f>
        <v>1778 X 1372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249</v>
      </c>
      <c r="M179" s="538"/>
      <c r="N179" s="539">
        <f>'BD Team'!J24</f>
        <v>1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250</v>
      </c>
      <c r="M180" s="538"/>
      <c r="N180" s="540" t="str">
        <f>'BD Team'!C24</f>
        <v>M900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251</v>
      </c>
      <c r="M181" s="538"/>
      <c r="N181" s="540" t="str">
        <f>'BD Team'!E24</f>
        <v>20MM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252</v>
      </c>
      <c r="M182" s="538"/>
      <c r="N182" s="540" t="str">
        <f>'BD Team'!F24</f>
        <v>SS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253</v>
      </c>
      <c r="D184" s="538"/>
      <c r="E184" s="286" t="str">
        <f>'BD Team'!B25</f>
        <v>SW10</v>
      </c>
      <c r="F184" s="288" t="s">
        <v>254</v>
      </c>
      <c r="G184" s="540" t="str">
        <f>'BD Team'!D25</f>
        <v>3 TRACK 2 SHUTTER SLIDING WINDOW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 t="str">
        <f>'BD Team'!G25</f>
        <v>FF - FAMILY ROOM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246</v>
      </c>
      <c r="M186" s="538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177</v>
      </c>
      <c r="M187" s="538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247</v>
      </c>
      <c r="M188" s="538"/>
      <c r="N188" s="543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248</v>
      </c>
      <c r="M189" s="538"/>
      <c r="N189" s="540" t="str">
        <f>CONCATENATE('BD Team'!H25," X ",'BD Team'!I25)</f>
        <v>3862 X 1678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249</v>
      </c>
      <c r="M190" s="538"/>
      <c r="N190" s="539">
        <f>'BD Team'!J25</f>
        <v>1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250</v>
      </c>
      <c r="M191" s="538"/>
      <c r="N191" s="540" t="str">
        <f>'BD Team'!C25</f>
        <v>M14600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251</v>
      </c>
      <c r="M192" s="538"/>
      <c r="N192" s="540" t="str">
        <f>'BD Team'!E25</f>
        <v>24MM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252</v>
      </c>
      <c r="M193" s="538"/>
      <c r="N193" s="540" t="str">
        <f>'BD Team'!F25</f>
        <v>SS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253</v>
      </c>
      <c r="D195" s="538"/>
      <c r="E195" s="286" t="str">
        <f>'BD Team'!B26</f>
        <v>SW11</v>
      </c>
      <c r="F195" s="288" t="s">
        <v>254</v>
      </c>
      <c r="G195" s="540" t="str">
        <f>'BD Team'!D26</f>
        <v>3 TRACK 2 SHUTTER SLIDING WINDOW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 t="str">
        <f>'BD Team'!G26</f>
        <v>FF - BAR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246</v>
      </c>
      <c r="M197" s="538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177</v>
      </c>
      <c r="M198" s="538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247</v>
      </c>
      <c r="M199" s="538"/>
      <c r="N199" s="543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248</v>
      </c>
      <c r="M200" s="538"/>
      <c r="N200" s="540" t="str">
        <f>CONCATENATE('BD Team'!H26," X ",'BD Team'!I26)</f>
        <v>3302 X 1830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249</v>
      </c>
      <c r="M201" s="538"/>
      <c r="N201" s="539">
        <f>'BD Team'!J26</f>
        <v>1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250</v>
      </c>
      <c r="M202" s="538"/>
      <c r="N202" s="540" t="str">
        <f>'BD Team'!C26</f>
        <v>M14600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251</v>
      </c>
      <c r="M203" s="538"/>
      <c r="N203" s="540" t="str">
        <f>'BD Team'!E26</f>
        <v>24MM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252</v>
      </c>
      <c r="M204" s="538"/>
      <c r="N204" s="540" t="str">
        <f>'BD Team'!F26</f>
        <v>SS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253</v>
      </c>
      <c r="D206" s="538"/>
      <c r="E206" s="286" t="str">
        <f>'BD Team'!B27</f>
        <v>SFW1</v>
      </c>
      <c r="F206" s="288" t="s">
        <v>254</v>
      </c>
      <c r="G206" s="540" t="str">
        <f>'BD Team'!D27</f>
        <v>5 LEAF SLIDING FOLDING WINDOW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 t="str">
        <f>'BD Team'!G27</f>
        <v>FF - FAMILY ROOM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246</v>
      </c>
      <c r="M208" s="538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177</v>
      </c>
      <c r="M209" s="538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247</v>
      </c>
      <c r="M210" s="538"/>
      <c r="N210" s="543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248</v>
      </c>
      <c r="M211" s="538"/>
      <c r="N211" s="540" t="str">
        <f>CONCATENATE('BD Team'!H27," X ",'BD Team'!I27)</f>
        <v>4572 X 1830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249</v>
      </c>
      <c r="M212" s="538"/>
      <c r="N212" s="539">
        <f>'BD Team'!J27</f>
        <v>1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250</v>
      </c>
      <c r="M213" s="538"/>
      <c r="N213" s="540" t="str">
        <f>'BD Team'!C27</f>
        <v>M9800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251</v>
      </c>
      <c r="M214" s="538"/>
      <c r="N214" s="540" t="str">
        <f>'BD Team'!E27</f>
        <v>24MM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252</v>
      </c>
      <c r="M215" s="538"/>
      <c r="N215" s="540" t="str">
        <f>'BD Team'!F27</f>
        <v>NO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253</v>
      </c>
      <c r="D217" s="538"/>
      <c r="E217" s="286" t="str">
        <f>'BD Team'!B28</f>
        <v>CW1-A</v>
      </c>
      <c r="F217" s="288" t="s">
        <v>254</v>
      </c>
      <c r="G217" s="540" t="str">
        <f>'BD Team'!D28</f>
        <v>SIDE HUNG WITH FIXED GLASS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 t="str">
        <f>'BD Team'!G28</f>
        <v>GF - KITCHEN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246</v>
      </c>
      <c r="M219" s="538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177</v>
      </c>
      <c r="M220" s="538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247</v>
      </c>
      <c r="M221" s="538"/>
      <c r="N221" s="543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248</v>
      </c>
      <c r="M222" s="538"/>
      <c r="N222" s="540" t="str">
        <f>CONCATENATE('BD Team'!H28," X ",'BD Team'!I28)</f>
        <v>3759 X 1372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249</v>
      </c>
      <c r="M223" s="538"/>
      <c r="N223" s="539">
        <f>'BD Team'!J28</f>
        <v>1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250</v>
      </c>
      <c r="M224" s="538"/>
      <c r="N224" s="540" t="str">
        <f>'BD Team'!C28</f>
        <v>M15000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251</v>
      </c>
      <c r="M225" s="538"/>
      <c r="N225" s="540" t="str">
        <f>'BD Team'!E28</f>
        <v>24MM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252</v>
      </c>
      <c r="M226" s="538"/>
      <c r="N226" s="540" t="str">
        <f>'BD Team'!F28</f>
        <v>NO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253</v>
      </c>
      <c r="D228" s="538"/>
      <c r="E228" s="286" t="str">
        <f>'BD Team'!B29</f>
        <v>W5</v>
      </c>
      <c r="F228" s="288" t="s">
        <v>254</v>
      </c>
      <c r="G228" s="540" t="str">
        <f>'BD Team'!D29</f>
        <v>FIXED GLASS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 t="str">
        <f>'BD Team'!G29</f>
        <v>COURT - 4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246</v>
      </c>
      <c r="M230" s="538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177</v>
      </c>
      <c r="M231" s="538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247</v>
      </c>
      <c r="M232" s="538"/>
      <c r="N232" s="543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248</v>
      </c>
      <c r="M233" s="538"/>
      <c r="N233" s="540" t="str">
        <f>CONCATENATE('BD Team'!H29," X ",'BD Team'!I29)</f>
        <v>610 X 2134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249</v>
      </c>
      <c r="M234" s="538"/>
      <c r="N234" s="539">
        <f>'BD Team'!J29</f>
        <v>1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250</v>
      </c>
      <c r="M235" s="538"/>
      <c r="N235" s="540" t="str">
        <f>'BD Team'!C29</f>
        <v>M15000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251</v>
      </c>
      <c r="M236" s="538"/>
      <c r="N236" s="540" t="str">
        <f>'BD Team'!E29</f>
        <v>24MM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252</v>
      </c>
      <c r="M237" s="538"/>
      <c r="N237" s="540" t="str">
        <f>'BD Team'!F29</f>
        <v>NO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253</v>
      </c>
      <c r="D239" s="538"/>
      <c r="E239" s="286" t="str">
        <f>'BD Team'!B30</f>
        <v>CW2-A</v>
      </c>
      <c r="F239" s="288" t="s">
        <v>254</v>
      </c>
      <c r="G239" s="540" t="str">
        <f>'BD Team'!D30</f>
        <v>3 TRACK 2 SHUTTER SLIDING WINDOW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 t="str">
        <f>'BD Team'!G30</f>
        <v>GF - MBR &amp; FF - BR 1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246</v>
      </c>
      <c r="M241" s="538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177</v>
      </c>
      <c r="M242" s="538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247</v>
      </c>
      <c r="M243" s="538"/>
      <c r="N243" s="543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248</v>
      </c>
      <c r="M244" s="538"/>
      <c r="N244" s="540" t="str">
        <f>CONCATENATE('BD Team'!H30," X ",'BD Team'!I30)</f>
        <v>1524 X 1678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249</v>
      </c>
      <c r="M245" s="538"/>
      <c r="N245" s="539">
        <f>'BD Team'!J30</f>
        <v>2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250</v>
      </c>
      <c r="M246" s="538"/>
      <c r="N246" s="540" t="str">
        <f>'BD Team'!C30</f>
        <v>M14600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251</v>
      </c>
      <c r="M247" s="538"/>
      <c r="N247" s="540" t="str">
        <f>'BD Team'!E30</f>
        <v>24MM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252</v>
      </c>
      <c r="M248" s="538"/>
      <c r="N248" s="540" t="str">
        <f>'BD Team'!F30</f>
        <v>SS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253</v>
      </c>
      <c r="D250" s="538"/>
      <c r="E250" s="286" t="str">
        <f>'BD Team'!B31</f>
        <v>CW2-B</v>
      </c>
      <c r="F250" s="288" t="s">
        <v>254</v>
      </c>
      <c r="G250" s="540" t="str">
        <f>'BD Team'!D31</f>
        <v>FIXED GLASS CORNOR WINDOW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 t="str">
        <f>'BD Team'!G31</f>
        <v>GF - MBR &amp; FF - BR 1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246</v>
      </c>
      <c r="M252" s="538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177</v>
      </c>
      <c r="M253" s="538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247</v>
      </c>
      <c r="M254" s="538"/>
      <c r="N254" s="543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248</v>
      </c>
      <c r="M255" s="538"/>
      <c r="N255" s="540" t="str">
        <f>CONCATENATE('BD Team'!H31," X ",'BD Team'!I31)</f>
        <v>2924 X 1678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249</v>
      </c>
      <c r="M256" s="538"/>
      <c r="N256" s="539">
        <f>'BD Team'!J31</f>
        <v>2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250</v>
      </c>
      <c r="M257" s="538"/>
      <c r="N257" s="540" t="str">
        <f>'BD Team'!C31</f>
        <v>M15000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251</v>
      </c>
      <c r="M258" s="538"/>
      <c r="N258" s="540" t="str">
        <f>'BD Team'!E31</f>
        <v>24MM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252</v>
      </c>
      <c r="M259" s="538"/>
      <c r="N259" s="540" t="str">
        <f>'BD Team'!F31</f>
        <v>NO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253</v>
      </c>
      <c r="D261" s="538"/>
      <c r="E261" s="286" t="str">
        <f>'BD Team'!B32</f>
        <v>CW2-C</v>
      </c>
      <c r="F261" s="288" t="s">
        <v>254</v>
      </c>
      <c r="G261" s="540" t="str">
        <f>'BD Team'!D32</f>
        <v>3 TRACK 2 SHUTTER SLIDING WINDOW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 t="str">
        <f>'BD Team'!G32</f>
        <v>GF - MBR &amp; FF - BR 1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246</v>
      </c>
      <c r="M263" s="538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177</v>
      </c>
      <c r="M264" s="538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247</v>
      </c>
      <c r="M265" s="538"/>
      <c r="N265" s="543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248</v>
      </c>
      <c r="M266" s="538"/>
      <c r="N266" s="540" t="str">
        <f>CONCATENATE('BD Team'!H32," X ",'BD Team'!I32)</f>
        <v>1830 X 1678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249</v>
      </c>
      <c r="M267" s="538"/>
      <c r="N267" s="539">
        <f>'BD Team'!J32</f>
        <v>2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250</v>
      </c>
      <c r="M268" s="538"/>
      <c r="N268" s="540" t="str">
        <f>'BD Team'!C32</f>
        <v>M14600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251</v>
      </c>
      <c r="M269" s="538"/>
      <c r="N269" s="540" t="str">
        <f>'BD Team'!E32</f>
        <v>24MM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252</v>
      </c>
      <c r="M270" s="538"/>
      <c r="N270" s="540" t="str">
        <f>'BD Team'!F32</f>
        <v>SS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253</v>
      </c>
      <c r="D272" s="538"/>
      <c r="E272" s="286" t="str">
        <f>'BD Team'!B33</f>
        <v>CW3-A</v>
      </c>
      <c r="F272" s="288" t="s">
        <v>254</v>
      </c>
      <c r="G272" s="540" t="str">
        <f>'BD Team'!D33</f>
        <v>3 TRACK 2 SHUTTER SLIDING WINDOW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 t="str">
        <f>'BD Team'!G33</f>
        <v>GF - GBR &amp; FF - BR 2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246</v>
      </c>
      <c r="M274" s="538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177</v>
      </c>
      <c r="M275" s="538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247</v>
      </c>
      <c r="M276" s="538"/>
      <c r="N276" s="543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248</v>
      </c>
      <c r="M277" s="538"/>
      <c r="N277" s="540" t="str">
        <f>CONCATENATE('BD Team'!H33," X ",'BD Team'!I33)</f>
        <v>1830 X 1678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249</v>
      </c>
      <c r="M278" s="538"/>
      <c r="N278" s="539">
        <f>'BD Team'!J33</f>
        <v>2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250</v>
      </c>
      <c r="M279" s="538"/>
      <c r="N279" s="540" t="str">
        <f>'BD Team'!C33</f>
        <v>M14600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251</v>
      </c>
      <c r="M280" s="538"/>
      <c r="N280" s="540" t="str">
        <f>'BD Team'!E33</f>
        <v>24MM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252</v>
      </c>
      <c r="M281" s="538"/>
      <c r="N281" s="540" t="str">
        <f>'BD Team'!F33</f>
        <v>SS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253</v>
      </c>
      <c r="D283" s="538"/>
      <c r="E283" s="286" t="str">
        <f>'BD Team'!B34</f>
        <v>CW3-B</v>
      </c>
      <c r="F283" s="288" t="s">
        <v>254</v>
      </c>
      <c r="G283" s="540" t="str">
        <f>'BD Team'!D34</f>
        <v>FIXED GLASS CORNOR WINDOW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 t="str">
        <f>'BD Team'!G34</f>
        <v>GF - GBR &amp; FF - BR 2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246</v>
      </c>
      <c r="M285" s="538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177</v>
      </c>
      <c r="M286" s="538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247</v>
      </c>
      <c r="M287" s="538"/>
      <c r="N287" s="543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248</v>
      </c>
      <c r="M288" s="538"/>
      <c r="N288" s="540" t="str">
        <f>CONCATENATE('BD Team'!H34," X ",'BD Team'!I34)</f>
        <v>2694 X 1678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249</v>
      </c>
      <c r="M289" s="538"/>
      <c r="N289" s="539">
        <f>'BD Team'!J34</f>
        <v>2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250</v>
      </c>
      <c r="M290" s="538"/>
      <c r="N290" s="540" t="str">
        <f>'BD Team'!C34</f>
        <v>M15000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251</v>
      </c>
      <c r="M291" s="538"/>
      <c r="N291" s="540" t="str">
        <f>'BD Team'!E34</f>
        <v>24MM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252</v>
      </c>
      <c r="M292" s="538"/>
      <c r="N292" s="540" t="str">
        <f>'BD Team'!F34</f>
        <v>NO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253</v>
      </c>
      <c r="D294" s="538"/>
      <c r="E294" s="286" t="str">
        <f>'BD Team'!B35</f>
        <v>CW3-C</v>
      </c>
      <c r="F294" s="288" t="s">
        <v>254</v>
      </c>
      <c r="G294" s="540" t="str">
        <f>'BD Team'!D35</f>
        <v>3 TRACK 2 SHUTTER SLIDING WINDOW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 t="str">
        <f>'BD Team'!G35</f>
        <v>GF - GBR &amp; FF - BR 2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246</v>
      </c>
      <c r="M296" s="538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177</v>
      </c>
      <c r="M297" s="538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247</v>
      </c>
      <c r="M298" s="538"/>
      <c r="N298" s="543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248</v>
      </c>
      <c r="M299" s="538"/>
      <c r="N299" s="540" t="str">
        <f>CONCATENATE('BD Team'!H35," X ",'BD Team'!I35)</f>
        <v>1524 X 1678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249</v>
      </c>
      <c r="M300" s="538"/>
      <c r="N300" s="539">
        <f>'BD Team'!J35</f>
        <v>2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250</v>
      </c>
      <c r="M301" s="538"/>
      <c r="N301" s="540" t="str">
        <f>'BD Team'!C35</f>
        <v>M14600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251</v>
      </c>
      <c r="M302" s="538"/>
      <c r="N302" s="540" t="str">
        <f>'BD Team'!E35</f>
        <v>24MM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252</v>
      </c>
      <c r="M303" s="538"/>
      <c r="N303" s="540" t="str">
        <f>'BD Team'!F35</f>
        <v>SS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253</v>
      </c>
      <c r="D305" s="538"/>
      <c r="E305" s="286" t="str">
        <f>'BD Team'!B36</f>
        <v>CW4-A</v>
      </c>
      <c r="F305" s="288" t="s">
        <v>254</v>
      </c>
      <c r="G305" s="540" t="str">
        <f>'BD Team'!D36</f>
        <v>3 TRACK 2 SHUTTER SLIDING WINDOW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 t="str">
        <f>'BD Team'!G36</f>
        <v>GF - DINING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246</v>
      </c>
      <c r="M307" s="538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177</v>
      </c>
      <c r="M308" s="538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247</v>
      </c>
      <c r="M309" s="538"/>
      <c r="N309" s="543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248</v>
      </c>
      <c r="M310" s="538"/>
      <c r="N310" s="540" t="str">
        <f>CONCATENATE('BD Team'!H36," X ",'BD Team'!I36)</f>
        <v>2694 X 1678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249</v>
      </c>
      <c r="M311" s="538"/>
      <c r="N311" s="539">
        <f>'BD Team'!J36</f>
        <v>1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250</v>
      </c>
      <c r="M312" s="538"/>
      <c r="N312" s="540" t="str">
        <f>'BD Team'!C36</f>
        <v>M14600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251</v>
      </c>
      <c r="M313" s="538"/>
      <c r="N313" s="540" t="str">
        <f>'BD Team'!E36</f>
        <v>24MM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252</v>
      </c>
      <c r="M314" s="538"/>
      <c r="N314" s="540" t="str">
        <f>'BD Team'!F36</f>
        <v>SS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253</v>
      </c>
      <c r="D316" s="538"/>
      <c r="E316" s="286" t="str">
        <f>'BD Team'!B37</f>
        <v>CW4-B</v>
      </c>
      <c r="F316" s="288" t="s">
        <v>254</v>
      </c>
      <c r="G316" s="540" t="str">
        <f>'BD Team'!D37</f>
        <v>FIXED GLASS CORNOR WINDOW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 t="str">
        <f>'BD Team'!G37</f>
        <v>GF - DINING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246</v>
      </c>
      <c r="M318" s="538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177</v>
      </c>
      <c r="M319" s="538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247</v>
      </c>
      <c r="M320" s="538"/>
      <c r="N320" s="543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248</v>
      </c>
      <c r="M321" s="538"/>
      <c r="N321" s="540" t="str">
        <f>CONCATENATE('BD Team'!H37," X ",'BD Team'!I37)</f>
        <v>2288 X 1678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249</v>
      </c>
      <c r="M322" s="538"/>
      <c r="N322" s="539">
        <f>'BD Team'!J37</f>
        <v>1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250</v>
      </c>
      <c r="M323" s="538"/>
      <c r="N323" s="540" t="str">
        <f>'BD Team'!C37</f>
        <v>M15000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251</v>
      </c>
      <c r="M324" s="538"/>
      <c r="N324" s="540" t="str">
        <f>'BD Team'!E37</f>
        <v>24MM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252</v>
      </c>
      <c r="M325" s="538"/>
      <c r="N325" s="540" t="str">
        <f>'BD Team'!F37</f>
        <v>NO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253</v>
      </c>
      <c r="D327" s="538"/>
      <c r="E327" s="286" t="str">
        <f>'BD Team'!B38</f>
        <v>CW4-C</v>
      </c>
      <c r="F327" s="288" t="s">
        <v>254</v>
      </c>
      <c r="G327" s="540" t="str">
        <f>'BD Team'!D38</f>
        <v>3 TRACK 2 SHUTTER SLIDING WINDOW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 t="str">
        <f>'BD Team'!G38</f>
        <v>GF - DINING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246</v>
      </c>
      <c r="M329" s="538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177</v>
      </c>
      <c r="M330" s="538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247</v>
      </c>
      <c r="M331" s="538"/>
      <c r="N331" s="543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248</v>
      </c>
      <c r="M332" s="538"/>
      <c r="N332" s="540" t="str">
        <f>CONCATENATE('BD Team'!H38," X ",'BD Team'!I38)</f>
        <v>1830 X 1678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249</v>
      </c>
      <c r="M333" s="538"/>
      <c r="N333" s="539">
        <f>'BD Team'!J38</f>
        <v>1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250</v>
      </c>
      <c r="M334" s="538"/>
      <c r="N334" s="540" t="str">
        <f>'BD Team'!C38</f>
        <v>M14600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251</v>
      </c>
      <c r="M335" s="538"/>
      <c r="N335" s="540" t="str">
        <f>'BD Team'!E38</f>
        <v>24MM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252</v>
      </c>
      <c r="M336" s="538"/>
      <c r="N336" s="540" t="str">
        <f>'BD Team'!F38</f>
        <v>SS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253</v>
      </c>
      <c r="D338" s="538"/>
      <c r="E338" s="286" t="str">
        <f>'BD Team'!B39</f>
        <v>V1</v>
      </c>
      <c r="F338" s="288" t="s">
        <v>254</v>
      </c>
      <c r="G338" s="540" t="str">
        <f>'BD Team'!D39</f>
        <v>SIDE HUNG WINDOW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 t="str">
        <f>'BD Team'!G39</f>
        <v>GF - POWDER ROOM TOILET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246</v>
      </c>
      <c r="M340" s="538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177</v>
      </c>
      <c r="M341" s="538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247</v>
      </c>
      <c r="M342" s="538"/>
      <c r="N342" s="543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248</v>
      </c>
      <c r="M343" s="538"/>
      <c r="N343" s="540" t="str">
        <f>CONCATENATE('BD Team'!H39," X ",'BD Team'!I39)</f>
        <v>610 X 610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249</v>
      </c>
      <c r="M344" s="538"/>
      <c r="N344" s="539">
        <f>'BD Team'!J39</f>
        <v>1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250</v>
      </c>
      <c r="M345" s="538"/>
      <c r="N345" s="540" t="str">
        <f>'BD Team'!C39</f>
        <v>M15000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251</v>
      </c>
      <c r="M346" s="538"/>
      <c r="N346" s="540" t="str">
        <f>'BD Team'!E39</f>
        <v>6MM (A)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252</v>
      </c>
      <c r="M347" s="538"/>
      <c r="N347" s="540" t="str">
        <f>'BD Team'!F39</f>
        <v>NO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253</v>
      </c>
      <c r="D349" s="538"/>
      <c r="E349" s="286" t="str">
        <f>'BD Team'!B40</f>
        <v>V2</v>
      </c>
      <c r="F349" s="288" t="s">
        <v>254</v>
      </c>
      <c r="G349" s="540" t="str">
        <f>'BD Team'!D40</f>
        <v>SIDE HUNG WINDOW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 t="str">
        <f>'BD Team'!G40</f>
        <v>GF - MBR, GBR &amp; FF - BR 1 &amp; BR 2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246</v>
      </c>
      <c r="M351" s="538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177</v>
      </c>
      <c r="M352" s="538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247</v>
      </c>
      <c r="M353" s="538"/>
      <c r="N353" s="543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248</v>
      </c>
      <c r="M354" s="538"/>
      <c r="N354" s="540" t="str">
        <f>CONCATENATE('BD Team'!H40," X ",'BD Team'!I40)</f>
        <v>916 X 916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249</v>
      </c>
      <c r="M355" s="538"/>
      <c r="N355" s="539">
        <f>'BD Team'!J40</f>
        <v>4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250</v>
      </c>
      <c r="M356" s="538"/>
      <c r="N356" s="540" t="str">
        <f>'BD Team'!C40</f>
        <v>M15000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251</v>
      </c>
      <c r="M357" s="538"/>
      <c r="N357" s="540" t="str">
        <f>'BD Team'!E40</f>
        <v>6MM (A)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252</v>
      </c>
      <c r="M358" s="538"/>
      <c r="N358" s="540" t="str">
        <f>'BD Team'!F40</f>
        <v>NO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253</v>
      </c>
      <c r="D360" s="538"/>
      <c r="E360" s="286" t="str">
        <f>'BD Team'!B41</f>
        <v>V3</v>
      </c>
      <c r="F360" s="288" t="s">
        <v>254</v>
      </c>
      <c r="G360" s="540" t="str">
        <f>'BD Team'!D41</f>
        <v>FIXED GLASS 3 NO'S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 t="str">
        <f>'BD Team'!G41</f>
        <v>GF - CAR PARKING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246</v>
      </c>
      <c r="M362" s="538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177</v>
      </c>
      <c r="M363" s="538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247</v>
      </c>
      <c r="M364" s="538"/>
      <c r="N364" s="543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248</v>
      </c>
      <c r="M365" s="538"/>
      <c r="N365" s="540" t="str">
        <f>CONCATENATE('BD Team'!H41," X ",'BD Team'!I41)</f>
        <v>7722 X 610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249</v>
      </c>
      <c r="M366" s="538"/>
      <c r="N366" s="539">
        <f>'BD Team'!J41</f>
        <v>1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250</v>
      </c>
      <c r="M367" s="538"/>
      <c r="N367" s="540" t="str">
        <f>'BD Team'!C41</f>
        <v>M15000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251</v>
      </c>
      <c r="M368" s="538"/>
      <c r="N368" s="540" t="str">
        <f>'BD Team'!E41</f>
        <v>24MM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252</v>
      </c>
      <c r="M369" s="538"/>
      <c r="N369" s="540" t="str">
        <f>'BD Team'!F41</f>
        <v>NO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253</v>
      </c>
      <c r="D371" s="538"/>
      <c r="E371" s="286" t="str">
        <f>'BD Team'!B42</f>
        <v>V4-A</v>
      </c>
      <c r="F371" s="288" t="s">
        <v>254</v>
      </c>
      <c r="G371" s="540" t="str">
        <f>'BD Team'!D42</f>
        <v>FIXED GLASS 2 NO'S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 t="str">
        <f>'BD Team'!G42</f>
        <v>GF - CAR PARKING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246</v>
      </c>
      <c r="M373" s="538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177</v>
      </c>
      <c r="M374" s="538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247</v>
      </c>
      <c r="M375" s="538"/>
      <c r="N375" s="543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248</v>
      </c>
      <c r="M376" s="538"/>
      <c r="N376" s="540" t="str">
        <f>CONCATENATE('BD Team'!H42," X ",'BD Team'!I42)</f>
        <v>3030 X 610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249</v>
      </c>
      <c r="M377" s="538"/>
      <c r="N377" s="539">
        <f>'BD Team'!J42</f>
        <v>1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250</v>
      </c>
      <c r="M378" s="538"/>
      <c r="N378" s="540" t="str">
        <f>'BD Team'!C42</f>
        <v>M15000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251</v>
      </c>
      <c r="M379" s="538"/>
      <c r="N379" s="540" t="str">
        <f>'BD Team'!E42</f>
        <v>24MM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252</v>
      </c>
      <c r="M380" s="538"/>
      <c r="N380" s="540" t="str">
        <f>'BD Team'!F42</f>
        <v>NO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253</v>
      </c>
      <c r="D382" s="538"/>
      <c r="E382" s="286" t="str">
        <f>'BD Team'!B43</f>
        <v>V4-B</v>
      </c>
      <c r="F382" s="288" t="s">
        <v>254</v>
      </c>
      <c r="G382" s="540" t="str">
        <f>'BD Team'!D43</f>
        <v>FIXED GLASS 2 NO'S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 t="str">
        <f>'BD Team'!G43</f>
        <v>GF - CAR PARKING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246</v>
      </c>
      <c r="M384" s="538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177</v>
      </c>
      <c r="M385" s="538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247</v>
      </c>
      <c r="M386" s="538"/>
      <c r="N386" s="543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248</v>
      </c>
      <c r="M387" s="538"/>
      <c r="N387" s="540" t="str">
        <f>CONCATENATE('BD Team'!H43," X ",'BD Team'!I43)</f>
        <v>3080 X 610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249</v>
      </c>
      <c r="M388" s="538"/>
      <c r="N388" s="539">
        <f>'BD Team'!J43</f>
        <v>1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250</v>
      </c>
      <c r="M389" s="538"/>
      <c r="N389" s="540" t="str">
        <f>'BD Team'!C43</f>
        <v>M15000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251</v>
      </c>
      <c r="M390" s="538"/>
      <c r="N390" s="540" t="str">
        <f>'BD Team'!E43</f>
        <v>24MM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252</v>
      </c>
      <c r="M391" s="538"/>
      <c r="N391" s="540" t="str">
        <f>'BD Team'!F43</f>
        <v>NO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253</v>
      </c>
      <c r="D393" s="538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246</v>
      </c>
      <c r="M395" s="538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177</v>
      </c>
      <c r="M396" s="538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247</v>
      </c>
      <c r="M397" s="538"/>
      <c r="N397" s="543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248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249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250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251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252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253</v>
      </c>
      <c r="D404" s="538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246</v>
      </c>
      <c r="M406" s="538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177</v>
      </c>
      <c r="M407" s="538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247</v>
      </c>
      <c r="M408" s="538"/>
      <c r="N408" s="543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248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249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250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251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252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253</v>
      </c>
      <c r="D415" s="538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246</v>
      </c>
      <c r="M417" s="538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177</v>
      </c>
      <c r="M418" s="538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247</v>
      </c>
      <c r="M419" s="538"/>
      <c r="N419" s="543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248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249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250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251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252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253</v>
      </c>
      <c r="D426" s="538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246</v>
      </c>
      <c r="M428" s="538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177</v>
      </c>
      <c r="M429" s="538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247</v>
      </c>
      <c r="M430" s="538"/>
      <c r="N430" s="543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248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249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250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251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252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253</v>
      </c>
      <c r="D437" s="538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246</v>
      </c>
      <c r="M439" s="538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177</v>
      </c>
      <c r="M440" s="538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247</v>
      </c>
      <c r="M441" s="538"/>
      <c r="N441" s="543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248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249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250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251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252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253</v>
      </c>
      <c r="D448" s="538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246</v>
      </c>
      <c r="M450" s="538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177</v>
      </c>
      <c r="M451" s="538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247</v>
      </c>
      <c r="M452" s="538"/>
      <c r="N452" s="543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248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249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250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251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252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253</v>
      </c>
      <c r="D459" s="538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246</v>
      </c>
      <c r="M461" s="538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177</v>
      </c>
      <c r="M462" s="538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247</v>
      </c>
      <c r="M463" s="538"/>
      <c r="N463" s="543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248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249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250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251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252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253</v>
      </c>
      <c r="D470" s="538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246</v>
      </c>
      <c r="M472" s="538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177</v>
      </c>
      <c r="M473" s="538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247</v>
      </c>
      <c r="M474" s="538"/>
      <c r="N474" s="543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248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249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250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251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252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253</v>
      </c>
      <c r="D481" s="538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246</v>
      </c>
      <c r="M483" s="538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177</v>
      </c>
      <c r="M484" s="538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247</v>
      </c>
      <c r="M485" s="538"/>
      <c r="N485" s="543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248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249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250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251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252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253</v>
      </c>
      <c r="D492" s="538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246</v>
      </c>
      <c r="M494" s="538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177</v>
      </c>
      <c r="M495" s="538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247</v>
      </c>
      <c r="M496" s="538"/>
      <c r="N496" s="543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248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249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250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251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252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253</v>
      </c>
      <c r="D503" s="538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246</v>
      </c>
      <c r="M505" s="538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177</v>
      </c>
      <c r="M506" s="538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247</v>
      </c>
      <c r="M507" s="538"/>
      <c r="N507" s="543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248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249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250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251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252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253</v>
      </c>
      <c r="D514" s="538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246</v>
      </c>
      <c r="M516" s="538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177</v>
      </c>
      <c r="M517" s="538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247</v>
      </c>
      <c r="M518" s="538"/>
      <c r="N518" s="543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248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249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250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251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252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253</v>
      </c>
      <c r="D525" s="538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246</v>
      </c>
      <c r="M527" s="538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177</v>
      </c>
      <c r="M528" s="538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247</v>
      </c>
      <c r="M529" s="538"/>
      <c r="N529" s="543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248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249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250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251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252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253</v>
      </c>
      <c r="D536" s="538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246</v>
      </c>
      <c r="M538" s="538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177</v>
      </c>
      <c r="M539" s="538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247</v>
      </c>
      <c r="M540" s="538"/>
      <c r="N540" s="543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248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249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250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251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252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253</v>
      </c>
      <c r="D547" s="538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246</v>
      </c>
      <c r="M549" s="538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177</v>
      </c>
      <c r="M550" s="538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247</v>
      </c>
      <c r="M551" s="538"/>
      <c r="N551" s="543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248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249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250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251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252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253</v>
      </c>
      <c r="D558" s="538"/>
      <c r="E558" s="289">
        <f>'BD Team'!B59</f>
        <v>0</v>
      </c>
      <c r="F558" s="288" t="s">
        <v>254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246</v>
      </c>
      <c r="M560" s="538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177</v>
      </c>
      <c r="M561" s="538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247</v>
      </c>
      <c r="M562" s="538"/>
      <c r="N562" s="543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248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249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250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251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252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253</v>
      </c>
      <c r="D569" s="538"/>
      <c r="E569" s="289">
        <f>'BD Team'!B60</f>
        <v>0</v>
      </c>
      <c r="F569" s="288" t="s">
        <v>254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246</v>
      </c>
      <c r="M571" s="538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177</v>
      </c>
      <c r="M572" s="538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247</v>
      </c>
      <c r="M573" s="538"/>
      <c r="N573" s="543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248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249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250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251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252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253</v>
      </c>
      <c r="D580" s="538"/>
      <c r="E580" s="289">
        <f>'BD Team'!B61</f>
        <v>0</v>
      </c>
      <c r="F580" s="288" t="s">
        <v>254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246</v>
      </c>
      <c r="M582" s="538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177</v>
      </c>
      <c r="M583" s="538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247</v>
      </c>
      <c r="M584" s="538"/>
      <c r="N584" s="543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248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249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250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251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252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253</v>
      </c>
      <c r="D591" s="538"/>
      <c r="E591" s="289">
        <f>'BD Team'!B62</f>
        <v>0</v>
      </c>
      <c r="F591" s="288" t="s">
        <v>254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246</v>
      </c>
      <c r="M593" s="538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177</v>
      </c>
      <c r="M594" s="538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247</v>
      </c>
      <c r="M595" s="538"/>
      <c r="N595" s="543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248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249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250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251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252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253</v>
      </c>
      <c r="D602" s="538"/>
      <c r="E602" s="289">
        <f>'BD Team'!B63</f>
        <v>0</v>
      </c>
      <c r="F602" s="288" t="s">
        <v>254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246</v>
      </c>
      <c r="M604" s="538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177</v>
      </c>
      <c r="M605" s="538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247</v>
      </c>
      <c r="M606" s="538"/>
      <c r="N606" s="543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248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249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250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251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252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253</v>
      </c>
      <c r="D613" s="538"/>
      <c r="E613" s="289">
        <f>'BD Team'!B64</f>
        <v>0</v>
      </c>
      <c r="F613" s="288" t="s">
        <v>254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246</v>
      </c>
      <c r="M615" s="538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177</v>
      </c>
      <c r="M616" s="538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247</v>
      </c>
      <c r="M617" s="538"/>
      <c r="N617" s="543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248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249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250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251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252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253</v>
      </c>
      <c r="D624" s="538"/>
      <c r="E624" s="289">
        <f>'BD Team'!B65</f>
        <v>0</v>
      </c>
      <c r="F624" s="288" t="s">
        <v>254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246</v>
      </c>
      <c r="M626" s="538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177</v>
      </c>
      <c r="M627" s="538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247</v>
      </c>
      <c r="M628" s="538"/>
      <c r="N628" s="543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248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249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250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251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252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253</v>
      </c>
      <c r="D635" s="538"/>
      <c r="E635" s="289">
        <f>'BD Team'!B66</f>
        <v>0</v>
      </c>
      <c r="F635" s="288" t="s">
        <v>254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246</v>
      </c>
      <c r="M637" s="538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177</v>
      </c>
      <c r="M638" s="538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247</v>
      </c>
      <c r="M639" s="538"/>
      <c r="N639" s="543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248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249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250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251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252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253</v>
      </c>
      <c r="D646" s="538"/>
      <c r="E646" s="289">
        <f>'BD Team'!B67</f>
        <v>0</v>
      </c>
      <c r="F646" s="288" t="s">
        <v>254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246</v>
      </c>
      <c r="M648" s="538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177</v>
      </c>
      <c r="M649" s="538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247</v>
      </c>
      <c r="M650" s="538"/>
      <c r="N650" s="543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248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249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250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251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252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253</v>
      </c>
      <c r="D657" s="538"/>
      <c r="E657" s="289">
        <f>'BD Team'!B68</f>
        <v>0</v>
      </c>
      <c r="F657" s="288" t="s">
        <v>254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246</v>
      </c>
      <c r="M659" s="538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177</v>
      </c>
      <c r="M660" s="538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247</v>
      </c>
      <c r="M661" s="538"/>
      <c r="N661" s="543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248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249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250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251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252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253</v>
      </c>
      <c r="D668" s="538"/>
      <c r="E668" s="289">
        <f>'BD Team'!B69</f>
        <v>0</v>
      </c>
      <c r="F668" s="288" t="s">
        <v>254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246</v>
      </c>
      <c r="M670" s="538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177</v>
      </c>
      <c r="M671" s="538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247</v>
      </c>
      <c r="M672" s="538"/>
      <c r="N672" s="543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248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249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250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251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252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253</v>
      </c>
      <c r="D679" s="538"/>
      <c r="E679" s="289">
        <f>'BD Team'!B70</f>
        <v>0</v>
      </c>
      <c r="F679" s="288" t="s">
        <v>254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246</v>
      </c>
      <c r="M681" s="538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177</v>
      </c>
      <c r="M682" s="538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247</v>
      </c>
      <c r="M683" s="538"/>
      <c r="N683" s="543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248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249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250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251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252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253</v>
      </c>
      <c r="D690" s="538"/>
      <c r="E690" s="289">
        <f>'BD Team'!B71</f>
        <v>0</v>
      </c>
      <c r="F690" s="288" t="s">
        <v>254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246</v>
      </c>
      <c r="M692" s="538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177</v>
      </c>
      <c r="M693" s="538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247</v>
      </c>
      <c r="M694" s="538"/>
      <c r="N694" s="543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248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249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250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251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252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253</v>
      </c>
      <c r="D701" s="538"/>
      <c r="E701" s="289">
        <f>'BD Team'!B72</f>
        <v>0</v>
      </c>
      <c r="F701" s="288" t="s">
        <v>254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246</v>
      </c>
      <c r="M703" s="538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177</v>
      </c>
      <c r="M704" s="538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247</v>
      </c>
      <c r="M705" s="538"/>
      <c r="N705" s="543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248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249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250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251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252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253</v>
      </c>
      <c r="D712" s="538"/>
      <c r="E712" s="289">
        <f>'BD Team'!B73</f>
        <v>0</v>
      </c>
      <c r="F712" s="288" t="s">
        <v>254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246</v>
      </c>
      <c r="M714" s="538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177</v>
      </c>
      <c r="M715" s="538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247</v>
      </c>
      <c r="M716" s="538"/>
      <c r="N716" s="543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248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249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250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251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252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253</v>
      </c>
      <c r="D723" s="538"/>
      <c r="E723" s="289">
        <f>'BD Team'!B74</f>
        <v>0</v>
      </c>
      <c r="F723" s="288" t="s">
        <v>254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246</v>
      </c>
      <c r="M725" s="538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177</v>
      </c>
      <c r="M726" s="538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247</v>
      </c>
      <c r="M727" s="538"/>
      <c r="N727" s="543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248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249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250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251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252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253</v>
      </c>
      <c r="D734" s="538"/>
      <c r="E734" s="289">
        <f>'BD Team'!B75</f>
        <v>0</v>
      </c>
      <c r="F734" s="288" t="s">
        <v>254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246</v>
      </c>
      <c r="M736" s="538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177</v>
      </c>
      <c r="M737" s="538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247</v>
      </c>
      <c r="M738" s="538"/>
      <c r="N738" s="543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248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249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250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251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252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253</v>
      </c>
      <c r="D745" s="538"/>
      <c r="E745" s="289">
        <f>'BD Team'!B76</f>
        <v>0</v>
      </c>
      <c r="F745" s="288" t="s">
        <v>254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246</v>
      </c>
      <c r="M747" s="538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177</v>
      </c>
      <c r="M748" s="538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247</v>
      </c>
      <c r="M749" s="538"/>
      <c r="N749" s="543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248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249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250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251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252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253</v>
      </c>
      <c r="D756" s="538"/>
      <c r="E756" s="289">
        <f>'BD Team'!B77</f>
        <v>0</v>
      </c>
      <c r="F756" s="288" t="s">
        <v>254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246</v>
      </c>
      <c r="M758" s="538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177</v>
      </c>
      <c r="M759" s="538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247</v>
      </c>
      <c r="M760" s="538"/>
      <c r="N760" s="543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248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249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250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251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252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253</v>
      </c>
      <c r="D767" s="538"/>
      <c r="E767" s="289">
        <f>'BD Team'!B78</f>
        <v>0</v>
      </c>
      <c r="F767" s="288" t="s">
        <v>254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246</v>
      </c>
      <c r="M769" s="538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177</v>
      </c>
      <c r="M770" s="538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247</v>
      </c>
      <c r="M771" s="538"/>
      <c r="N771" s="543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248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249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250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251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252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253</v>
      </c>
      <c r="D778" s="538"/>
      <c r="E778" s="289">
        <f>'BD Team'!B79</f>
        <v>0</v>
      </c>
      <c r="F778" s="288" t="s">
        <v>254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246</v>
      </c>
      <c r="M780" s="538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177</v>
      </c>
      <c r="M781" s="538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247</v>
      </c>
      <c r="M782" s="538"/>
      <c r="N782" s="543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248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249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250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251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252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253</v>
      </c>
      <c r="D789" s="538"/>
      <c r="E789" s="289">
        <f>'BD Team'!B80</f>
        <v>0</v>
      </c>
      <c r="F789" s="288" t="s">
        <v>254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246</v>
      </c>
      <c r="M791" s="538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177</v>
      </c>
      <c r="M792" s="538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247</v>
      </c>
      <c r="M793" s="538"/>
      <c r="N793" s="543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248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249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250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251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252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253</v>
      </c>
      <c r="D800" s="538"/>
      <c r="E800" s="289">
        <f>'BD Team'!B81</f>
        <v>0</v>
      </c>
      <c r="F800" s="288" t="s">
        <v>254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246</v>
      </c>
      <c r="M802" s="538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177</v>
      </c>
      <c r="M803" s="538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247</v>
      </c>
      <c r="M804" s="538"/>
      <c r="N804" s="543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248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249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250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251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252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253</v>
      </c>
      <c r="D811" s="538"/>
      <c r="E811" s="289">
        <f>'BD Team'!B82</f>
        <v>0</v>
      </c>
      <c r="F811" s="288" t="s">
        <v>254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246</v>
      </c>
      <c r="M813" s="538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177</v>
      </c>
      <c r="M814" s="538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247</v>
      </c>
      <c r="M815" s="538"/>
      <c r="N815" s="543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248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249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250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251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252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253</v>
      </c>
      <c r="D822" s="538"/>
      <c r="E822" s="289">
        <f>'BD Team'!B83</f>
        <v>0</v>
      </c>
      <c r="F822" s="288" t="s">
        <v>254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246</v>
      </c>
      <c r="M824" s="538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177</v>
      </c>
      <c r="M825" s="538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247</v>
      </c>
      <c r="M826" s="538"/>
      <c r="N826" s="543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248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249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250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251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252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253</v>
      </c>
      <c r="D833" s="538"/>
      <c r="E833" s="289">
        <f>'BD Team'!B84</f>
        <v>0</v>
      </c>
      <c r="F833" s="288" t="s">
        <v>254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246</v>
      </c>
      <c r="M835" s="538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177</v>
      </c>
      <c r="M836" s="538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247</v>
      </c>
      <c r="M837" s="538"/>
      <c r="N837" s="543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248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249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250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251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252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253</v>
      </c>
      <c r="D844" s="538"/>
      <c r="E844" s="289">
        <f>'BD Team'!B85</f>
        <v>0</v>
      </c>
      <c r="F844" s="288" t="s">
        <v>254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246</v>
      </c>
      <c r="M846" s="538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177</v>
      </c>
      <c r="M847" s="538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247</v>
      </c>
      <c r="M848" s="538"/>
      <c r="N848" s="543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248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249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250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251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252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253</v>
      </c>
      <c r="D855" s="538"/>
      <c r="E855" s="289">
        <f>'BD Team'!B86</f>
        <v>0</v>
      </c>
      <c r="F855" s="288" t="s">
        <v>254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246</v>
      </c>
      <c r="M857" s="538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177</v>
      </c>
      <c r="M858" s="538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247</v>
      </c>
      <c r="M859" s="538"/>
      <c r="N859" s="543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248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249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250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251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252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253</v>
      </c>
      <c r="D866" s="538"/>
      <c r="E866" s="289">
        <f>'BD Team'!B87</f>
        <v>0</v>
      </c>
      <c r="F866" s="288" t="s">
        <v>254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246</v>
      </c>
      <c r="M868" s="538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177</v>
      </c>
      <c r="M869" s="538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247</v>
      </c>
      <c r="M870" s="538"/>
      <c r="N870" s="543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248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249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250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251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252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253</v>
      </c>
      <c r="D877" s="538"/>
      <c r="E877" s="289">
        <f>'BD Team'!B88</f>
        <v>0</v>
      </c>
      <c r="F877" s="288" t="s">
        <v>254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246</v>
      </c>
      <c r="M879" s="538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177</v>
      </c>
      <c r="M880" s="538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247</v>
      </c>
      <c r="M881" s="538"/>
      <c r="N881" s="543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248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249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250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251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252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253</v>
      </c>
      <c r="D888" s="538"/>
      <c r="E888" s="289">
        <f>'BD Team'!B89</f>
        <v>0</v>
      </c>
      <c r="F888" s="288" t="s">
        <v>254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246</v>
      </c>
      <c r="M890" s="538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177</v>
      </c>
      <c r="M891" s="538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247</v>
      </c>
      <c r="M892" s="538"/>
      <c r="N892" s="543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248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249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250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251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252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253</v>
      </c>
      <c r="D899" s="538"/>
      <c r="E899" s="289">
        <f>'BD Team'!B90</f>
        <v>0</v>
      </c>
      <c r="F899" s="288" t="s">
        <v>254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246</v>
      </c>
      <c r="M901" s="538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177</v>
      </c>
      <c r="M902" s="538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247</v>
      </c>
      <c r="M903" s="538"/>
      <c r="N903" s="543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248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249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250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251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252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253</v>
      </c>
      <c r="D910" s="538"/>
      <c r="E910" s="289">
        <f>'BD Team'!B91</f>
        <v>0</v>
      </c>
      <c r="F910" s="288" t="s">
        <v>254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246</v>
      </c>
      <c r="M912" s="538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177</v>
      </c>
      <c r="M913" s="538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247</v>
      </c>
      <c r="M914" s="538"/>
      <c r="N914" s="543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248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249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250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251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252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253</v>
      </c>
      <c r="D921" s="538"/>
      <c r="E921" s="289">
        <f>'BD Team'!B92</f>
        <v>0</v>
      </c>
      <c r="F921" s="288" t="s">
        <v>254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246</v>
      </c>
      <c r="M923" s="538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177</v>
      </c>
      <c r="M924" s="538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247</v>
      </c>
      <c r="M925" s="538"/>
      <c r="N925" s="543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248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249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250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251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252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253</v>
      </c>
      <c r="D932" s="538"/>
      <c r="E932" s="289">
        <f>'BD Team'!B93</f>
        <v>0</v>
      </c>
      <c r="F932" s="288" t="s">
        <v>254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246</v>
      </c>
      <c r="M934" s="538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177</v>
      </c>
      <c r="M935" s="538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247</v>
      </c>
      <c r="M936" s="538"/>
      <c r="N936" s="543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248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249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250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251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252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253</v>
      </c>
      <c r="D943" s="538"/>
      <c r="E943" s="289">
        <f>'BD Team'!B94</f>
        <v>0</v>
      </c>
      <c r="F943" s="288" t="s">
        <v>254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246</v>
      </c>
      <c r="M945" s="538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177</v>
      </c>
      <c r="M946" s="538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247</v>
      </c>
      <c r="M947" s="538"/>
      <c r="N947" s="543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248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249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250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251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252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253</v>
      </c>
      <c r="D954" s="538"/>
      <c r="E954" s="289">
        <f>'BD Team'!B95</f>
        <v>0</v>
      </c>
      <c r="F954" s="288" t="s">
        <v>254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246</v>
      </c>
      <c r="M956" s="538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177</v>
      </c>
      <c r="M957" s="538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247</v>
      </c>
      <c r="M958" s="538"/>
      <c r="N958" s="543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248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249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250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251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252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253</v>
      </c>
      <c r="D965" s="538"/>
      <c r="E965" s="289">
        <f>'BD Team'!B96</f>
        <v>0</v>
      </c>
      <c r="F965" s="288" t="s">
        <v>254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246</v>
      </c>
      <c r="M967" s="538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177</v>
      </c>
      <c r="M968" s="538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247</v>
      </c>
      <c r="M969" s="538"/>
      <c r="N969" s="543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248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249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250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251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252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253</v>
      </c>
      <c r="D976" s="538"/>
      <c r="E976" s="289">
        <f>'BD Team'!B97</f>
        <v>0</v>
      </c>
      <c r="F976" s="288" t="s">
        <v>254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246</v>
      </c>
      <c r="M978" s="538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177</v>
      </c>
      <c r="M979" s="538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247</v>
      </c>
      <c r="M980" s="538"/>
      <c r="N980" s="543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248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249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250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251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252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253</v>
      </c>
      <c r="D987" s="538"/>
      <c r="E987" s="289">
        <f>'BD Team'!B98</f>
        <v>0</v>
      </c>
      <c r="F987" s="288" t="s">
        <v>254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246</v>
      </c>
      <c r="M989" s="538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177</v>
      </c>
      <c r="M990" s="538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247</v>
      </c>
      <c r="M991" s="538"/>
      <c r="N991" s="543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248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249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250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251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252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253</v>
      </c>
      <c r="D998" s="538"/>
      <c r="E998" s="289">
        <f>'BD Team'!B99</f>
        <v>0</v>
      </c>
      <c r="F998" s="288" t="s">
        <v>254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246</v>
      </c>
      <c r="M1000" s="538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177</v>
      </c>
      <c r="M1001" s="538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247</v>
      </c>
      <c r="M1002" s="538"/>
      <c r="N1002" s="543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248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249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250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251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252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253</v>
      </c>
      <c r="D1009" s="538"/>
      <c r="E1009" s="289">
        <f>'BD Team'!B100</f>
        <v>0</v>
      </c>
      <c r="F1009" s="288" t="s">
        <v>254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246</v>
      </c>
      <c r="M1011" s="538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177</v>
      </c>
      <c r="M1012" s="538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247</v>
      </c>
      <c r="M1013" s="538"/>
      <c r="N1013" s="543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248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249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250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251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252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253</v>
      </c>
      <c r="D1020" s="538"/>
      <c r="E1020" s="289">
        <f>'BD Team'!B101</f>
        <v>0</v>
      </c>
      <c r="F1020" s="288" t="s">
        <v>254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246</v>
      </c>
      <c r="M1022" s="538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177</v>
      </c>
      <c r="M1023" s="538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247</v>
      </c>
      <c r="M1024" s="538"/>
      <c r="N1024" s="543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248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249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250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251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252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253</v>
      </c>
      <c r="D1031" s="538"/>
      <c r="E1031" s="289">
        <f>'BD Team'!B102</f>
        <v>0</v>
      </c>
      <c r="F1031" s="288" t="s">
        <v>254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246</v>
      </c>
      <c r="M1033" s="538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177</v>
      </c>
      <c r="M1034" s="538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247</v>
      </c>
      <c r="M1035" s="538"/>
      <c r="N1035" s="543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248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249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250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251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252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253</v>
      </c>
      <c r="D1042" s="538"/>
      <c r="E1042" s="289">
        <f>'BD Team'!B103</f>
        <v>0</v>
      </c>
      <c r="F1042" s="288" t="s">
        <v>254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246</v>
      </c>
      <c r="M1044" s="538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177</v>
      </c>
      <c r="M1045" s="538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247</v>
      </c>
      <c r="M1046" s="538"/>
      <c r="N1046" s="543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248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249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250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251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252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253</v>
      </c>
      <c r="D1053" s="538"/>
      <c r="E1053" s="289">
        <f>'BD Team'!B104</f>
        <v>0</v>
      </c>
      <c r="F1053" s="288" t="s">
        <v>254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246</v>
      </c>
      <c r="M1055" s="538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177</v>
      </c>
      <c r="M1056" s="538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247</v>
      </c>
      <c r="M1057" s="538"/>
      <c r="N1057" s="543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248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249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250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251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252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253</v>
      </c>
      <c r="D1064" s="538"/>
      <c r="E1064" s="289">
        <f>'BD Team'!B105</f>
        <v>0</v>
      </c>
      <c r="F1064" s="288" t="s">
        <v>254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246</v>
      </c>
      <c r="M1066" s="538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177</v>
      </c>
      <c r="M1067" s="538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247</v>
      </c>
      <c r="M1068" s="538"/>
      <c r="N1068" s="543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248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249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250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251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252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253</v>
      </c>
      <c r="D1075" s="538"/>
      <c r="E1075" s="289">
        <f>'BD Team'!B106</f>
        <v>0</v>
      </c>
      <c r="F1075" s="288" t="s">
        <v>254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246</v>
      </c>
      <c r="M1077" s="538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177</v>
      </c>
      <c r="M1078" s="538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247</v>
      </c>
      <c r="M1079" s="538"/>
      <c r="N1079" s="543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248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249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250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251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252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253</v>
      </c>
      <c r="D1086" s="538"/>
      <c r="E1086" s="289">
        <f>'BD Team'!B107</f>
        <v>0</v>
      </c>
      <c r="F1086" s="288" t="s">
        <v>254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246</v>
      </c>
      <c r="M1088" s="538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177</v>
      </c>
      <c r="M1089" s="538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247</v>
      </c>
      <c r="M1090" s="538"/>
      <c r="N1090" s="543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248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249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250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251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252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253</v>
      </c>
      <c r="D1097" s="538"/>
      <c r="E1097" s="289">
        <f>'BD Team'!B108</f>
        <v>0</v>
      </c>
      <c r="F1097" s="288" t="s">
        <v>254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246</v>
      </c>
      <c r="M1099" s="538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177</v>
      </c>
      <c r="M1100" s="538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247</v>
      </c>
      <c r="M1101" s="538"/>
      <c r="N1101" s="543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248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249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250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251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252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261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264</v>
      </c>
      <c r="D10" s="105" t="s">
        <v>101</v>
      </c>
      <c r="E10" s="105">
        <v>990</v>
      </c>
      <c r="F10" s="105"/>
      <c r="G10" s="226" t="s">
        <v>262</v>
      </c>
      <c r="H10">
        <f>E43</f>
        <v>3341.52</v>
      </c>
      <c r="J10" s="230" t="s">
        <v>121</v>
      </c>
      <c r="K10" s="225" t="s">
        <v>264</v>
      </c>
      <c r="L10" s="230" t="s">
        <v>101</v>
      </c>
      <c r="M10" s="230">
        <v>990</v>
      </c>
      <c r="N10" s="230"/>
      <c r="P10" s="230" t="s">
        <v>121</v>
      </c>
      <c r="Q10" s="225" t="s">
        <v>264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265</v>
      </c>
      <c r="D11" s="106"/>
      <c r="E11" s="105">
        <v>1000</v>
      </c>
      <c r="F11" s="105"/>
      <c r="G11" t="s">
        <v>263</v>
      </c>
      <c r="H11">
        <f>E61</f>
        <v>3274.6895999999997</v>
      </c>
      <c r="J11" s="230" t="s">
        <v>121</v>
      </c>
      <c r="K11" s="225" t="s">
        <v>265</v>
      </c>
      <c r="L11" s="106"/>
      <c r="M11" s="230">
        <v>1000</v>
      </c>
      <c r="N11" s="230"/>
      <c r="P11" s="230" t="s">
        <v>121</v>
      </c>
      <c r="Q11" s="235" t="s">
        <v>268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266</v>
      </c>
      <c r="D12" s="126" t="s">
        <v>132</v>
      </c>
      <c r="E12" s="105">
        <v>1190</v>
      </c>
      <c r="F12" s="105"/>
      <c r="G12" s="226" t="s">
        <v>272</v>
      </c>
      <c r="H12">
        <f>M43</f>
        <v>4343.9760000000006</v>
      </c>
      <c r="J12" s="230" t="s">
        <v>121</v>
      </c>
      <c r="K12" s="225" t="s">
        <v>266</v>
      </c>
      <c r="L12" s="231" t="s">
        <v>132</v>
      </c>
      <c r="M12" s="230">
        <v>1190</v>
      </c>
      <c r="N12" s="230"/>
      <c r="P12" s="230" t="s">
        <v>121</v>
      </c>
      <c r="Q12" s="235" t="s">
        <v>275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273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274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278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267</v>
      </c>
      <c r="D29" s="221" t="s">
        <v>101</v>
      </c>
      <c r="E29" s="221">
        <v>750</v>
      </c>
      <c r="F29" s="221"/>
      <c r="J29" s="230" t="s">
        <v>121</v>
      </c>
      <c r="K29" s="225" t="s">
        <v>267</v>
      </c>
      <c r="L29" s="230" t="s">
        <v>101</v>
      </c>
      <c r="M29" s="230">
        <v>750</v>
      </c>
      <c r="N29" s="230"/>
      <c r="P29" s="230" t="s">
        <v>121</v>
      </c>
      <c r="Q29" s="225" t="s">
        <v>264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268</v>
      </c>
      <c r="D30" s="106"/>
      <c r="E30" s="221">
        <v>1000</v>
      </c>
      <c r="F30" s="221"/>
      <c r="J30" s="230" t="s">
        <v>121</v>
      </c>
      <c r="K30" s="225" t="s">
        <v>268</v>
      </c>
      <c r="L30" s="106"/>
      <c r="M30" s="230">
        <v>1000</v>
      </c>
      <c r="N30" s="230"/>
      <c r="P30" s="230" t="s">
        <v>121</v>
      </c>
      <c r="Q30" s="235" t="s">
        <v>277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267</v>
      </c>
      <c r="D31" s="222" t="s">
        <v>132</v>
      </c>
      <c r="E31" s="221">
        <v>750</v>
      </c>
      <c r="F31" s="221"/>
      <c r="J31" s="230" t="s">
        <v>121</v>
      </c>
      <c r="K31" s="225" t="s">
        <v>267</v>
      </c>
      <c r="L31" s="231" t="s">
        <v>132</v>
      </c>
      <c r="M31" s="230">
        <v>750</v>
      </c>
      <c r="N31" s="230"/>
      <c r="P31" s="230" t="s">
        <v>121</v>
      </c>
      <c r="Q31" s="235" t="s">
        <v>275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271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267</v>
      </c>
      <c r="D47" s="221" t="s">
        <v>101</v>
      </c>
      <c r="E47" s="221">
        <v>750</v>
      </c>
      <c r="F47" s="221"/>
      <c r="J47" s="230" t="s">
        <v>121</v>
      </c>
      <c r="K47" s="225" t="s">
        <v>267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269</v>
      </c>
      <c r="D48" s="106"/>
      <c r="E48" s="221">
        <v>1000</v>
      </c>
      <c r="F48" s="221"/>
      <c r="J48" s="230" t="s">
        <v>121</v>
      </c>
      <c r="K48" s="225" t="s">
        <v>269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270</v>
      </c>
      <c r="D49" s="222" t="s">
        <v>132</v>
      </c>
      <c r="E49" s="221">
        <v>700</v>
      </c>
      <c r="F49" s="221"/>
      <c r="J49" s="230" t="s">
        <v>121</v>
      </c>
      <c r="K49" s="225" t="s">
        <v>270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271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387</v>
      </c>
      <c r="D4" t="s">
        <v>389</v>
      </c>
      <c r="E4" s="309">
        <f>ROUND(Pricing!T104,0.1)</f>
        <v>1359</v>
      </c>
    </row>
    <row r="5" spans="3:5">
      <c r="C5" s="236" t="s">
        <v>393</v>
      </c>
      <c r="D5" s="236" t="s">
        <v>391</v>
      </c>
      <c r="E5" s="309">
        <f>ROUND(Pricing!U104,0.1)/40</f>
        <v>40.774999999999999</v>
      </c>
    </row>
    <row r="6" spans="3:5">
      <c r="C6" s="236" t="s">
        <v>83</v>
      </c>
      <c r="D6" s="236" t="s">
        <v>390</v>
      </c>
      <c r="E6" s="309">
        <f>ROUND(Pricing!V104,0.1)</f>
        <v>85</v>
      </c>
    </row>
    <row r="7" spans="3:5">
      <c r="C7" s="236" t="s">
        <v>397</v>
      </c>
      <c r="D7" s="236" t="s">
        <v>389</v>
      </c>
      <c r="E7" s="309">
        <f>ROUND(Pricing!W104,0.1)</f>
        <v>1359</v>
      </c>
    </row>
    <row r="8" spans="3:5">
      <c r="C8" s="236" t="s">
        <v>394</v>
      </c>
      <c r="D8" s="236" t="s">
        <v>389</v>
      </c>
      <c r="E8" s="309">
        <f>ROUND(Pricing!X104,0.1)</f>
        <v>2718</v>
      </c>
    </row>
    <row r="9" spans="3:5">
      <c r="C9" t="s">
        <v>222</v>
      </c>
      <c r="D9" s="236" t="s">
        <v>392</v>
      </c>
      <c r="E9" s="309">
        <f>ROUND(Pricing!Y104,0.1)</f>
        <v>815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6"/>
  <sheetViews>
    <sheetView topLeftCell="A33" workbookViewId="0">
      <selection activeCell="A37" sqref="A37:XFD47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215</v>
      </c>
      <c r="M1" s="315" t="s">
        <v>218</v>
      </c>
      <c r="N1" s="315" t="s">
        <v>408</v>
      </c>
      <c r="O1" s="315" t="s">
        <v>409</v>
      </c>
      <c r="P1" s="315" t="s">
        <v>189</v>
      </c>
      <c r="Q1" s="315" t="s">
        <v>410</v>
      </c>
      <c r="R1" s="315" t="s">
        <v>411</v>
      </c>
      <c r="S1" s="315" t="s">
        <v>412</v>
      </c>
      <c r="T1" s="315" t="s">
        <v>276</v>
      </c>
      <c r="U1" s="315" t="s">
        <v>413</v>
      </c>
    </row>
    <row r="2" spans="1:21">
      <c r="A2" s="318" t="str">
        <f>'BD Team'!B9</f>
        <v>SD1</v>
      </c>
      <c r="B2" s="318" t="str">
        <f>'BD Team'!C9</f>
        <v>M14600</v>
      </c>
      <c r="C2" s="318" t="str">
        <f>'BD Team'!D9</f>
        <v>3 TRACK 2 SHUTTER SLIDING DOOR</v>
      </c>
      <c r="D2" s="318" t="str">
        <f>'BD Team'!E9</f>
        <v>24MM</v>
      </c>
      <c r="E2" s="318" t="str">
        <f>'BD Team'!G9</f>
        <v>GF - STUDY &amp; LIVING</v>
      </c>
      <c r="F2" s="318" t="str">
        <f>'BD Team'!F9</f>
        <v>SS</v>
      </c>
      <c r="I2" s="318">
        <f>'BD Team'!H9</f>
        <v>3354</v>
      </c>
      <c r="J2" s="318">
        <f>'BD Team'!I9</f>
        <v>2438</v>
      </c>
      <c r="K2" s="318">
        <f>'BD Team'!J9</f>
        <v>1</v>
      </c>
      <c r="L2" s="319">
        <f>'BD Team'!K9</f>
        <v>494.3</v>
      </c>
      <c r="M2" s="318">
        <f>Pricing!O4</f>
        <v>2938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SD2</v>
      </c>
      <c r="B3" s="318" t="str">
        <f>'BD Team'!C10</f>
        <v>M14600</v>
      </c>
      <c r="C3" s="318" t="str">
        <f>'BD Team'!D10</f>
        <v>3 TRACK 2 SHUTTER SLIDING DOOR WITH 2 FIXED</v>
      </c>
      <c r="D3" s="318" t="str">
        <f>'BD Team'!E10</f>
        <v>24MM</v>
      </c>
      <c r="E3" s="318" t="str">
        <f>'BD Team'!G10</f>
        <v>GF - GREAT ROOM</v>
      </c>
      <c r="F3" s="318" t="str">
        <f>'BD Team'!F10</f>
        <v>SS</v>
      </c>
      <c r="I3" s="318">
        <f>'BD Team'!H10</f>
        <v>5386</v>
      </c>
      <c r="J3" s="318">
        <f>'BD Team'!I10</f>
        <v>2744</v>
      </c>
      <c r="K3" s="318">
        <f>'BD Team'!J10</f>
        <v>2</v>
      </c>
      <c r="L3" s="319">
        <f>'BD Team'!K10</f>
        <v>963.07</v>
      </c>
      <c r="M3" s="318">
        <f>Pricing!O5</f>
        <v>2938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W1</v>
      </c>
      <c r="B4" s="318" t="str">
        <f>'BD Team'!C11</f>
        <v>M15000</v>
      </c>
      <c r="C4" s="318" t="str">
        <f>'BD Team'!D11</f>
        <v>SINGLE DOOR</v>
      </c>
      <c r="D4" s="318" t="str">
        <f>'BD Team'!E11</f>
        <v>24MM</v>
      </c>
      <c r="E4" s="318" t="str">
        <f>'BD Team'!G11</f>
        <v>GF / FF - STAIRCASE</v>
      </c>
      <c r="F4" s="318" t="str">
        <f>'BD Team'!F11</f>
        <v>NO</v>
      </c>
      <c r="I4" s="318">
        <f>'BD Team'!H11</f>
        <v>712</v>
      </c>
      <c r="J4" s="318">
        <f>'BD Team'!I11</f>
        <v>2134</v>
      </c>
      <c r="K4" s="318">
        <f>'BD Team'!J11</f>
        <v>2</v>
      </c>
      <c r="L4" s="319">
        <f>'BD Team'!K11</f>
        <v>332.03</v>
      </c>
      <c r="M4" s="318">
        <f>Pricing!O6</f>
        <v>2938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W2</v>
      </c>
      <c r="B5" s="318" t="str">
        <f>'BD Team'!C12</f>
        <v>M15000</v>
      </c>
      <c r="C5" s="318" t="str">
        <f>'BD Team'!D12</f>
        <v>SINGLE DOOR</v>
      </c>
      <c r="D5" s="318" t="str">
        <f>'BD Team'!E12</f>
        <v>24MM</v>
      </c>
      <c r="E5" s="318" t="str">
        <f>'BD Team'!G12</f>
        <v>GF - MBR, GBR &amp; FF - BR 1 &amp; BR 2</v>
      </c>
      <c r="F5" s="318" t="str">
        <f>'BD Team'!F12</f>
        <v>NO</v>
      </c>
      <c r="I5" s="318">
        <f>'BD Team'!H12</f>
        <v>712</v>
      </c>
      <c r="J5" s="318">
        <f>'BD Team'!I12</f>
        <v>1678</v>
      </c>
      <c r="K5" s="318">
        <f>'BD Team'!J12</f>
        <v>8</v>
      </c>
      <c r="L5" s="319">
        <f>'BD Team'!K12</f>
        <v>281.48</v>
      </c>
      <c r="M5" s="318">
        <f>Pricing!O7</f>
        <v>2938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W3</v>
      </c>
      <c r="B6" s="318" t="str">
        <f>'BD Team'!C13</f>
        <v>M15000</v>
      </c>
      <c r="C6" s="318" t="str">
        <f>'BD Team'!D13</f>
        <v>FIXED GLASS 3 NO'S</v>
      </c>
      <c r="D6" s="318" t="str">
        <f>'BD Team'!E13</f>
        <v>24MM</v>
      </c>
      <c r="E6" s="318" t="str">
        <f>'BD Team'!G13</f>
        <v>FF - BR 1</v>
      </c>
      <c r="F6" s="318" t="str">
        <f>'BD Team'!F13</f>
        <v>NO</v>
      </c>
      <c r="I6" s="318">
        <f>'BD Team'!H13</f>
        <v>3864</v>
      </c>
      <c r="J6" s="318">
        <f>'BD Team'!I13</f>
        <v>1220</v>
      </c>
      <c r="K6" s="318">
        <f>'BD Team'!J13</f>
        <v>1</v>
      </c>
      <c r="L6" s="319">
        <f>'BD Team'!K13</f>
        <v>144.94</v>
      </c>
      <c r="M6" s="318">
        <f>Pricing!O8</f>
        <v>2938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W4-A</v>
      </c>
      <c r="B7" s="318" t="str">
        <f>'BD Team'!C14</f>
        <v>M15000</v>
      </c>
      <c r="C7" s="318" t="str">
        <f>'BD Team'!D14</f>
        <v>FIXED GLASS 3 NO'S</v>
      </c>
      <c r="D7" s="318" t="str">
        <f>'BD Team'!E14</f>
        <v>10MM</v>
      </c>
      <c r="E7" s="318" t="str">
        <f>'BD Team'!G14</f>
        <v>FF - GREAT ROOM</v>
      </c>
      <c r="F7" s="318" t="str">
        <f>'BD Team'!F14</f>
        <v>NO</v>
      </c>
      <c r="I7" s="318">
        <f>'BD Team'!H14</f>
        <v>6808</v>
      </c>
      <c r="J7" s="318">
        <f>'BD Team'!I14</f>
        <v>306</v>
      </c>
      <c r="K7" s="318">
        <f>'BD Team'!J14</f>
        <v>1</v>
      </c>
      <c r="L7" s="319">
        <f>'BD Team'!K14</f>
        <v>175.03</v>
      </c>
      <c r="M7" s="318">
        <f>Pricing!O9</f>
        <v>1589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W4-B</v>
      </c>
      <c r="B8" s="318" t="str">
        <f>'BD Team'!C15</f>
        <v>M15000</v>
      </c>
      <c r="C8" s="318" t="str">
        <f>'BD Team'!D15</f>
        <v>FIXED GLASS IN SHAPE</v>
      </c>
      <c r="D8" s="318" t="str">
        <f>'BD Team'!E15</f>
        <v>10MM</v>
      </c>
      <c r="E8" s="318" t="str">
        <f>'BD Team'!G15</f>
        <v>FF - GREAT ROOM</v>
      </c>
      <c r="F8" s="318" t="str">
        <f>'BD Team'!F15</f>
        <v>NO</v>
      </c>
      <c r="I8" s="318">
        <f>'BD Team'!H15</f>
        <v>2807</v>
      </c>
      <c r="J8" s="318">
        <f>'BD Team'!I15</f>
        <v>629</v>
      </c>
      <c r="K8" s="318">
        <f>'BD Team'!J15</f>
        <v>1</v>
      </c>
      <c r="L8" s="319">
        <f>'BD Team'!K15</f>
        <v>100.9</v>
      </c>
      <c r="M8" s="318">
        <f>Pricing!O10</f>
        <v>1589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W4-C</v>
      </c>
      <c r="B9" s="318" t="str">
        <f>'BD Team'!C16</f>
        <v>M15000</v>
      </c>
      <c r="C9" s="318" t="str">
        <f>'BD Team'!D16</f>
        <v>FIXED GLASS IN SHAPE</v>
      </c>
      <c r="D9" s="318" t="str">
        <f>'BD Team'!E16</f>
        <v>10MM</v>
      </c>
      <c r="E9" s="318" t="str">
        <f>'BD Team'!G16</f>
        <v>FF - GREAT ROOM</v>
      </c>
      <c r="F9" s="318" t="str">
        <f>'BD Team'!F16</f>
        <v>NO</v>
      </c>
      <c r="I9" s="318">
        <f>'BD Team'!H16</f>
        <v>610</v>
      </c>
      <c r="J9" s="318">
        <f>'BD Team'!I16</f>
        <v>3270</v>
      </c>
      <c r="K9" s="318">
        <f>'BD Team'!J16</f>
        <v>1</v>
      </c>
      <c r="L9" s="319">
        <f>'BD Team'!K16</f>
        <v>89.48</v>
      </c>
      <c r="M9" s="318">
        <f>Pricing!O11</f>
        <v>1589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SW1</v>
      </c>
      <c r="B10" s="318" t="str">
        <f>'BD Team'!C17</f>
        <v>M900</v>
      </c>
      <c r="C10" s="318" t="str">
        <f>'BD Team'!D17</f>
        <v>3 TRACK 2 SHUTTER SLIDING WINDOW</v>
      </c>
      <c r="D10" s="318" t="str">
        <f>'BD Team'!E17</f>
        <v>20MM</v>
      </c>
      <c r="E10" s="318" t="str">
        <f>'BD Team'!G17</f>
        <v>GF - STAFF RECEPTION ROOM</v>
      </c>
      <c r="F10" s="318" t="str">
        <f>'BD Team'!F17</f>
        <v>SS</v>
      </c>
      <c r="I10" s="318">
        <f>'BD Team'!H17</f>
        <v>1170</v>
      </c>
      <c r="J10" s="318">
        <f>'BD Team'!I17</f>
        <v>1372</v>
      </c>
      <c r="K10" s="318">
        <f>'BD Team'!J17</f>
        <v>1</v>
      </c>
      <c r="L10" s="319">
        <f>'BD Team'!K17</f>
        <v>152.89999999999998</v>
      </c>
      <c r="M10" s="318">
        <f>Pricing!O12</f>
        <v>2538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SW3</v>
      </c>
      <c r="B11" s="318" t="str">
        <f>'BD Team'!C18</f>
        <v>M900</v>
      </c>
      <c r="C11" s="318" t="str">
        <f>'BD Team'!D18</f>
        <v>3 TRACK 2 SHUTTER SLIDING WINDOW</v>
      </c>
      <c r="D11" s="318" t="str">
        <f>'BD Team'!E18</f>
        <v>20MM</v>
      </c>
      <c r="E11" s="318" t="str">
        <f>'BD Team'!G18</f>
        <v>GF - STUDY &amp; LIVING</v>
      </c>
      <c r="F11" s="318" t="str">
        <f>'BD Team'!F18</f>
        <v>SS</v>
      </c>
      <c r="I11" s="318">
        <f>'BD Team'!H18</f>
        <v>2490</v>
      </c>
      <c r="J11" s="318">
        <f>'BD Team'!I18</f>
        <v>1524</v>
      </c>
      <c r="K11" s="318">
        <f>'BD Team'!J18</f>
        <v>1</v>
      </c>
      <c r="L11" s="319">
        <f>'BD Team'!K18</f>
        <v>206.99</v>
      </c>
      <c r="M11" s="318">
        <f>Pricing!O13</f>
        <v>2538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SW4</v>
      </c>
      <c r="B12" s="318" t="str">
        <f>'BD Team'!C19</f>
        <v>M14600</v>
      </c>
      <c r="C12" s="318" t="str">
        <f>'BD Team'!D19</f>
        <v>3 TRACK 2 SHUTTER SLIDING DOOR</v>
      </c>
      <c r="D12" s="318" t="str">
        <f>'BD Team'!E19</f>
        <v>24MM</v>
      </c>
      <c r="E12" s="318" t="str">
        <f>'BD Team'!G19</f>
        <v>GF - FAMILY AREA</v>
      </c>
      <c r="F12" s="318" t="str">
        <f>'BD Team'!F19</f>
        <v>SS</v>
      </c>
      <c r="I12" s="318">
        <f>'BD Team'!H19</f>
        <v>2946</v>
      </c>
      <c r="J12" s="318">
        <f>'BD Team'!I19</f>
        <v>2134</v>
      </c>
      <c r="K12" s="318">
        <f>'BD Team'!J19</f>
        <v>1</v>
      </c>
      <c r="L12" s="319">
        <f>'BD Team'!K19</f>
        <v>446</v>
      </c>
      <c r="M12" s="318">
        <f>Pricing!O14</f>
        <v>2938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SW5</v>
      </c>
      <c r="B13" s="318" t="str">
        <f>'BD Team'!C20</f>
        <v>M14600</v>
      </c>
      <c r="C13" s="318" t="str">
        <f>'BD Team'!D20</f>
        <v>3 TRACK 2 SHUTTER SLIDING WINDOW</v>
      </c>
      <c r="D13" s="318" t="str">
        <f>'BD Team'!E20</f>
        <v>24MM</v>
      </c>
      <c r="E13" s="318" t="str">
        <f>'BD Team'!G20</f>
        <v>GF - STUDY ROOM</v>
      </c>
      <c r="F13" s="318" t="str">
        <f>'BD Team'!F20</f>
        <v>SS</v>
      </c>
      <c r="I13" s="318">
        <f>'BD Team'!H20</f>
        <v>3302</v>
      </c>
      <c r="J13" s="318">
        <f>'BD Team'!I20</f>
        <v>1372</v>
      </c>
      <c r="K13" s="318">
        <f>'BD Team'!J20</f>
        <v>1</v>
      </c>
      <c r="L13" s="319">
        <f>'BD Team'!K20</f>
        <v>392.71</v>
      </c>
      <c r="M13" s="318">
        <f>Pricing!O15</f>
        <v>2938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SW6</v>
      </c>
      <c r="B14" s="318" t="str">
        <f>'BD Team'!C21</f>
        <v>M900</v>
      </c>
      <c r="C14" s="318" t="str">
        <f>'BD Team'!D21</f>
        <v>3 TRACK 2 SHUTTER SLIDING WINDOW</v>
      </c>
      <c r="D14" s="318" t="str">
        <f>'BD Team'!E21</f>
        <v>20MM</v>
      </c>
      <c r="E14" s="318" t="str">
        <f>'BD Team'!G21</f>
        <v>GF - STAFF RECEPTION ROOM</v>
      </c>
      <c r="F14" s="318" t="str">
        <f>'BD Team'!F21</f>
        <v>SS</v>
      </c>
      <c r="I14" s="318">
        <f>'BD Team'!H21</f>
        <v>1322</v>
      </c>
      <c r="J14" s="318">
        <f>'BD Team'!I21</f>
        <v>1372</v>
      </c>
      <c r="K14" s="318">
        <f>'BD Team'!J21</f>
        <v>1</v>
      </c>
      <c r="L14" s="319">
        <f>'BD Team'!K21</f>
        <v>158.1</v>
      </c>
      <c r="M14" s="318">
        <f>Pricing!O16</f>
        <v>2538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SW7</v>
      </c>
      <c r="B15" s="318" t="str">
        <f>'BD Team'!C22</f>
        <v>M14600</v>
      </c>
      <c r="C15" s="318" t="str">
        <f>'BD Team'!D22</f>
        <v>3 TRACK 2 SHUTTER SLIDING DOOR</v>
      </c>
      <c r="D15" s="318" t="str">
        <f>'BD Team'!E22</f>
        <v>24MM</v>
      </c>
      <c r="E15" s="318" t="str">
        <f>'BD Team'!G22</f>
        <v>GF - DINING</v>
      </c>
      <c r="F15" s="318" t="str">
        <f>'BD Team'!F22</f>
        <v>SS</v>
      </c>
      <c r="I15" s="318">
        <f>'BD Team'!H22</f>
        <v>3861</v>
      </c>
      <c r="J15" s="318">
        <f>'BD Team'!I22</f>
        <v>2134</v>
      </c>
      <c r="K15" s="318">
        <f>'BD Team'!J22</f>
        <v>1</v>
      </c>
      <c r="L15" s="319">
        <f>'BD Team'!K22</f>
        <v>1046.47</v>
      </c>
      <c r="M15" s="318">
        <f>Pricing!O17</f>
        <v>2938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SW8</v>
      </c>
      <c r="B16" s="318" t="str">
        <f>'BD Team'!C23</f>
        <v>M14600</v>
      </c>
      <c r="C16" s="318" t="str">
        <f>'BD Team'!D23</f>
        <v>3 TRACK 2 SHUTTER SLIDING DOOR</v>
      </c>
      <c r="D16" s="318" t="str">
        <f>'BD Team'!E23</f>
        <v>24MM</v>
      </c>
      <c r="E16" s="318" t="str">
        <f>'BD Team'!G23</f>
        <v>GF - POOJA ROOM</v>
      </c>
      <c r="F16" s="318" t="str">
        <f>'BD Team'!F23</f>
        <v>SS</v>
      </c>
      <c r="I16" s="318">
        <f>'BD Team'!H23</f>
        <v>1372</v>
      </c>
      <c r="J16" s="318">
        <f>'BD Team'!I23</f>
        <v>2134</v>
      </c>
      <c r="K16" s="318">
        <f>'BD Team'!J23</f>
        <v>1</v>
      </c>
      <c r="L16" s="319">
        <f>'BD Team'!K23</f>
        <v>352.59</v>
      </c>
      <c r="M16" s="318">
        <f>Pricing!O18</f>
        <v>2938</v>
      </c>
      <c r="N16" s="318">
        <f>Pricing!Q18</f>
        <v>538.19999999999993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SW9</v>
      </c>
      <c r="B17" s="318" t="str">
        <f>'BD Team'!C24</f>
        <v>M900</v>
      </c>
      <c r="C17" s="318" t="str">
        <f>'BD Team'!D24</f>
        <v>3 TRACK 2 SHUTTER SLIDING WINDOW</v>
      </c>
      <c r="D17" s="318" t="str">
        <f>'BD Team'!E24</f>
        <v>20MM</v>
      </c>
      <c r="E17" s="318" t="str">
        <f>'BD Team'!G24</f>
        <v>GF - KITCHEN</v>
      </c>
      <c r="F17" s="318" t="str">
        <f>'BD Team'!F24</f>
        <v>SS</v>
      </c>
      <c r="I17" s="318">
        <f>'BD Team'!H24</f>
        <v>1778</v>
      </c>
      <c r="J17" s="318">
        <f>'BD Team'!I24</f>
        <v>1372</v>
      </c>
      <c r="K17" s="318">
        <f>'BD Team'!J24</f>
        <v>1</v>
      </c>
      <c r="L17" s="319">
        <f>'BD Team'!K24</f>
        <v>173.7</v>
      </c>
      <c r="M17" s="318">
        <f>Pricing!O19</f>
        <v>2538</v>
      </c>
      <c r="N17" s="318">
        <f>Pricing!Q19</f>
        <v>538.19999999999993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SW10</v>
      </c>
      <c r="B18" s="318" t="str">
        <f>'BD Team'!C25</f>
        <v>M14600</v>
      </c>
      <c r="C18" s="318" t="str">
        <f>'BD Team'!D25</f>
        <v>3 TRACK 2 SHUTTER SLIDING WINDOW</v>
      </c>
      <c r="D18" s="318" t="str">
        <f>'BD Team'!E25</f>
        <v>24MM</v>
      </c>
      <c r="E18" s="318" t="str">
        <f>'BD Team'!G25</f>
        <v>FF - FAMILY ROOM</v>
      </c>
      <c r="F18" s="318" t="str">
        <f>'BD Team'!F25</f>
        <v>SS</v>
      </c>
      <c r="I18" s="318">
        <f>'BD Team'!H25</f>
        <v>3862</v>
      </c>
      <c r="J18" s="318">
        <f>'BD Team'!I25</f>
        <v>1678</v>
      </c>
      <c r="K18" s="318">
        <f>'BD Team'!J25</f>
        <v>1</v>
      </c>
      <c r="L18" s="319">
        <f>'BD Team'!K25</f>
        <v>449.45</v>
      </c>
      <c r="M18" s="318">
        <f>Pricing!O20</f>
        <v>2938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SW11</v>
      </c>
      <c r="B19" s="318" t="str">
        <f>'BD Team'!C26</f>
        <v>M14600</v>
      </c>
      <c r="C19" s="318" t="str">
        <f>'BD Team'!D26</f>
        <v>3 TRACK 2 SHUTTER SLIDING WINDOW</v>
      </c>
      <c r="D19" s="318" t="str">
        <f>'BD Team'!E26</f>
        <v>24MM</v>
      </c>
      <c r="E19" s="318" t="str">
        <f>'BD Team'!G26</f>
        <v>FF - BAR</v>
      </c>
      <c r="F19" s="318" t="str">
        <f>'BD Team'!F26</f>
        <v>SS</v>
      </c>
      <c r="I19" s="318">
        <f>'BD Team'!H26</f>
        <v>3302</v>
      </c>
      <c r="J19" s="318">
        <f>'BD Team'!I26</f>
        <v>1830</v>
      </c>
      <c r="K19" s="318">
        <f>'BD Team'!J26</f>
        <v>1</v>
      </c>
      <c r="L19" s="319">
        <f>'BD Team'!K26</f>
        <v>429.01</v>
      </c>
      <c r="M19" s="318">
        <f>Pricing!O21</f>
        <v>2938</v>
      </c>
      <c r="N19" s="318">
        <f>Pricing!Q21</f>
        <v>538.19999999999993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SFW1</v>
      </c>
      <c r="B20" s="318" t="str">
        <f>'BD Team'!C27</f>
        <v>M9800</v>
      </c>
      <c r="C20" s="318" t="str">
        <f>'BD Team'!D27</f>
        <v>5 LEAF SLIDING FOLDING WINDOW</v>
      </c>
      <c r="D20" s="318" t="str">
        <f>'BD Team'!E27</f>
        <v>24MM</v>
      </c>
      <c r="E20" s="318" t="str">
        <f>'BD Team'!G27</f>
        <v>FF - FAMILY ROOM</v>
      </c>
      <c r="F20" s="318" t="str">
        <f>'BD Team'!F27</f>
        <v>NO</v>
      </c>
      <c r="I20" s="318">
        <f>'BD Team'!H27</f>
        <v>4572</v>
      </c>
      <c r="J20" s="318">
        <f>'BD Team'!I27</f>
        <v>1830</v>
      </c>
      <c r="K20" s="318">
        <f>'BD Team'!J27</f>
        <v>1</v>
      </c>
      <c r="L20" s="319">
        <f>'BD Team'!K27</f>
        <v>1177.47</v>
      </c>
      <c r="M20" s="318">
        <f>Pricing!O22</f>
        <v>2938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CW1-A</v>
      </c>
      <c r="B21" s="318" t="str">
        <f>'BD Team'!C28</f>
        <v>M15000</v>
      </c>
      <c r="C21" s="318" t="str">
        <f>'BD Team'!D28</f>
        <v>SIDE HUNG WITH FIXED GLASS</v>
      </c>
      <c r="D21" s="318" t="str">
        <f>'BD Team'!E28</f>
        <v>24MM</v>
      </c>
      <c r="E21" s="318" t="str">
        <f>'BD Team'!G28</f>
        <v>GF - KITCHEN</v>
      </c>
      <c r="F21" s="318" t="str">
        <f>'BD Team'!F28</f>
        <v>NO</v>
      </c>
      <c r="I21" s="318">
        <f>'BD Team'!H28</f>
        <v>3759</v>
      </c>
      <c r="J21" s="318">
        <f>'BD Team'!I28</f>
        <v>1372</v>
      </c>
      <c r="K21" s="318">
        <f>'BD Team'!J28</f>
        <v>1</v>
      </c>
      <c r="L21" s="319">
        <f>'BD Team'!K28</f>
        <v>477.56</v>
      </c>
      <c r="M21" s="318">
        <f>Pricing!O23</f>
        <v>2938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W5</v>
      </c>
      <c r="B22" s="318" t="str">
        <f>'BD Team'!C29</f>
        <v>M15000</v>
      </c>
      <c r="C22" s="318" t="str">
        <f>'BD Team'!D29</f>
        <v>FIXED GLASS</v>
      </c>
      <c r="D22" s="318" t="str">
        <f>'BD Team'!E29</f>
        <v>24MM</v>
      </c>
      <c r="E22" s="318" t="str">
        <f>'BD Team'!G29</f>
        <v>COURT - 4</v>
      </c>
      <c r="F22" s="318" t="str">
        <f>'BD Team'!F29</f>
        <v>NO</v>
      </c>
      <c r="I22" s="318">
        <f>'BD Team'!H29</f>
        <v>610</v>
      </c>
      <c r="J22" s="318">
        <f>'BD Team'!I29</f>
        <v>2134</v>
      </c>
      <c r="K22" s="318">
        <f>'BD Team'!J29</f>
        <v>1</v>
      </c>
      <c r="L22" s="319">
        <f>'BD Team'!K29</f>
        <v>49.48</v>
      </c>
      <c r="M22" s="318">
        <f>Pricing!O24</f>
        <v>2938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CW2-A</v>
      </c>
      <c r="B23" s="318" t="str">
        <f>'BD Team'!C30</f>
        <v>M14600</v>
      </c>
      <c r="C23" s="318" t="str">
        <f>'BD Team'!D30</f>
        <v>3 TRACK 2 SHUTTER SLIDING WINDOW</v>
      </c>
      <c r="D23" s="318" t="str">
        <f>'BD Team'!E30</f>
        <v>24MM</v>
      </c>
      <c r="E23" s="318" t="str">
        <f>'BD Team'!G30</f>
        <v>GF - MBR &amp; FF - BR 1</v>
      </c>
      <c r="F23" s="318" t="str">
        <f>'BD Team'!F30</f>
        <v>SS</v>
      </c>
      <c r="I23" s="318">
        <f>'BD Team'!H30</f>
        <v>1524</v>
      </c>
      <c r="J23" s="318">
        <f>'BD Team'!I30</f>
        <v>1678</v>
      </c>
      <c r="K23" s="318">
        <f>'BD Team'!J30</f>
        <v>2</v>
      </c>
      <c r="L23" s="319">
        <f>'BD Team'!K30</f>
        <v>311.45</v>
      </c>
      <c r="M23" s="318">
        <f>Pricing!O25</f>
        <v>2938</v>
      </c>
      <c r="N23" s="318">
        <f>Pricing!Q25</f>
        <v>538.19999999999993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CW2-B</v>
      </c>
      <c r="B24" s="318" t="str">
        <f>'BD Team'!C31</f>
        <v>M15000</v>
      </c>
      <c r="C24" s="318" t="str">
        <f>'BD Team'!D31</f>
        <v>FIXED GLASS CORNOR WINDOW</v>
      </c>
      <c r="D24" s="318" t="str">
        <f>'BD Team'!E31</f>
        <v>24MM</v>
      </c>
      <c r="E24" s="318" t="str">
        <f>'BD Team'!G31</f>
        <v>GF - MBR &amp; FF - BR 1</v>
      </c>
      <c r="F24" s="318" t="str">
        <f>'BD Team'!F31</f>
        <v>NO</v>
      </c>
      <c r="I24" s="318">
        <f>'BD Team'!H31</f>
        <v>2924</v>
      </c>
      <c r="J24" s="318">
        <f>'BD Team'!I31</f>
        <v>1678</v>
      </c>
      <c r="K24" s="318">
        <f>'BD Team'!J31</f>
        <v>2</v>
      </c>
      <c r="L24" s="319">
        <f>'BD Team'!K31</f>
        <v>77.33</v>
      </c>
      <c r="M24" s="318">
        <f>Pricing!O26</f>
        <v>2938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CW2-C</v>
      </c>
      <c r="B25" s="318" t="str">
        <f>'BD Team'!C32</f>
        <v>M14600</v>
      </c>
      <c r="C25" s="318" t="str">
        <f>'BD Team'!D32</f>
        <v>3 TRACK 2 SHUTTER SLIDING WINDOW</v>
      </c>
      <c r="D25" s="318" t="str">
        <f>'BD Team'!E32</f>
        <v>24MM</v>
      </c>
      <c r="E25" s="318" t="str">
        <f>'BD Team'!G32</f>
        <v>GF - MBR &amp; FF - BR 1</v>
      </c>
      <c r="F25" s="318" t="str">
        <f>'BD Team'!F32</f>
        <v>SS</v>
      </c>
      <c r="I25" s="318">
        <f>'BD Team'!H32</f>
        <v>1830</v>
      </c>
      <c r="J25" s="318">
        <f>'BD Team'!I32</f>
        <v>1678</v>
      </c>
      <c r="K25" s="318">
        <f>'BD Team'!J32</f>
        <v>2</v>
      </c>
      <c r="L25" s="319">
        <f>'BD Team'!K32</f>
        <v>329.66</v>
      </c>
      <c r="M25" s="318">
        <f>Pricing!O27</f>
        <v>2938</v>
      </c>
      <c r="N25" s="318">
        <f>Pricing!Q27</f>
        <v>538.19999999999993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CW3-A</v>
      </c>
      <c r="B26" s="318" t="str">
        <f>'BD Team'!C33</f>
        <v>M14600</v>
      </c>
      <c r="C26" s="318" t="str">
        <f>'BD Team'!D33</f>
        <v>3 TRACK 2 SHUTTER SLIDING WINDOW</v>
      </c>
      <c r="D26" s="318" t="str">
        <f>'BD Team'!E33</f>
        <v>24MM</v>
      </c>
      <c r="E26" s="318" t="str">
        <f>'BD Team'!G33</f>
        <v>GF - GBR &amp; FF - BR 2</v>
      </c>
      <c r="F26" s="318" t="str">
        <f>'BD Team'!F33</f>
        <v>SS</v>
      </c>
      <c r="I26" s="318">
        <f>'BD Team'!H33</f>
        <v>1830</v>
      </c>
      <c r="J26" s="318">
        <f>'BD Team'!I33</f>
        <v>1678</v>
      </c>
      <c r="K26" s="318">
        <f>'BD Team'!J33</f>
        <v>2</v>
      </c>
      <c r="L26" s="319">
        <f>'BD Team'!K33</f>
        <v>329.66</v>
      </c>
      <c r="M26" s="318">
        <f>Pricing!O28</f>
        <v>2938</v>
      </c>
      <c r="N26" s="318">
        <f>Pricing!Q28</f>
        <v>538.19999999999993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CW3-B</v>
      </c>
      <c r="B27" s="318" t="str">
        <f>'BD Team'!C34</f>
        <v>M15000</v>
      </c>
      <c r="C27" s="318" t="str">
        <f>'BD Team'!D34</f>
        <v>FIXED GLASS CORNOR WINDOW</v>
      </c>
      <c r="D27" s="318" t="str">
        <f>'BD Team'!E34</f>
        <v>24MM</v>
      </c>
      <c r="E27" s="318" t="str">
        <f>'BD Team'!G34</f>
        <v>GF - GBR &amp; FF - BR 2</v>
      </c>
      <c r="F27" s="318" t="str">
        <f>'BD Team'!F34</f>
        <v>NO</v>
      </c>
      <c r="I27" s="318">
        <f>'BD Team'!H34</f>
        <v>2694</v>
      </c>
      <c r="J27" s="318">
        <f>'BD Team'!I34</f>
        <v>1678</v>
      </c>
      <c r="K27" s="318">
        <f>'BD Team'!J34</f>
        <v>2</v>
      </c>
      <c r="L27" s="319">
        <f>'BD Team'!K34</f>
        <v>73.89</v>
      </c>
      <c r="M27" s="318">
        <f>Pricing!O29</f>
        <v>2938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CW3-C</v>
      </c>
      <c r="B28" s="318" t="str">
        <f>'BD Team'!C35</f>
        <v>M14600</v>
      </c>
      <c r="C28" s="318" t="str">
        <f>'BD Team'!D35</f>
        <v>3 TRACK 2 SHUTTER SLIDING WINDOW</v>
      </c>
      <c r="D28" s="318" t="str">
        <f>'BD Team'!E35</f>
        <v>24MM</v>
      </c>
      <c r="E28" s="318" t="str">
        <f>'BD Team'!G35</f>
        <v>GF - GBR &amp; FF - BR 2</v>
      </c>
      <c r="F28" s="318" t="str">
        <f>'BD Team'!F35</f>
        <v>SS</v>
      </c>
      <c r="I28" s="318">
        <f>'BD Team'!H35</f>
        <v>1524</v>
      </c>
      <c r="J28" s="318">
        <f>'BD Team'!I35</f>
        <v>1678</v>
      </c>
      <c r="K28" s="318">
        <f>'BD Team'!J35</f>
        <v>2</v>
      </c>
      <c r="L28" s="319">
        <f>'BD Team'!K35</f>
        <v>311.98</v>
      </c>
      <c r="M28" s="318">
        <f>Pricing!O30</f>
        <v>2938</v>
      </c>
      <c r="N28" s="318">
        <f>Pricing!Q30</f>
        <v>538.19999999999993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CW4-A</v>
      </c>
      <c r="B29" s="318" t="str">
        <f>'BD Team'!C36</f>
        <v>M14600</v>
      </c>
      <c r="C29" s="318" t="str">
        <f>'BD Team'!D36</f>
        <v>3 TRACK 2 SHUTTER SLIDING WINDOW</v>
      </c>
      <c r="D29" s="318" t="str">
        <f>'BD Team'!E36</f>
        <v>24MM</v>
      </c>
      <c r="E29" s="318" t="str">
        <f>'BD Team'!G36</f>
        <v>GF - DINING</v>
      </c>
      <c r="F29" s="318" t="str">
        <f>'BD Team'!F36</f>
        <v>SS</v>
      </c>
      <c r="I29" s="318">
        <f>'BD Team'!H36</f>
        <v>2694</v>
      </c>
      <c r="J29" s="318">
        <f>'BD Team'!I36</f>
        <v>1678</v>
      </c>
      <c r="K29" s="318">
        <f>'BD Team'!J36</f>
        <v>1</v>
      </c>
      <c r="L29" s="319">
        <f>'BD Team'!K36</f>
        <v>762.83</v>
      </c>
      <c r="M29" s="318">
        <f>Pricing!O31</f>
        <v>2938</v>
      </c>
      <c r="N29" s="318">
        <f>Pricing!Q31</f>
        <v>538.19999999999993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CW4-B</v>
      </c>
      <c r="B30" s="318" t="str">
        <f>'BD Team'!C37</f>
        <v>M15000</v>
      </c>
      <c r="C30" s="318" t="str">
        <f>'BD Team'!D37</f>
        <v>FIXED GLASS CORNOR WINDOW</v>
      </c>
      <c r="D30" s="318" t="str">
        <f>'BD Team'!E37</f>
        <v>24MM</v>
      </c>
      <c r="E30" s="318" t="str">
        <f>'BD Team'!G37</f>
        <v>GF - DINING</v>
      </c>
      <c r="F30" s="318" t="str">
        <f>'BD Team'!F37</f>
        <v>NO</v>
      </c>
      <c r="I30" s="318">
        <f>'BD Team'!H37</f>
        <v>2288</v>
      </c>
      <c r="J30" s="318">
        <f>'BD Team'!I37</f>
        <v>1678</v>
      </c>
      <c r="K30" s="318">
        <f>'BD Team'!J37</f>
        <v>1</v>
      </c>
      <c r="L30" s="319">
        <f>'BD Team'!K37</f>
        <v>67.83</v>
      </c>
      <c r="M30" s="318">
        <f>Pricing!O32</f>
        <v>2938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CW4-C</v>
      </c>
      <c r="B31" s="318" t="str">
        <f>'BD Team'!C38</f>
        <v>M14600</v>
      </c>
      <c r="C31" s="318" t="str">
        <f>'BD Team'!D38</f>
        <v>3 TRACK 2 SHUTTER SLIDING WINDOW</v>
      </c>
      <c r="D31" s="318" t="str">
        <f>'BD Team'!E38</f>
        <v>24MM</v>
      </c>
      <c r="E31" s="318" t="str">
        <f>'BD Team'!G38</f>
        <v>GF - DINING</v>
      </c>
      <c r="F31" s="318" t="str">
        <f>'BD Team'!F38</f>
        <v>SS</v>
      </c>
      <c r="I31" s="318">
        <f>'BD Team'!H38</f>
        <v>1830</v>
      </c>
      <c r="J31" s="318">
        <f>'BD Team'!I38</f>
        <v>1678</v>
      </c>
      <c r="K31" s="318">
        <f>'BD Team'!J38</f>
        <v>1</v>
      </c>
      <c r="L31" s="319">
        <f>'BD Team'!K38</f>
        <v>329.66</v>
      </c>
      <c r="M31" s="318">
        <f>Pricing!O33</f>
        <v>2938</v>
      </c>
      <c r="N31" s="318">
        <f>Pricing!Q33</f>
        <v>538.19999999999993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V1</v>
      </c>
      <c r="B32" s="318" t="str">
        <f>'BD Team'!C39</f>
        <v>M15000</v>
      </c>
      <c r="C32" s="318" t="str">
        <f>'BD Team'!D39</f>
        <v>SIDE HUNG WINDOW</v>
      </c>
      <c r="D32" s="318" t="str">
        <f>'BD Team'!E39</f>
        <v>6MM (A)</v>
      </c>
      <c r="E32" s="318" t="str">
        <f>'BD Team'!G39</f>
        <v>GF - POWDER ROOM TOILET</v>
      </c>
      <c r="F32" s="318" t="str">
        <f>'BD Team'!F39</f>
        <v>NO</v>
      </c>
      <c r="I32" s="318">
        <f>'BD Team'!H39</f>
        <v>610</v>
      </c>
      <c r="J32" s="318">
        <f>'BD Team'!I39</f>
        <v>610</v>
      </c>
      <c r="K32" s="318">
        <f>'BD Team'!J39</f>
        <v>1</v>
      </c>
      <c r="L32" s="319">
        <f>'BD Team'!K39</f>
        <v>91.26</v>
      </c>
      <c r="M32" s="318">
        <f>Pricing!O34</f>
        <v>2003</v>
      </c>
      <c r="N32" s="318">
        <f>Pricing!Q34</f>
        <v>0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V2</v>
      </c>
      <c r="B33" s="318" t="str">
        <f>'BD Team'!C40</f>
        <v>M15000</v>
      </c>
      <c r="C33" s="318" t="str">
        <f>'BD Team'!D40</f>
        <v>SIDE HUNG WINDOW</v>
      </c>
      <c r="D33" s="318" t="str">
        <f>'BD Team'!E40</f>
        <v>6MM (A)</v>
      </c>
      <c r="E33" s="318" t="str">
        <f>'BD Team'!G40</f>
        <v>GF - MBR, GBR &amp; FF - BR 1 &amp; BR 2</v>
      </c>
      <c r="F33" s="318" t="str">
        <f>'BD Team'!F40</f>
        <v>NO</v>
      </c>
      <c r="I33" s="318">
        <f>'BD Team'!H40</f>
        <v>916</v>
      </c>
      <c r="J33" s="318">
        <f>'BD Team'!I40</f>
        <v>916</v>
      </c>
      <c r="K33" s="318">
        <f>'BD Team'!J40</f>
        <v>4</v>
      </c>
      <c r="L33" s="319">
        <f>'BD Team'!K40</f>
        <v>116.32</v>
      </c>
      <c r="M33" s="318">
        <f>Pricing!O35</f>
        <v>2003</v>
      </c>
      <c r="N33" s="318">
        <f>Pricing!Q35</f>
        <v>0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V3</v>
      </c>
      <c r="B34" s="318" t="str">
        <f>'BD Team'!C41</f>
        <v>M15000</v>
      </c>
      <c r="C34" s="318" t="str">
        <f>'BD Team'!D41</f>
        <v>FIXED GLASS 3 NO'S</v>
      </c>
      <c r="D34" s="318" t="str">
        <f>'BD Team'!E41</f>
        <v>24MM</v>
      </c>
      <c r="E34" s="318" t="str">
        <f>'BD Team'!G41</f>
        <v>GF - CAR PARKING</v>
      </c>
      <c r="F34" s="318" t="str">
        <f>'BD Team'!F41</f>
        <v>NO</v>
      </c>
      <c r="I34" s="318">
        <f>'BD Team'!H41</f>
        <v>7722</v>
      </c>
      <c r="J34" s="318">
        <f>'BD Team'!I41</f>
        <v>610</v>
      </c>
      <c r="K34" s="318">
        <f>'BD Team'!J41</f>
        <v>1</v>
      </c>
      <c r="L34" s="319">
        <f>'BD Team'!K41</f>
        <v>176.65</v>
      </c>
      <c r="M34" s="318">
        <f>Pricing!O36</f>
        <v>2938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V4-A</v>
      </c>
      <c r="B35" s="318" t="str">
        <f>'BD Team'!C42</f>
        <v>M15000</v>
      </c>
      <c r="C35" s="318" t="str">
        <f>'BD Team'!D42</f>
        <v>FIXED GLASS 2 NO'S</v>
      </c>
      <c r="D35" s="318" t="str">
        <f>'BD Team'!E42</f>
        <v>24MM</v>
      </c>
      <c r="E35" s="318" t="str">
        <f>'BD Team'!G42</f>
        <v>GF - CAR PARKING</v>
      </c>
      <c r="F35" s="318" t="str">
        <f>'BD Team'!F42</f>
        <v>NO</v>
      </c>
      <c r="I35" s="318">
        <f>'BD Team'!H42</f>
        <v>3030</v>
      </c>
      <c r="J35" s="318">
        <f>'BD Team'!I42</f>
        <v>610</v>
      </c>
      <c r="K35" s="318">
        <f>'BD Team'!J42</f>
        <v>1</v>
      </c>
      <c r="L35" s="319">
        <f>'BD Team'!K42</f>
        <v>84.69</v>
      </c>
      <c r="M35" s="318">
        <f>Pricing!O37</f>
        <v>2938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V4-B</v>
      </c>
      <c r="B36" s="318" t="str">
        <f>'BD Team'!C43</f>
        <v>M15000</v>
      </c>
      <c r="C36" s="318" t="str">
        <f>'BD Team'!D43</f>
        <v>FIXED GLASS 2 NO'S</v>
      </c>
      <c r="D36" s="318" t="str">
        <f>'BD Team'!E43</f>
        <v>24MM</v>
      </c>
      <c r="E36" s="318" t="str">
        <f>'BD Team'!G43</f>
        <v>GF - CAR PARKING</v>
      </c>
      <c r="F36" s="318" t="str">
        <f>'BD Team'!F43</f>
        <v>NO</v>
      </c>
      <c r="I36" s="318">
        <f>'BD Team'!H43</f>
        <v>3080</v>
      </c>
      <c r="J36" s="318">
        <f>'BD Team'!I43</f>
        <v>610</v>
      </c>
      <c r="K36" s="318">
        <f>'BD Team'!J43</f>
        <v>1</v>
      </c>
      <c r="L36" s="319">
        <f>'BD Team'!K43</f>
        <v>85.44</v>
      </c>
      <c r="M36" s="318">
        <f>Pricing!O38</f>
        <v>2938</v>
      </c>
      <c r="N36" s="318">
        <f>Pricing!Q38</f>
        <v>0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08"/>
  <sheetViews>
    <sheetView showGridLines="0" view="pageBreakPreview" topLeftCell="A13" zoomScale="75" zoomScaleNormal="75" zoomScaleSheetLayoutView="75" workbookViewId="0">
      <selection activeCell="K44" sqref="K4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hidden="1" customWidth="1"/>
    <col min="13" max="13" width="12.28515625" style="47" hidden="1" customWidth="1"/>
    <col min="14" max="15" width="12.28515625" style="47" bestFit="1" customWidth="1"/>
    <col min="16" max="16" width="9.140625" style="47"/>
    <col min="17" max="17" width="12.28515625" style="47" bestFit="1" customWidth="1"/>
    <col min="18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9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9" s="104" customFormat="1" ht="21.75" customHeight="1">
      <c r="A2" s="331" t="s">
        <v>126</v>
      </c>
      <c r="B2" s="331"/>
      <c r="C2" s="331"/>
      <c r="D2" s="331"/>
      <c r="E2" s="162" t="s">
        <v>419</v>
      </c>
      <c r="F2" s="137"/>
      <c r="G2" s="163"/>
      <c r="H2" s="332" t="s">
        <v>184</v>
      </c>
      <c r="I2" s="333"/>
      <c r="J2" s="165" t="s">
        <v>496</v>
      </c>
      <c r="K2" s="167"/>
      <c r="L2" s="104" t="s">
        <v>207</v>
      </c>
      <c r="M2" s="104" t="s">
        <v>378</v>
      </c>
    </row>
    <row r="3" spans="1:19" s="104" customFormat="1">
      <c r="A3" s="331" t="s">
        <v>127</v>
      </c>
      <c r="B3" s="331"/>
      <c r="C3" s="331"/>
      <c r="D3" s="331"/>
      <c r="E3" s="162" t="s">
        <v>420</v>
      </c>
      <c r="F3" s="136" t="s">
        <v>182</v>
      </c>
      <c r="G3" s="162" t="s">
        <v>422</v>
      </c>
      <c r="H3" s="332" t="s">
        <v>185</v>
      </c>
      <c r="I3" s="333"/>
      <c r="J3" s="166">
        <v>43724</v>
      </c>
      <c r="K3" s="167"/>
      <c r="L3" s="104" t="s">
        <v>256</v>
      </c>
      <c r="M3" s="104" t="s">
        <v>379</v>
      </c>
    </row>
    <row r="4" spans="1:19" s="104" customFormat="1" ht="18">
      <c r="A4" s="331" t="s">
        <v>168</v>
      </c>
      <c r="B4" s="331"/>
      <c r="C4" s="331"/>
      <c r="D4" s="331"/>
      <c r="E4" s="162" t="s">
        <v>281</v>
      </c>
      <c r="F4" s="135"/>
      <c r="G4" s="164"/>
      <c r="H4" s="332" t="s">
        <v>186</v>
      </c>
      <c r="I4" s="333"/>
      <c r="J4" s="165" t="s">
        <v>400</v>
      </c>
      <c r="K4" s="167"/>
      <c r="L4" s="104" t="s">
        <v>257</v>
      </c>
      <c r="M4" s="104" t="s">
        <v>380</v>
      </c>
    </row>
    <row r="5" spans="1:19" s="104" customFormat="1">
      <c r="A5" s="331" t="s">
        <v>176</v>
      </c>
      <c r="B5" s="331"/>
      <c r="C5" s="331"/>
      <c r="D5" s="331"/>
      <c r="E5" s="162" t="s">
        <v>421</v>
      </c>
      <c r="F5" s="136" t="s">
        <v>183</v>
      </c>
      <c r="G5" s="162" t="s">
        <v>207</v>
      </c>
      <c r="H5" s="332" t="s">
        <v>372</v>
      </c>
      <c r="I5" s="333"/>
      <c r="J5" s="165"/>
      <c r="K5" s="167"/>
      <c r="L5" s="104" t="s">
        <v>258</v>
      </c>
      <c r="M5" s="104" t="s">
        <v>381</v>
      </c>
    </row>
    <row r="6" spans="1:19" ht="18">
      <c r="A6" s="331"/>
      <c r="B6" s="331"/>
      <c r="C6" s="331"/>
      <c r="D6" s="331"/>
      <c r="E6" s="133"/>
      <c r="F6" s="133"/>
      <c r="G6" s="325"/>
      <c r="H6" s="325"/>
      <c r="I6" s="325"/>
      <c r="J6" s="325"/>
      <c r="K6" s="134"/>
      <c r="L6" s="47" t="s">
        <v>259</v>
      </c>
      <c r="M6" s="47" t="s">
        <v>110</v>
      </c>
    </row>
    <row r="7" spans="1:19" ht="38.25" customHeight="1">
      <c r="A7" s="326" t="s">
        <v>62</v>
      </c>
      <c r="B7" s="328" t="s">
        <v>116</v>
      </c>
      <c r="C7" s="151" t="s">
        <v>205</v>
      </c>
      <c r="D7" s="328" t="s">
        <v>118</v>
      </c>
      <c r="E7" s="328" t="s">
        <v>117</v>
      </c>
      <c r="F7" s="32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3" t="s">
        <v>219</v>
      </c>
      <c r="L7" s="47" t="s">
        <v>260</v>
      </c>
      <c r="M7" s="47" t="s">
        <v>382</v>
      </c>
    </row>
    <row r="8" spans="1:19">
      <c r="A8" s="327"/>
      <c r="B8" s="329"/>
      <c r="C8" s="152"/>
      <c r="D8" s="329"/>
      <c r="E8" s="329"/>
      <c r="F8" s="330"/>
      <c r="G8" s="102" t="s">
        <v>2</v>
      </c>
      <c r="H8" s="102" t="s">
        <v>68</v>
      </c>
      <c r="I8" s="115" t="s">
        <v>68</v>
      </c>
      <c r="J8" s="116" t="s">
        <v>113</v>
      </c>
      <c r="K8" s="324"/>
      <c r="M8" s="47" t="s">
        <v>400</v>
      </c>
    </row>
    <row r="9" spans="1:19" ht="20.100000000000001" customHeight="1">
      <c r="A9" s="113">
        <v>1</v>
      </c>
      <c r="B9" s="113" t="s">
        <v>423</v>
      </c>
      <c r="C9" s="113" t="s">
        <v>424</v>
      </c>
      <c r="D9" s="113" t="s">
        <v>452</v>
      </c>
      <c r="E9" s="113" t="s">
        <v>262</v>
      </c>
      <c r="F9" s="113" t="s">
        <v>425</v>
      </c>
      <c r="G9" s="113" t="s">
        <v>426</v>
      </c>
      <c r="H9" s="113">
        <v>3354</v>
      </c>
      <c r="I9" s="113">
        <v>2438</v>
      </c>
      <c r="J9" s="113">
        <v>1</v>
      </c>
      <c r="K9" s="123">
        <v>494.3</v>
      </c>
      <c r="N9" s="47">
        <v>3354</v>
      </c>
      <c r="O9" s="47">
        <v>2438</v>
      </c>
      <c r="P9" s="47">
        <v>1</v>
      </c>
      <c r="Q9" s="47">
        <f>N9-H9</f>
        <v>0</v>
      </c>
      <c r="R9" s="47">
        <f t="shared" ref="R9:S9" si="0">O9-I9</f>
        <v>0</v>
      </c>
      <c r="S9" s="47">
        <f t="shared" si="0"/>
        <v>0</v>
      </c>
    </row>
    <row r="10" spans="1:19" ht="20.100000000000001" customHeight="1">
      <c r="A10" s="113">
        <v>2</v>
      </c>
      <c r="B10" s="113" t="s">
        <v>427</v>
      </c>
      <c r="C10" s="113" t="s">
        <v>424</v>
      </c>
      <c r="D10" s="113" t="s">
        <v>497</v>
      </c>
      <c r="E10" s="113" t="s">
        <v>262</v>
      </c>
      <c r="F10" s="113" t="s">
        <v>425</v>
      </c>
      <c r="G10" s="113" t="s">
        <v>428</v>
      </c>
      <c r="H10" s="113">
        <v>5386</v>
      </c>
      <c r="I10" s="113">
        <v>2744</v>
      </c>
      <c r="J10" s="113">
        <v>2</v>
      </c>
      <c r="K10" s="123">
        <v>963.07</v>
      </c>
      <c r="L10" s="47" t="s">
        <v>281</v>
      </c>
      <c r="N10" s="47">
        <v>5386</v>
      </c>
      <c r="O10" s="47">
        <v>2744</v>
      </c>
      <c r="P10" s="47">
        <v>2</v>
      </c>
      <c r="Q10" s="47">
        <f t="shared" ref="Q10:Q43" si="1">N10-H10</f>
        <v>0</v>
      </c>
      <c r="R10" s="47">
        <f t="shared" ref="R10:R43" si="2">O10-I10</f>
        <v>0</v>
      </c>
      <c r="S10" s="47">
        <f t="shared" ref="S10:S43" si="3">P10-J10</f>
        <v>0</v>
      </c>
    </row>
    <row r="11" spans="1:19" ht="20.100000000000001" customHeight="1">
      <c r="A11" s="113">
        <v>3</v>
      </c>
      <c r="B11" s="113" t="s">
        <v>433</v>
      </c>
      <c r="C11" s="113" t="s">
        <v>430</v>
      </c>
      <c r="D11" s="113" t="s">
        <v>431</v>
      </c>
      <c r="E11" s="113" t="s">
        <v>262</v>
      </c>
      <c r="F11" s="113" t="s">
        <v>429</v>
      </c>
      <c r="G11" s="113" t="s">
        <v>434</v>
      </c>
      <c r="H11" s="113">
        <v>712</v>
      </c>
      <c r="I11" s="113">
        <v>2134</v>
      </c>
      <c r="J11" s="113">
        <v>2</v>
      </c>
      <c r="K11" s="123">
        <v>332.03</v>
      </c>
      <c r="L11" s="47" t="s">
        <v>280</v>
      </c>
      <c r="N11" s="47">
        <v>712</v>
      </c>
      <c r="O11" s="47">
        <v>2134</v>
      </c>
      <c r="P11" s="47">
        <v>2</v>
      </c>
      <c r="Q11" s="47">
        <f t="shared" si="1"/>
        <v>0</v>
      </c>
      <c r="R11" s="47">
        <f t="shared" si="2"/>
        <v>0</v>
      </c>
      <c r="S11" s="47">
        <f t="shared" si="3"/>
        <v>0</v>
      </c>
    </row>
    <row r="12" spans="1:19" ht="20.100000000000001" customHeight="1">
      <c r="A12" s="113">
        <v>4</v>
      </c>
      <c r="B12" s="113" t="s">
        <v>435</v>
      </c>
      <c r="C12" s="113" t="s">
        <v>430</v>
      </c>
      <c r="D12" s="113" t="s">
        <v>431</v>
      </c>
      <c r="E12" s="113" t="s">
        <v>262</v>
      </c>
      <c r="F12" s="113" t="s">
        <v>429</v>
      </c>
      <c r="G12" s="113" t="s">
        <v>436</v>
      </c>
      <c r="H12" s="113">
        <v>712</v>
      </c>
      <c r="I12" s="113">
        <v>1678</v>
      </c>
      <c r="J12" s="113">
        <v>8</v>
      </c>
      <c r="K12" s="123">
        <v>281.48</v>
      </c>
      <c r="L12" s="47" t="s">
        <v>363</v>
      </c>
      <c r="N12" s="47">
        <v>712</v>
      </c>
      <c r="O12" s="47">
        <v>1678</v>
      </c>
      <c r="P12" s="47">
        <v>8</v>
      </c>
      <c r="Q12" s="47">
        <f t="shared" si="1"/>
        <v>0</v>
      </c>
      <c r="R12" s="47">
        <f t="shared" si="2"/>
        <v>0</v>
      </c>
      <c r="S12" s="47">
        <f t="shared" si="3"/>
        <v>0</v>
      </c>
    </row>
    <row r="13" spans="1:19" ht="20.100000000000001" customHeight="1">
      <c r="A13" s="113">
        <v>5</v>
      </c>
      <c r="B13" s="113" t="s">
        <v>437</v>
      </c>
      <c r="C13" s="113" t="s">
        <v>430</v>
      </c>
      <c r="D13" s="113" t="s">
        <v>438</v>
      </c>
      <c r="E13" s="113" t="s">
        <v>262</v>
      </c>
      <c r="F13" s="113" t="s">
        <v>429</v>
      </c>
      <c r="G13" s="113" t="s">
        <v>439</v>
      </c>
      <c r="H13" s="113">
        <v>3864</v>
      </c>
      <c r="I13" s="113">
        <v>1220</v>
      </c>
      <c r="J13" s="113">
        <v>1</v>
      </c>
      <c r="K13" s="123">
        <v>144.94</v>
      </c>
      <c r="L13" s="47" t="s">
        <v>364</v>
      </c>
      <c r="N13" s="47">
        <v>3864</v>
      </c>
      <c r="O13" s="47">
        <v>1220</v>
      </c>
      <c r="P13" s="47">
        <v>1</v>
      </c>
      <c r="Q13" s="47">
        <f t="shared" si="1"/>
        <v>0</v>
      </c>
      <c r="R13" s="47">
        <f t="shared" si="2"/>
        <v>0</v>
      </c>
      <c r="S13" s="47">
        <f t="shared" si="3"/>
        <v>0</v>
      </c>
    </row>
    <row r="14" spans="1:19">
      <c r="A14" s="113">
        <v>6</v>
      </c>
      <c r="B14" s="113" t="s">
        <v>440</v>
      </c>
      <c r="C14" s="113" t="s">
        <v>430</v>
      </c>
      <c r="D14" s="113" t="s">
        <v>438</v>
      </c>
      <c r="E14" s="113" t="s">
        <v>269</v>
      </c>
      <c r="F14" s="113" t="s">
        <v>429</v>
      </c>
      <c r="G14" s="113" t="s">
        <v>441</v>
      </c>
      <c r="H14" s="113">
        <v>6808</v>
      </c>
      <c r="I14" s="113">
        <v>306</v>
      </c>
      <c r="J14" s="113">
        <v>1</v>
      </c>
      <c r="K14" s="123">
        <v>175.03</v>
      </c>
      <c r="L14" s="47" t="s">
        <v>365</v>
      </c>
      <c r="N14" s="47">
        <v>6808</v>
      </c>
      <c r="O14" s="47">
        <v>306</v>
      </c>
      <c r="P14" s="47">
        <v>1</v>
      </c>
      <c r="Q14" s="47">
        <f t="shared" si="1"/>
        <v>0</v>
      </c>
      <c r="R14" s="47">
        <f t="shared" si="2"/>
        <v>0</v>
      </c>
      <c r="S14" s="47">
        <f t="shared" si="3"/>
        <v>0</v>
      </c>
    </row>
    <row r="15" spans="1:19" ht="20.100000000000001" customHeight="1">
      <c r="A15" s="113">
        <v>7</v>
      </c>
      <c r="B15" s="113" t="s">
        <v>442</v>
      </c>
      <c r="C15" s="113" t="s">
        <v>430</v>
      </c>
      <c r="D15" s="113" t="s">
        <v>498</v>
      </c>
      <c r="E15" s="113" t="s">
        <v>269</v>
      </c>
      <c r="F15" s="113" t="s">
        <v>429</v>
      </c>
      <c r="G15" s="113" t="s">
        <v>441</v>
      </c>
      <c r="H15" s="113">
        <v>2807</v>
      </c>
      <c r="I15" s="113">
        <v>629</v>
      </c>
      <c r="J15" s="113">
        <v>1</v>
      </c>
      <c r="K15" s="123">
        <v>100.9</v>
      </c>
      <c r="L15" s="47" t="s">
        <v>366</v>
      </c>
      <c r="N15" s="47">
        <v>2807</v>
      </c>
      <c r="O15" s="47">
        <v>629</v>
      </c>
      <c r="P15" s="47">
        <v>1</v>
      </c>
      <c r="Q15" s="47">
        <f t="shared" si="1"/>
        <v>0</v>
      </c>
      <c r="R15" s="47">
        <f t="shared" si="2"/>
        <v>0</v>
      </c>
      <c r="S15" s="47">
        <f t="shared" si="3"/>
        <v>0</v>
      </c>
    </row>
    <row r="16" spans="1:19" ht="20.100000000000001" customHeight="1">
      <c r="A16" s="113">
        <v>8</v>
      </c>
      <c r="B16" s="113" t="s">
        <v>444</v>
      </c>
      <c r="C16" s="113" t="s">
        <v>430</v>
      </c>
      <c r="D16" s="113" t="s">
        <v>498</v>
      </c>
      <c r="E16" s="113" t="s">
        <v>269</v>
      </c>
      <c r="F16" s="113" t="s">
        <v>429</v>
      </c>
      <c r="G16" s="113" t="s">
        <v>441</v>
      </c>
      <c r="H16" s="113">
        <v>610</v>
      </c>
      <c r="I16" s="113">
        <v>3270</v>
      </c>
      <c r="J16" s="113">
        <v>1</v>
      </c>
      <c r="K16" s="123">
        <v>89.48</v>
      </c>
      <c r="L16" s="47" t="s">
        <v>367</v>
      </c>
      <c r="N16" s="47">
        <v>610</v>
      </c>
      <c r="O16" s="47">
        <v>3270</v>
      </c>
      <c r="P16" s="47">
        <v>1</v>
      </c>
      <c r="Q16" s="47">
        <f t="shared" si="1"/>
        <v>0</v>
      </c>
      <c r="R16" s="47">
        <f t="shared" si="2"/>
        <v>0</v>
      </c>
      <c r="S16" s="47">
        <f t="shared" si="3"/>
        <v>0</v>
      </c>
    </row>
    <row r="17" spans="1:19" ht="20.100000000000001" customHeight="1">
      <c r="A17" s="113">
        <v>9</v>
      </c>
      <c r="B17" s="113" t="s">
        <v>445</v>
      </c>
      <c r="C17" s="113" t="s">
        <v>446</v>
      </c>
      <c r="D17" s="113" t="s">
        <v>447</v>
      </c>
      <c r="E17" s="113" t="s">
        <v>448</v>
      </c>
      <c r="F17" s="113" t="s">
        <v>425</v>
      </c>
      <c r="G17" s="113" t="s">
        <v>449</v>
      </c>
      <c r="H17" s="113">
        <v>1170</v>
      </c>
      <c r="I17" s="113">
        <v>1372</v>
      </c>
      <c r="J17" s="113">
        <v>1</v>
      </c>
      <c r="K17" s="123">
        <f>108.82+44.08</f>
        <v>152.89999999999998</v>
      </c>
      <c r="L17" s="47" t="s">
        <v>368</v>
      </c>
      <c r="N17" s="47">
        <v>1170</v>
      </c>
      <c r="O17" s="47">
        <v>1372</v>
      </c>
      <c r="P17" s="47">
        <v>1</v>
      </c>
      <c r="Q17" s="47">
        <f t="shared" si="1"/>
        <v>0</v>
      </c>
      <c r="R17" s="47">
        <f t="shared" si="2"/>
        <v>0</v>
      </c>
      <c r="S17" s="47">
        <f t="shared" si="3"/>
        <v>0</v>
      </c>
    </row>
    <row r="18" spans="1:19" ht="20.100000000000001" customHeight="1">
      <c r="A18" s="113">
        <v>10</v>
      </c>
      <c r="B18" s="113" t="s">
        <v>450</v>
      </c>
      <c r="C18" s="113" t="s">
        <v>446</v>
      </c>
      <c r="D18" s="113" t="s">
        <v>447</v>
      </c>
      <c r="E18" s="113" t="s">
        <v>448</v>
      </c>
      <c r="F18" s="113" t="s">
        <v>425</v>
      </c>
      <c r="G18" s="113" t="s">
        <v>426</v>
      </c>
      <c r="H18" s="113">
        <v>2490</v>
      </c>
      <c r="I18" s="113">
        <v>1524</v>
      </c>
      <c r="J18" s="113">
        <v>1</v>
      </c>
      <c r="K18" s="123">
        <f>145.21+61.78</f>
        <v>206.99</v>
      </c>
      <c r="L18" s="47" t="s">
        <v>369</v>
      </c>
      <c r="N18" s="47">
        <v>2490</v>
      </c>
      <c r="O18" s="47">
        <v>1524</v>
      </c>
      <c r="P18" s="47">
        <v>1</v>
      </c>
      <c r="Q18" s="47">
        <f t="shared" si="1"/>
        <v>0</v>
      </c>
      <c r="R18" s="47">
        <f t="shared" si="2"/>
        <v>0</v>
      </c>
      <c r="S18" s="47">
        <f t="shared" si="3"/>
        <v>0</v>
      </c>
    </row>
    <row r="19" spans="1:19" ht="20.100000000000001" customHeight="1">
      <c r="A19" s="113">
        <v>11</v>
      </c>
      <c r="B19" s="113" t="s">
        <v>451</v>
      </c>
      <c r="C19" s="113" t="s">
        <v>424</v>
      </c>
      <c r="D19" s="113" t="s">
        <v>452</v>
      </c>
      <c r="E19" s="113" t="s">
        <v>262</v>
      </c>
      <c r="F19" s="113" t="s">
        <v>425</v>
      </c>
      <c r="G19" s="113" t="s">
        <v>453</v>
      </c>
      <c r="H19" s="113">
        <v>2946</v>
      </c>
      <c r="I19" s="113">
        <v>2134</v>
      </c>
      <c r="J19" s="113">
        <v>1</v>
      </c>
      <c r="K19" s="123">
        <v>446</v>
      </c>
      <c r="L19" s="47" t="s">
        <v>370</v>
      </c>
      <c r="N19" s="47">
        <v>2946</v>
      </c>
      <c r="O19" s="47">
        <v>2134</v>
      </c>
      <c r="P19" s="47">
        <v>1</v>
      </c>
      <c r="Q19" s="47">
        <f t="shared" si="1"/>
        <v>0</v>
      </c>
      <c r="R19" s="47">
        <f t="shared" si="2"/>
        <v>0</v>
      </c>
      <c r="S19" s="47">
        <f t="shared" si="3"/>
        <v>0</v>
      </c>
    </row>
    <row r="20" spans="1:19">
      <c r="A20" s="113">
        <v>12</v>
      </c>
      <c r="B20" s="113" t="s">
        <v>454</v>
      </c>
      <c r="C20" s="113" t="s">
        <v>424</v>
      </c>
      <c r="D20" s="113" t="s">
        <v>447</v>
      </c>
      <c r="E20" s="113" t="s">
        <v>262</v>
      </c>
      <c r="F20" s="113" t="s">
        <v>425</v>
      </c>
      <c r="G20" s="113" t="s">
        <v>455</v>
      </c>
      <c r="H20" s="113">
        <v>3302</v>
      </c>
      <c r="I20" s="113">
        <v>1372</v>
      </c>
      <c r="J20" s="113">
        <v>1</v>
      </c>
      <c r="K20" s="123">
        <v>392.71</v>
      </c>
      <c r="L20" s="47" t="s">
        <v>383</v>
      </c>
      <c r="N20" s="47">
        <v>3302</v>
      </c>
      <c r="O20" s="47">
        <v>1372</v>
      </c>
      <c r="P20" s="47">
        <v>1</v>
      </c>
      <c r="Q20" s="47">
        <f t="shared" si="1"/>
        <v>0</v>
      </c>
      <c r="R20" s="47">
        <f t="shared" si="2"/>
        <v>0</v>
      </c>
      <c r="S20" s="47">
        <f t="shared" si="3"/>
        <v>0</v>
      </c>
    </row>
    <row r="21" spans="1:19" ht="20.100000000000001" customHeight="1">
      <c r="A21" s="113">
        <v>13</v>
      </c>
      <c r="B21" s="113" t="s">
        <v>456</v>
      </c>
      <c r="C21" s="113" t="s">
        <v>446</v>
      </c>
      <c r="D21" s="113" t="s">
        <v>447</v>
      </c>
      <c r="E21" s="113" t="s">
        <v>448</v>
      </c>
      <c r="F21" s="113" t="s">
        <v>425</v>
      </c>
      <c r="G21" s="113" t="s">
        <v>449</v>
      </c>
      <c r="H21" s="113">
        <v>1322</v>
      </c>
      <c r="I21" s="113">
        <v>1372</v>
      </c>
      <c r="J21" s="113">
        <v>1</v>
      </c>
      <c r="K21" s="123">
        <f>112.31+45.79</f>
        <v>158.1</v>
      </c>
      <c r="L21" s="47" t="s">
        <v>384</v>
      </c>
      <c r="N21" s="47">
        <v>1322</v>
      </c>
      <c r="O21" s="47">
        <v>1372</v>
      </c>
      <c r="P21" s="47">
        <v>1</v>
      </c>
      <c r="Q21" s="47">
        <f t="shared" si="1"/>
        <v>0</v>
      </c>
      <c r="R21" s="47">
        <f t="shared" si="2"/>
        <v>0</v>
      </c>
      <c r="S21" s="47">
        <f t="shared" si="3"/>
        <v>0</v>
      </c>
    </row>
    <row r="22" spans="1:19" ht="20.100000000000001" customHeight="1">
      <c r="A22" s="113">
        <v>14</v>
      </c>
      <c r="B22" s="113" t="s">
        <v>457</v>
      </c>
      <c r="C22" s="113" t="s">
        <v>424</v>
      </c>
      <c r="D22" s="113" t="s">
        <v>452</v>
      </c>
      <c r="E22" s="113" t="s">
        <v>262</v>
      </c>
      <c r="F22" s="113" t="s">
        <v>425</v>
      </c>
      <c r="G22" s="113" t="s">
        <v>458</v>
      </c>
      <c r="H22" s="113">
        <v>3861</v>
      </c>
      <c r="I22" s="113">
        <v>2134</v>
      </c>
      <c r="J22" s="113">
        <v>1</v>
      </c>
      <c r="K22" s="123">
        <v>1046.47</v>
      </c>
      <c r="L22" s="47" t="s">
        <v>385</v>
      </c>
      <c r="N22" s="47">
        <v>3861</v>
      </c>
      <c r="O22" s="47">
        <v>2134</v>
      </c>
      <c r="P22" s="47">
        <v>1</v>
      </c>
      <c r="Q22" s="47">
        <f t="shared" si="1"/>
        <v>0</v>
      </c>
      <c r="R22" s="47">
        <f t="shared" si="2"/>
        <v>0</v>
      </c>
      <c r="S22" s="47">
        <f t="shared" si="3"/>
        <v>0</v>
      </c>
    </row>
    <row r="23" spans="1:19" ht="20.100000000000001" customHeight="1">
      <c r="A23" s="113">
        <v>15</v>
      </c>
      <c r="B23" s="113" t="s">
        <v>459</v>
      </c>
      <c r="C23" s="113" t="s">
        <v>424</v>
      </c>
      <c r="D23" s="113" t="s">
        <v>452</v>
      </c>
      <c r="E23" s="113" t="s">
        <v>262</v>
      </c>
      <c r="F23" s="113" t="s">
        <v>425</v>
      </c>
      <c r="G23" s="113" t="s">
        <v>460</v>
      </c>
      <c r="H23" s="113">
        <v>1372</v>
      </c>
      <c r="I23" s="113">
        <v>2134</v>
      </c>
      <c r="J23" s="113">
        <v>1</v>
      </c>
      <c r="K23" s="123">
        <v>352.59</v>
      </c>
      <c r="L23" s="47" t="s">
        <v>401</v>
      </c>
      <c r="N23" s="47">
        <v>1372</v>
      </c>
      <c r="O23" s="47">
        <v>2134</v>
      </c>
      <c r="P23" s="47">
        <v>1</v>
      </c>
      <c r="Q23" s="47">
        <f t="shared" si="1"/>
        <v>0</v>
      </c>
      <c r="R23" s="47">
        <f t="shared" si="2"/>
        <v>0</v>
      </c>
      <c r="S23" s="47">
        <f t="shared" si="3"/>
        <v>0</v>
      </c>
    </row>
    <row r="24" spans="1:19" ht="20.100000000000001" customHeight="1">
      <c r="A24" s="113">
        <v>16</v>
      </c>
      <c r="B24" s="113" t="s">
        <v>461</v>
      </c>
      <c r="C24" s="113" t="s">
        <v>446</v>
      </c>
      <c r="D24" s="113" t="s">
        <v>447</v>
      </c>
      <c r="E24" s="113" t="s">
        <v>448</v>
      </c>
      <c r="F24" s="113" t="s">
        <v>425</v>
      </c>
      <c r="G24" s="113" t="s">
        <v>462</v>
      </c>
      <c r="H24" s="113">
        <v>1778</v>
      </c>
      <c r="I24" s="113">
        <v>1372</v>
      </c>
      <c r="J24" s="113">
        <v>1</v>
      </c>
      <c r="K24" s="123">
        <f>122.78+50.92</f>
        <v>173.7</v>
      </c>
      <c r="L24" s="47" t="s">
        <v>414</v>
      </c>
      <c r="N24" s="47">
        <v>1778</v>
      </c>
      <c r="O24" s="47">
        <v>1372</v>
      </c>
      <c r="P24" s="47">
        <v>1</v>
      </c>
      <c r="Q24" s="47">
        <f t="shared" si="1"/>
        <v>0</v>
      </c>
      <c r="R24" s="47">
        <f t="shared" si="2"/>
        <v>0</v>
      </c>
      <c r="S24" s="47">
        <f t="shared" si="3"/>
        <v>0</v>
      </c>
    </row>
    <row r="25" spans="1:19" ht="20.100000000000001" customHeight="1">
      <c r="A25" s="113">
        <v>17</v>
      </c>
      <c r="B25" s="113" t="s">
        <v>463</v>
      </c>
      <c r="C25" s="113" t="s">
        <v>424</v>
      </c>
      <c r="D25" s="113" t="s">
        <v>447</v>
      </c>
      <c r="E25" s="113" t="s">
        <v>262</v>
      </c>
      <c r="F25" s="113" t="s">
        <v>425</v>
      </c>
      <c r="G25" s="113" t="s">
        <v>464</v>
      </c>
      <c r="H25" s="113">
        <v>3862</v>
      </c>
      <c r="I25" s="113">
        <v>1678</v>
      </c>
      <c r="J25" s="113">
        <v>1</v>
      </c>
      <c r="K25" s="123">
        <v>449.45</v>
      </c>
      <c r="L25" s="47" t="s">
        <v>415</v>
      </c>
      <c r="N25" s="47">
        <v>3862</v>
      </c>
      <c r="O25" s="47">
        <v>1678</v>
      </c>
      <c r="P25" s="47">
        <v>1</v>
      </c>
      <c r="Q25" s="47">
        <f t="shared" si="1"/>
        <v>0</v>
      </c>
      <c r="R25" s="47">
        <f t="shared" si="2"/>
        <v>0</v>
      </c>
      <c r="S25" s="47">
        <f t="shared" si="3"/>
        <v>0</v>
      </c>
    </row>
    <row r="26" spans="1:19">
      <c r="A26" s="113">
        <v>18</v>
      </c>
      <c r="B26" s="113" t="s">
        <v>465</v>
      </c>
      <c r="C26" s="113" t="s">
        <v>424</v>
      </c>
      <c r="D26" s="113" t="s">
        <v>447</v>
      </c>
      <c r="E26" s="113" t="s">
        <v>262</v>
      </c>
      <c r="F26" s="113" t="s">
        <v>425</v>
      </c>
      <c r="G26" s="113" t="s">
        <v>466</v>
      </c>
      <c r="H26" s="113">
        <v>3302</v>
      </c>
      <c r="I26" s="113">
        <v>1830</v>
      </c>
      <c r="J26" s="113">
        <v>1</v>
      </c>
      <c r="K26" s="123">
        <v>429.01</v>
      </c>
      <c r="L26" s="47" t="s">
        <v>416</v>
      </c>
      <c r="M26" s="47" t="s">
        <v>417</v>
      </c>
      <c r="N26" s="47">
        <v>3302</v>
      </c>
      <c r="O26" s="47">
        <v>1830</v>
      </c>
      <c r="P26" s="47">
        <v>1</v>
      </c>
      <c r="Q26" s="47">
        <f t="shared" si="1"/>
        <v>0</v>
      </c>
      <c r="R26" s="47">
        <f t="shared" si="2"/>
        <v>0</v>
      </c>
      <c r="S26" s="47">
        <f t="shared" si="3"/>
        <v>0</v>
      </c>
    </row>
    <row r="27" spans="1:19" ht="20.100000000000001" customHeight="1">
      <c r="A27" s="113">
        <v>19</v>
      </c>
      <c r="B27" s="113" t="s">
        <v>467</v>
      </c>
      <c r="C27" s="113" t="s">
        <v>468</v>
      </c>
      <c r="D27" s="113" t="s">
        <v>469</v>
      </c>
      <c r="E27" s="113" t="s">
        <v>262</v>
      </c>
      <c r="F27" s="113" t="s">
        <v>429</v>
      </c>
      <c r="G27" s="113" t="s">
        <v>464</v>
      </c>
      <c r="H27" s="113">
        <v>4572</v>
      </c>
      <c r="I27" s="113">
        <v>1830</v>
      </c>
      <c r="J27" s="113">
        <v>1</v>
      </c>
      <c r="K27" s="123">
        <v>1177.47</v>
      </c>
      <c r="N27" s="47">
        <v>4572</v>
      </c>
      <c r="O27" s="47">
        <v>1830</v>
      </c>
      <c r="P27" s="47">
        <v>1</v>
      </c>
      <c r="Q27" s="47">
        <f t="shared" si="1"/>
        <v>0</v>
      </c>
      <c r="R27" s="47">
        <f t="shared" si="2"/>
        <v>0</v>
      </c>
      <c r="S27" s="47">
        <f t="shared" si="3"/>
        <v>0</v>
      </c>
    </row>
    <row r="28" spans="1:19" ht="20.100000000000001" customHeight="1">
      <c r="A28" s="113">
        <v>20</v>
      </c>
      <c r="B28" s="113" t="s">
        <v>470</v>
      </c>
      <c r="C28" s="113" t="s">
        <v>430</v>
      </c>
      <c r="D28" s="113" t="s">
        <v>471</v>
      </c>
      <c r="E28" s="113" t="s">
        <v>262</v>
      </c>
      <c r="F28" s="113" t="s">
        <v>429</v>
      </c>
      <c r="G28" s="113" t="s">
        <v>462</v>
      </c>
      <c r="H28" s="113">
        <v>3759</v>
      </c>
      <c r="I28" s="113">
        <v>1372</v>
      </c>
      <c r="J28" s="113">
        <v>1</v>
      </c>
      <c r="K28" s="123">
        <v>477.56</v>
      </c>
      <c r="N28" s="47">
        <v>3759</v>
      </c>
      <c r="O28" s="47">
        <v>1372</v>
      </c>
      <c r="P28" s="47">
        <v>1</v>
      </c>
      <c r="Q28" s="47">
        <f t="shared" si="1"/>
        <v>0</v>
      </c>
      <c r="R28" s="47">
        <f t="shared" si="2"/>
        <v>0</v>
      </c>
      <c r="S28" s="47">
        <f t="shared" si="3"/>
        <v>0</v>
      </c>
    </row>
    <row r="29" spans="1:19" ht="20.100000000000001" customHeight="1">
      <c r="A29" s="113">
        <v>21</v>
      </c>
      <c r="B29" s="113" t="s">
        <v>499</v>
      </c>
      <c r="C29" s="113" t="s">
        <v>430</v>
      </c>
      <c r="D29" s="113" t="s">
        <v>443</v>
      </c>
      <c r="E29" s="113" t="s">
        <v>262</v>
      </c>
      <c r="F29" s="113" t="s">
        <v>429</v>
      </c>
      <c r="G29" s="113" t="s">
        <v>500</v>
      </c>
      <c r="H29" s="113">
        <v>610</v>
      </c>
      <c r="I29" s="113">
        <v>2134</v>
      </c>
      <c r="J29" s="113">
        <v>1</v>
      </c>
      <c r="K29" s="123">
        <v>49.48</v>
      </c>
      <c r="N29" s="47">
        <v>610</v>
      </c>
      <c r="O29" s="47">
        <v>2134</v>
      </c>
      <c r="P29" s="47">
        <v>1</v>
      </c>
      <c r="Q29" s="47">
        <f t="shared" si="1"/>
        <v>0</v>
      </c>
      <c r="R29" s="47">
        <f t="shared" si="2"/>
        <v>0</v>
      </c>
      <c r="S29" s="47">
        <f t="shared" si="3"/>
        <v>0</v>
      </c>
    </row>
    <row r="30" spans="1:19" ht="20.100000000000001" customHeight="1">
      <c r="A30" s="113">
        <v>22</v>
      </c>
      <c r="B30" s="113" t="s">
        <v>472</v>
      </c>
      <c r="C30" s="113" t="s">
        <v>424</v>
      </c>
      <c r="D30" s="113" t="s">
        <v>447</v>
      </c>
      <c r="E30" s="113" t="s">
        <v>262</v>
      </c>
      <c r="F30" s="113" t="s">
        <v>425</v>
      </c>
      <c r="G30" s="113" t="s">
        <v>473</v>
      </c>
      <c r="H30" s="113">
        <v>1524</v>
      </c>
      <c r="I30" s="113">
        <v>1678</v>
      </c>
      <c r="J30" s="113">
        <v>2</v>
      </c>
      <c r="K30" s="123">
        <v>311.45</v>
      </c>
      <c r="N30" s="47">
        <v>1524</v>
      </c>
      <c r="O30" s="47">
        <v>1678</v>
      </c>
      <c r="P30" s="47">
        <v>2</v>
      </c>
      <c r="Q30" s="47">
        <f t="shared" si="1"/>
        <v>0</v>
      </c>
      <c r="R30" s="47">
        <f t="shared" si="2"/>
        <v>0</v>
      </c>
      <c r="S30" s="47">
        <f t="shared" si="3"/>
        <v>0</v>
      </c>
    </row>
    <row r="31" spans="1:19" ht="20.100000000000001" customHeight="1">
      <c r="A31" s="113">
        <v>23</v>
      </c>
      <c r="B31" s="113" t="s">
        <v>474</v>
      </c>
      <c r="C31" s="113" t="s">
        <v>430</v>
      </c>
      <c r="D31" s="113" t="s">
        <v>475</v>
      </c>
      <c r="E31" s="113" t="s">
        <v>262</v>
      </c>
      <c r="F31" s="113" t="s">
        <v>429</v>
      </c>
      <c r="G31" s="113" t="s">
        <v>473</v>
      </c>
      <c r="H31" s="113">
        <v>2924</v>
      </c>
      <c r="I31" s="113">
        <v>1678</v>
      </c>
      <c r="J31" s="113">
        <v>2</v>
      </c>
      <c r="K31" s="123">
        <v>77.33</v>
      </c>
      <c r="N31" s="47">
        <v>2924</v>
      </c>
      <c r="O31" s="47">
        <v>1678</v>
      </c>
      <c r="P31" s="47">
        <v>2</v>
      </c>
      <c r="Q31" s="47">
        <f t="shared" si="1"/>
        <v>0</v>
      </c>
      <c r="R31" s="47">
        <f t="shared" si="2"/>
        <v>0</v>
      </c>
      <c r="S31" s="47">
        <f t="shared" si="3"/>
        <v>0</v>
      </c>
    </row>
    <row r="32" spans="1:19">
      <c r="A32" s="113">
        <v>24</v>
      </c>
      <c r="B32" s="113" t="s">
        <v>476</v>
      </c>
      <c r="C32" s="113" t="s">
        <v>424</v>
      </c>
      <c r="D32" s="113" t="s">
        <v>447</v>
      </c>
      <c r="E32" s="113" t="s">
        <v>262</v>
      </c>
      <c r="F32" s="113" t="s">
        <v>425</v>
      </c>
      <c r="G32" s="113" t="s">
        <v>473</v>
      </c>
      <c r="H32" s="113">
        <v>1830</v>
      </c>
      <c r="I32" s="113">
        <v>1678</v>
      </c>
      <c r="J32" s="113">
        <v>2</v>
      </c>
      <c r="K32" s="123">
        <v>329.66</v>
      </c>
      <c r="N32" s="47">
        <v>1830</v>
      </c>
      <c r="O32" s="47">
        <v>1678</v>
      </c>
      <c r="P32" s="47">
        <v>2</v>
      </c>
      <c r="Q32" s="47">
        <f t="shared" si="1"/>
        <v>0</v>
      </c>
      <c r="R32" s="47">
        <f t="shared" si="2"/>
        <v>0</v>
      </c>
      <c r="S32" s="47">
        <f t="shared" si="3"/>
        <v>0</v>
      </c>
    </row>
    <row r="33" spans="1:19" ht="20.100000000000001" customHeight="1">
      <c r="A33" s="113">
        <v>25</v>
      </c>
      <c r="B33" s="113" t="s">
        <v>477</v>
      </c>
      <c r="C33" s="113" t="s">
        <v>424</v>
      </c>
      <c r="D33" s="113" t="s">
        <v>447</v>
      </c>
      <c r="E33" s="113" t="s">
        <v>262</v>
      </c>
      <c r="F33" s="113" t="s">
        <v>425</v>
      </c>
      <c r="G33" s="113" t="s">
        <v>478</v>
      </c>
      <c r="H33" s="113">
        <v>1830</v>
      </c>
      <c r="I33" s="113">
        <v>1678</v>
      </c>
      <c r="J33" s="113">
        <v>2</v>
      </c>
      <c r="K33" s="123">
        <v>329.66</v>
      </c>
      <c r="N33" s="47">
        <v>1830</v>
      </c>
      <c r="O33" s="47">
        <v>1678</v>
      </c>
      <c r="P33" s="47">
        <v>2</v>
      </c>
      <c r="Q33" s="47">
        <f t="shared" si="1"/>
        <v>0</v>
      </c>
      <c r="R33" s="47">
        <f t="shared" si="2"/>
        <v>0</v>
      </c>
      <c r="S33" s="47">
        <f t="shared" si="3"/>
        <v>0</v>
      </c>
    </row>
    <row r="34" spans="1:19" ht="20.100000000000001" customHeight="1">
      <c r="A34" s="113">
        <v>26</v>
      </c>
      <c r="B34" s="113" t="s">
        <v>479</v>
      </c>
      <c r="C34" s="113" t="s">
        <v>430</v>
      </c>
      <c r="D34" s="113" t="s">
        <v>475</v>
      </c>
      <c r="E34" s="113" t="s">
        <v>262</v>
      </c>
      <c r="F34" s="113" t="s">
        <v>429</v>
      </c>
      <c r="G34" s="113" t="s">
        <v>478</v>
      </c>
      <c r="H34" s="113">
        <v>2694</v>
      </c>
      <c r="I34" s="113">
        <v>1678</v>
      </c>
      <c r="J34" s="113">
        <v>2</v>
      </c>
      <c r="K34" s="123">
        <v>73.89</v>
      </c>
      <c r="N34" s="47">
        <v>2694</v>
      </c>
      <c r="O34" s="47">
        <v>1678</v>
      </c>
      <c r="P34" s="47">
        <v>2</v>
      </c>
      <c r="Q34" s="47">
        <f t="shared" si="1"/>
        <v>0</v>
      </c>
      <c r="R34" s="47">
        <f t="shared" si="2"/>
        <v>0</v>
      </c>
      <c r="S34" s="47">
        <f t="shared" si="3"/>
        <v>0</v>
      </c>
    </row>
    <row r="35" spans="1:19" ht="20.100000000000001" customHeight="1">
      <c r="A35" s="113">
        <v>27</v>
      </c>
      <c r="B35" s="113" t="s">
        <v>480</v>
      </c>
      <c r="C35" s="113" t="s">
        <v>424</v>
      </c>
      <c r="D35" s="113" t="s">
        <v>447</v>
      </c>
      <c r="E35" s="113" t="s">
        <v>262</v>
      </c>
      <c r="F35" s="113" t="s">
        <v>425</v>
      </c>
      <c r="G35" s="113" t="s">
        <v>478</v>
      </c>
      <c r="H35" s="321">
        <v>1524</v>
      </c>
      <c r="I35" s="321">
        <v>1678</v>
      </c>
      <c r="J35" s="321">
        <v>2</v>
      </c>
      <c r="K35" s="123">
        <v>311.98</v>
      </c>
      <c r="N35" s="47">
        <v>1524</v>
      </c>
      <c r="O35" s="47">
        <v>1678</v>
      </c>
      <c r="P35" s="47">
        <v>2</v>
      </c>
      <c r="Q35" s="47">
        <f t="shared" si="1"/>
        <v>0</v>
      </c>
      <c r="R35" s="47">
        <f t="shared" si="2"/>
        <v>0</v>
      </c>
      <c r="S35" s="47">
        <f t="shared" si="3"/>
        <v>0</v>
      </c>
    </row>
    <row r="36" spans="1:19" ht="20.100000000000001" customHeight="1">
      <c r="A36" s="113">
        <v>28</v>
      </c>
      <c r="B36" s="113" t="s">
        <v>481</v>
      </c>
      <c r="C36" s="113" t="s">
        <v>424</v>
      </c>
      <c r="D36" s="113" t="s">
        <v>447</v>
      </c>
      <c r="E36" s="113" t="s">
        <v>262</v>
      </c>
      <c r="F36" s="113" t="s">
        <v>425</v>
      </c>
      <c r="G36" s="113" t="s">
        <v>458</v>
      </c>
      <c r="H36" s="113">
        <v>2694</v>
      </c>
      <c r="I36" s="113">
        <v>1678</v>
      </c>
      <c r="J36" s="113">
        <v>1</v>
      </c>
      <c r="K36" s="123">
        <v>762.83</v>
      </c>
      <c r="N36" s="47">
        <v>2694</v>
      </c>
      <c r="O36" s="47">
        <v>1678</v>
      </c>
      <c r="P36" s="47">
        <v>1</v>
      </c>
      <c r="Q36" s="47">
        <f t="shared" si="1"/>
        <v>0</v>
      </c>
      <c r="R36" s="47">
        <f t="shared" si="2"/>
        <v>0</v>
      </c>
      <c r="S36" s="47">
        <f t="shared" si="3"/>
        <v>0</v>
      </c>
    </row>
    <row r="37" spans="1:19" ht="20.100000000000001" customHeight="1">
      <c r="A37" s="113">
        <v>29</v>
      </c>
      <c r="B37" s="113" t="s">
        <v>482</v>
      </c>
      <c r="C37" s="113" t="s">
        <v>430</v>
      </c>
      <c r="D37" s="113" t="s">
        <v>475</v>
      </c>
      <c r="E37" s="113" t="s">
        <v>262</v>
      </c>
      <c r="F37" s="113" t="s">
        <v>429</v>
      </c>
      <c r="G37" s="113" t="s">
        <v>458</v>
      </c>
      <c r="H37" s="113">
        <v>2288</v>
      </c>
      <c r="I37" s="113">
        <v>1678</v>
      </c>
      <c r="J37" s="113">
        <v>1</v>
      </c>
      <c r="K37" s="123">
        <v>67.83</v>
      </c>
      <c r="N37" s="47">
        <v>2288</v>
      </c>
      <c r="O37" s="47">
        <v>1678</v>
      </c>
      <c r="P37" s="47">
        <v>1</v>
      </c>
      <c r="Q37" s="47">
        <f t="shared" si="1"/>
        <v>0</v>
      </c>
      <c r="R37" s="47">
        <f t="shared" si="2"/>
        <v>0</v>
      </c>
      <c r="S37" s="47">
        <f t="shared" si="3"/>
        <v>0</v>
      </c>
    </row>
    <row r="38" spans="1:19">
      <c r="A38" s="113">
        <v>30</v>
      </c>
      <c r="B38" s="113" t="s">
        <v>483</v>
      </c>
      <c r="C38" s="113" t="s">
        <v>424</v>
      </c>
      <c r="D38" s="113" t="s">
        <v>447</v>
      </c>
      <c r="E38" s="113" t="s">
        <v>262</v>
      </c>
      <c r="F38" s="113" t="s">
        <v>425</v>
      </c>
      <c r="G38" s="113" t="s">
        <v>458</v>
      </c>
      <c r="H38" s="113">
        <v>1830</v>
      </c>
      <c r="I38" s="113">
        <v>1678</v>
      </c>
      <c r="J38" s="113">
        <v>1</v>
      </c>
      <c r="K38" s="123">
        <v>329.66</v>
      </c>
      <c r="N38" s="47">
        <v>1830</v>
      </c>
      <c r="O38" s="47">
        <v>1678</v>
      </c>
      <c r="P38" s="47">
        <v>1</v>
      </c>
      <c r="Q38" s="47">
        <f t="shared" si="1"/>
        <v>0</v>
      </c>
      <c r="R38" s="47">
        <f t="shared" si="2"/>
        <v>0</v>
      </c>
      <c r="S38" s="47">
        <f t="shared" si="3"/>
        <v>0</v>
      </c>
    </row>
    <row r="39" spans="1:19" ht="20.100000000000001" customHeight="1">
      <c r="A39" s="113">
        <v>31</v>
      </c>
      <c r="B39" s="113" t="s">
        <v>484</v>
      </c>
      <c r="C39" s="113" t="s">
        <v>430</v>
      </c>
      <c r="D39" s="113" t="s">
        <v>501</v>
      </c>
      <c r="E39" s="113" t="s">
        <v>432</v>
      </c>
      <c r="F39" s="113" t="s">
        <v>429</v>
      </c>
      <c r="G39" s="113" t="s">
        <v>485</v>
      </c>
      <c r="H39" s="113">
        <v>610</v>
      </c>
      <c r="I39" s="113">
        <v>610</v>
      </c>
      <c r="J39" s="113">
        <v>1</v>
      </c>
      <c r="K39" s="123">
        <v>91.26</v>
      </c>
      <c r="N39" s="47">
        <v>610</v>
      </c>
      <c r="O39" s="47">
        <v>610</v>
      </c>
      <c r="P39" s="47">
        <v>1</v>
      </c>
      <c r="Q39" s="47">
        <f t="shared" si="1"/>
        <v>0</v>
      </c>
      <c r="R39" s="47">
        <f t="shared" si="2"/>
        <v>0</v>
      </c>
      <c r="S39" s="47">
        <f t="shared" si="3"/>
        <v>0</v>
      </c>
    </row>
    <row r="40" spans="1:19" ht="20.100000000000001" customHeight="1">
      <c r="A40" s="113">
        <v>32</v>
      </c>
      <c r="B40" s="113" t="s">
        <v>486</v>
      </c>
      <c r="C40" s="113" t="s">
        <v>430</v>
      </c>
      <c r="D40" s="113" t="s">
        <v>501</v>
      </c>
      <c r="E40" s="113" t="s">
        <v>432</v>
      </c>
      <c r="F40" s="113" t="s">
        <v>429</v>
      </c>
      <c r="G40" s="113" t="s">
        <v>436</v>
      </c>
      <c r="H40" s="113">
        <v>916</v>
      </c>
      <c r="I40" s="113">
        <v>916</v>
      </c>
      <c r="J40" s="113">
        <v>4</v>
      </c>
      <c r="K40" s="123">
        <v>116.32</v>
      </c>
      <c r="N40" s="47">
        <v>916</v>
      </c>
      <c r="O40" s="47">
        <v>916</v>
      </c>
      <c r="P40" s="47">
        <v>4</v>
      </c>
      <c r="Q40" s="47">
        <f t="shared" si="1"/>
        <v>0</v>
      </c>
      <c r="R40" s="47">
        <f t="shared" si="2"/>
        <v>0</v>
      </c>
      <c r="S40" s="47">
        <f t="shared" si="3"/>
        <v>0</v>
      </c>
    </row>
    <row r="41" spans="1:19" ht="20.100000000000001" customHeight="1">
      <c r="A41" s="113">
        <v>33</v>
      </c>
      <c r="B41" s="113" t="s">
        <v>487</v>
      </c>
      <c r="C41" s="113" t="s">
        <v>430</v>
      </c>
      <c r="D41" s="113" t="s">
        <v>438</v>
      </c>
      <c r="E41" s="113" t="s">
        <v>262</v>
      </c>
      <c r="F41" s="113" t="s">
        <v>429</v>
      </c>
      <c r="G41" s="113" t="s">
        <v>488</v>
      </c>
      <c r="H41" s="113">
        <v>7722</v>
      </c>
      <c r="I41" s="113">
        <v>610</v>
      </c>
      <c r="J41" s="113">
        <v>1</v>
      </c>
      <c r="K41" s="123">
        <v>176.65</v>
      </c>
      <c r="N41" s="47">
        <v>7722</v>
      </c>
      <c r="O41" s="47">
        <v>610</v>
      </c>
      <c r="P41" s="47">
        <v>1</v>
      </c>
      <c r="Q41" s="47">
        <f t="shared" si="1"/>
        <v>0</v>
      </c>
      <c r="R41" s="47">
        <f t="shared" si="2"/>
        <v>0</v>
      </c>
      <c r="S41" s="47">
        <f t="shared" si="3"/>
        <v>0</v>
      </c>
    </row>
    <row r="42" spans="1:19">
      <c r="A42" s="113">
        <v>34</v>
      </c>
      <c r="B42" s="113" t="s">
        <v>489</v>
      </c>
      <c r="C42" s="113" t="s">
        <v>430</v>
      </c>
      <c r="D42" s="113" t="s">
        <v>502</v>
      </c>
      <c r="E42" s="113" t="s">
        <v>262</v>
      </c>
      <c r="F42" s="113" t="s">
        <v>429</v>
      </c>
      <c r="G42" s="113" t="s">
        <v>488</v>
      </c>
      <c r="H42" s="113">
        <v>3030</v>
      </c>
      <c r="I42" s="113">
        <v>610</v>
      </c>
      <c r="J42" s="113">
        <v>1</v>
      </c>
      <c r="K42" s="123">
        <v>84.69</v>
      </c>
      <c r="N42" s="47">
        <v>3030</v>
      </c>
      <c r="O42" s="47">
        <v>610</v>
      </c>
      <c r="P42" s="47">
        <v>1</v>
      </c>
      <c r="Q42" s="47">
        <f t="shared" si="1"/>
        <v>0</v>
      </c>
      <c r="R42" s="47">
        <f t="shared" si="2"/>
        <v>0</v>
      </c>
      <c r="S42" s="47">
        <f t="shared" si="3"/>
        <v>0</v>
      </c>
    </row>
    <row r="43" spans="1:19" ht="20.100000000000001" customHeight="1">
      <c r="A43" s="113">
        <v>35</v>
      </c>
      <c r="B43" s="113" t="s">
        <v>490</v>
      </c>
      <c r="C43" s="113" t="s">
        <v>430</v>
      </c>
      <c r="D43" s="113" t="s">
        <v>502</v>
      </c>
      <c r="E43" s="113" t="s">
        <v>262</v>
      </c>
      <c r="F43" s="113" t="s">
        <v>429</v>
      </c>
      <c r="G43" s="113" t="s">
        <v>488</v>
      </c>
      <c r="H43" s="113">
        <v>3080</v>
      </c>
      <c r="I43" s="113">
        <v>610</v>
      </c>
      <c r="J43" s="113">
        <v>1</v>
      </c>
      <c r="K43" s="123">
        <v>85.44</v>
      </c>
      <c r="N43" s="47">
        <v>3080</v>
      </c>
      <c r="O43" s="47">
        <v>610</v>
      </c>
      <c r="P43" s="47">
        <v>1</v>
      </c>
      <c r="Q43" s="47">
        <f t="shared" si="1"/>
        <v>0</v>
      </c>
      <c r="R43" s="47">
        <f t="shared" si="2"/>
        <v>0</v>
      </c>
      <c r="S43" s="47">
        <f t="shared" si="3"/>
        <v>0</v>
      </c>
    </row>
    <row r="44" spans="1:19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9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9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9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9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19" sqref="R1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276</v>
      </c>
      <c r="Q2" s="169" t="s">
        <v>237</v>
      </c>
      <c r="R2" s="169" t="s">
        <v>238</v>
      </c>
      <c r="S2" s="310" t="s">
        <v>189</v>
      </c>
      <c r="T2" s="336" t="s">
        <v>396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387</v>
      </c>
      <c r="U3" s="313" t="s">
        <v>393</v>
      </c>
      <c r="V3" s="313" t="s">
        <v>388</v>
      </c>
      <c r="W3" s="313" t="s">
        <v>394</v>
      </c>
      <c r="X3" s="313" t="s">
        <v>395</v>
      </c>
      <c r="Y3" s="313" t="s">
        <v>222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GF - STUDY &amp; LIVING</v>
      </c>
      <c r="G4" s="118">
        <f>'BD Team'!H9</f>
        <v>3354</v>
      </c>
      <c r="H4" s="118">
        <f>'BD Team'!I9</f>
        <v>2438</v>
      </c>
      <c r="I4" s="118">
        <f>'BD Team'!J9</f>
        <v>1</v>
      </c>
      <c r="J4" s="103">
        <f t="shared" ref="J4:J53" si="0">G4*H4*I4*10.764/1000000</f>
        <v>88.017787728000002</v>
      </c>
      <c r="K4" s="172">
        <f>'BD Team'!K9</f>
        <v>494.3</v>
      </c>
      <c r="L4" s="171">
        <f>K4*I4</f>
        <v>494.3</v>
      </c>
      <c r="M4" s="170">
        <f>L4*'Changable Values'!$D$4</f>
        <v>41026.9</v>
      </c>
      <c r="N4" s="170" t="str">
        <f>'BD Team'!E9</f>
        <v>24MM</v>
      </c>
      <c r="O4" s="172">
        <v>2938</v>
      </c>
      <c r="P4" s="241"/>
      <c r="Q4" s="173">
        <f>50*10.764</f>
        <v>538.19999999999993</v>
      </c>
      <c r="R4" s="185"/>
      <c r="S4" s="312"/>
      <c r="T4" s="313">
        <f>(G4+H4)*I4*2/300</f>
        <v>38.613333333333337</v>
      </c>
      <c r="U4" s="313">
        <f>SUM(G4:H4)*I4*2*4/1000</f>
        <v>46.335999999999999</v>
      </c>
      <c r="V4" s="313">
        <f>SUM(G4:H4)*I4*5*5*4/(1000*240)</f>
        <v>2.4133333333333336</v>
      </c>
      <c r="W4" s="313">
        <f>T4</f>
        <v>38.613333333333337</v>
      </c>
      <c r="X4" s="313">
        <f>W4*2</f>
        <v>77.226666666666674</v>
      </c>
      <c r="Y4" s="313">
        <f>SUM(G4:H4)*I4*4/1000</f>
        <v>23.167999999999999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M14600</v>
      </c>
      <c r="D5" s="118" t="str">
        <f>'BD Team'!D10</f>
        <v>3 TRACK 2 SHUTTER SLIDING DOOR WITH 2 FIXED</v>
      </c>
      <c r="E5" s="118" t="str">
        <f>'BD Team'!F10</f>
        <v>SS</v>
      </c>
      <c r="F5" s="121" t="str">
        <f>'BD Team'!G10</f>
        <v>GF - GREAT ROOM</v>
      </c>
      <c r="G5" s="118">
        <f>'BD Team'!H10</f>
        <v>5386</v>
      </c>
      <c r="H5" s="118">
        <f>'BD Team'!I10</f>
        <v>2744</v>
      </c>
      <c r="I5" s="118">
        <f>'BD Team'!J10</f>
        <v>2</v>
      </c>
      <c r="J5" s="103">
        <f t="shared" si="0"/>
        <v>318.16627315200003</v>
      </c>
      <c r="K5" s="172">
        <f>'BD Team'!K10</f>
        <v>963.07</v>
      </c>
      <c r="L5" s="171">
        <f t="shared" ref="L5:L53" si="1">K5*I5</f>
        <v>1926.14</v>
      </c>
      <c r="M5" s="170">
        <f>L5*'Changable Values'!$D$4</f>
        <v>159869.62</v>
      </c>
      <c r="N5" s="170" t="str">
        <f>'BD Team'!E10</f>
        <v>24MM</v>
      </c>
      <c r="O5" s="172">
        <v>2938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108.4</v>
      </c>
      <c r="U5" s="313">
        <f t="shared" ref="U5:U68" si="3">SUM(G5:H5)*I5*2*4/1000</f>
        <v>130.08000000000001</v>
      </c>
      <c r="V5" s="313">
        <f t="shared" ref="V5:V68" si="4">SUM(G5:H5)*I5*5*5*4/(1000*240)</f>
        <v>6.7750000000000004</v>
      </c>
      <c r="W5" s="313">
        <f t="shared" ref="W5:W68" si="5">T5</f>
        <v>108.4</v>
      </c>
      <c r="X5" s="313">
        <f t="shared" ref="X5:X68" si="6">W5*2</f>
        <v>216.8</v>
      </c>
      <c r="Y5" s="313">
        <f t="shared" ref="Y5:Y68" si="7">SUM(G5:H5)*I5*4/1000</f>
        <v>65.040000000000006</v>
      </c>
    </row>
    <row r="6" spans="1:25">
      <c r="A6" s="118">
        <f>'BD Team'!A11</f>
        <v>3</v>
      </c>
      <c r="B6" s="118" t="str">
        <f>'BD Team'!B11</f>
        <v>W1</v>
      </c>
      <c r="C6" s="118" t="str">
        <f>'BD Team'!C11</f>
        <v>M15000</v>
      </c>
      <c r="D6" s="118" t="str">
        <f>'BD Team'!D11</f>
        <v>SINGLE DOOR</v>
      </c>
      <c r="E6" s="118" t="str">
        <f>'BD Team'!F11</f>
        <v>NO</v>
      </c>
      <c r="F6" s="121" t="str">
        <f>'BD Team'!G11</f>
        <v>GF / FF - STAIRCASE</v>
      </c>
      <c r="G6" s="118">
        <f>'BD Team'!H11</f>
        <v>712</v>
      </c>
      <c r="H6" s="118">
        <f>'BD Team'!I11</f>
        <v>2134</v>
      </c>
      <c r="I6" s="118">
        <f>'BD Team'!J11</f>
        <v>2</v>
      </c>
      <c r="J6" s="103">
        <f t="shared" si="0"/>
        <v>32.709815423999999</v>
      </c>
      <c r="K6" s="172">
        <f>'BD Team'!K11</f>
        <v>332.03</v>
      </c>
      <c r="L6" s="171">
        <f t="shared" si="1"/>
        <v>664.06</v>
      </c>
      <c r="M6" s="170">
        <f>L6*'Changable Values'!$D$4</f>
        <v>55116.979999999996</v>
      </c>
      <c r="N6" s="170" t="str">
        <f>'BD Team'!E11</f>
        <v>24MM</v>
      </c>
      <c r="O6" s="172">
        <v>2938</v>
      </c>
      <c r="P6" s="241"/>
      <c r="Q6" s="173"/>
      <c r="R6" s="185"/>
      <c r="S6" s="312"/>
      <c r="T6" s="313">
        <f t="shared" si="2"/>
        <v>37.946666666666665</v>
      </c>
      <c r="U6" s="313">
        <f t="shared" si="3"/>
        <v>45.536000000000001</v>
      </c>
      <c r="V6" s="313">
        <f t="shared" si="4"/>
        <v>2.3716666666666666</v>
      </c>
      <c r="W6" s="313">
        <f t="shared" si="5"/>
        <v>37.946666666666665</v>
      </c>
      <c r="X6" s="313">
        <f t="shared" si="6"/>
        <v>75.893333333333331</v>
      </c>
      <c r="Y6" s="313">
        <f t="shared" si="7"/>
        <v>22.768000000000001</v>
      </c>
    </row>
    <row r="7" spans="1:25" ht="28.5">
      <c r="A7" s="118">
        <f>'BD Team'!A12</f>
        <v>4</v>
      </c>
      <c r="B7" s="118" t="str">
        <f>'BD Team'!B12</f>
        <v>W2</v>
      </c>
      <c r="C7" s="118" t="str">
        <f>'BD Team'!C12</f>
        <v>M15000</v>
      </c>
      <c r="D7" s="118" t="str">
        <f>'BD Team'!D12</f>
        <v>SINGLE DOOR</v>
      </c>
      <c r="E7" s="118" t="str">
        <f>'BD Team'!F12</f>
        <v>NO</v>
      </c>
      <c r="F7" s="121" t="str">
        <f>'BD Team'!G12</f>
        <v>GF - MBR, GBR &amp; FF - BR 1 &amp; BR 2</v>
      </c>
      <c r="G7" s="118">
        <f>'BD Team'!H12</f>
        <v>712</v>
      </c>
      <c r="H7" s="118">
        <f>'BD Team'!I12</f>
        <v>1678</v>
      </c>
      <c r="I7" s="118">
        <f>'BD Team'!J12</f>
        <v>8</v>
      </c>
      <c r="J7" s="103">
        <f t="shared" si="0"/>
        <v>102.881106432</v>
      </c>
      <c r="K7" s="172">
        <f>'BD Team'!K12</f>
        <v>281.48</v>
      </c>
      <c r="L7" s="171">
        <f t="shared" si="1"/>
        <v>2251.84</v>
      </c>
      <c r="M7" s="170">
        <f>L7*'Changable Values'!$D$4</f>
        <v>186902.72</v>
      </c>
      <c r="N7" s="170" t="str">
        <f>'BD Team'!E12</f>
        <v>24MM</v>
      </c>
      <c r="O7" s="172">
        <v>2938</v>
      </c>
      <c r="P7" s="241"/>
      <c r="Q7" s="173"/>
      <c r="R7" s="185"/>
      <c r="S7" s="312"/>
      <c r="T7" s="313">
        <f t="shared" si="2"/>
        <v>127.46666666666667</v>
      </c>
      <c r="U7" s="313">
        <f t="shared" si="3"/>
        <v>152.96</v>
      </c>
      <c r="V7" s="313">
        <f t="shared" si="4"/>
        <v>7.9666666666666668</v>
      </c>
      <c r="W7" s="313">
        <f t="shared" si="5"/>
        <v>127.46666666666667</v>
      </c>
      <c r="X7" s="313">
        <f t="shared" si="6"/>
        <v>254.93333333333334</v>
      </c>
      <c r="Y7" s="313">
        <f t="shared" si="7"/>
        <v>76.48</v>
      </c>
    </row>
    <row r="8" spans="1:25">
      <c r="A8" s="118">
        <f>'BD Team'!A13</f>
        <v>5</v>
      </c>
      <c r="B8" s="118" t="str">
        <f>'BD Team'!B13</f>
        <v>W3</v>
      </c>
      <c r="C8" s="118" t="str">
        <f>'BD Team'!C13</f>
        <v>M15000</v>
      </c>
      <c r="D8" s="118" t="str">
        <f>'BD Team'!D13</f>
        <v>FIXED GLASS 3 NO'S</v>
      </c>
      <c r="E8" s="118" t="str">
        <f>'BD Team'!F13</f>
        <v>NO</v>
      </c>
      <c r="F8" s="121" t="str">
        <f>'BD Team'!G13</f>
        <v>FF - BR 1</v>
      </c>
      <c r="G8" s="118">
        <f>'BD Team'!H13</f>
        <v>3864</v>
      </c>
      <c r="H8" s="118">
        <f>'BD Team'!I13</f>
        <v>1220</v>
      </c>
      <c r="I8" s="118">
        <f>'BD Team'!J13</f>
        <v>1</v>
      </c>
      <c r="J8" s="103">
        <f t="shared" si="0"/>
        <v>50.742357119999994</v>
      </c>
      <c r="K8" s="172">
        <f>'BD Team'!K13</f>
        <v>144.94</v>
      </c>
      <c r="L8" s="171">
        <f t="shared" si="1"/>
        <v>144.94</v>
      </c>
      <c r="M8" s="170">
        <f>L8*'Changable Values'!$D$4</f>
        <v>12030.02</v>
      </c>
      <c r="N8" s="170" t="str">
        <f>'BD Team'!E13</f>
        <v>24MM</v>
      </c>
      <c r="O8" s="172">
        <v>2938</v>
      </c>
      <c r="P8" s="241"/>
      <c r="Q8" s="173"/>
      <c r="R8" s="185"/>
      <c r="S8" s="312"/>
      <c r="T8" s="313">
        <f t="shared" si="2"/>
        <v>33.893333333333331</v>
      </c>
      <c r="U8" s="313">
        <f t="shared" si="3"/>
        <v>40.671999999999997</v>
      </c>
      <c r="V8" s="313">
        <f t="shared" si="4"/>
        <v>2.1183333333333332</v>
      </c>
      <c r="W8" s="313">
        <f t="shared" si="5"/>
        <v>33.893333333333331</v>
      </c>
      <c r="X8" s="313">
        <f t="shared" si="6"/>
        <v>67.786666666666662</v>
      </c>
      <c r="Y8" s="313">
        <f t="shared" si="7"/>
        <v>20.335999999999999</v>
      </c>
    </row>
    <row r="9" spans="1:25">
      <c r="A9" s="118">
        <f>'BD Team'!A14</f>
        <v>6</v>
      </c>
      <c r="B9" s="118" t="str">
        <f>'BD Team'!B14</f>
        <v>W4-A</v>
      </c>
      <c r="C9" s="118" t="str">
        <f>'BD Team'!C14</f>
        <v>M15000</v>
      </c>
      <c r="D9" s="118" t="str">
        <f>'BD Team'!D14</f>
        <v>FIXED GLASS 3 NO'S</v>
      </c>
      <c r="E9" s="118" t="str">
        <f>'BD Team'!F14</f>
        <v>NO</v>
      </c>
      <c r="F9" s="121" t="str">
        <f>'BD Team'!G14</f>
        <v>FF - GREAT ROOM</v>
      </c>
      <c r="G9" s="118">
        <f>'BD Team'!H14</f>
        <v>6808</v>
      </c>
      <c r="H9" s="118">
        <f>'BD Team'!I14</f>
        <v>306</v>
      </c>
      <c r="I9" s="118">
        <f>'BD Team'!J14</f>
        <v>1</v>
      </c>
      <c r="J9" s="103">
        <f t="shared" si="0"/>
        <v>22.424081471999997</v>
      </c>
      <c r="K9" s="172">
        <f>'BD Team'!K14</f>
        <v>175.03</v>
      </c>
      <c r="L9" s="171">
        <f t="shared" si="1"/>
        <v>175.03</v>
      </c>
      <c r="M9" s="170">
        <f>L9*'Changable Values'!$D$4</f>
        <v>14527.49</v>
      </c>
      <c r="N9" s="170" t="str">
        <f>'BD Team'!E14</f>
        <v>10MM</v>
      </c>
      <c r="O9" s="172">
        <v>1589</v>
      </c>
      <c r="P9" s="241"/>
      <c r="Q9" s="173"/>
      <c r="R9" s="185"/>
      <c r="S9" s="312"/>
      <c r="T9" s="313">
        <f t="shared" si="2"/>
        <v>47.426666666666669</v>
      </c>
      <c r="U9" s="313">
        <f t="shared" si="3"/>
        <v>56.911999999999999</v>
      </c>
      <c r="V9" s="313">
        <f t="shared" si="4"/>
        <v>2.9641666666666668</v>
      </c>
      <c r="W9" s="313">
        <f t="shared" si="5"/>
        <v>47.426666666666669</v>
      </c>
      <c r="X9" s="313">
        <f t="shared" si="6"/>
        <v>94.853333333333339</v>
      </c>
      <c r="Y9" s="313">
        <f t="shared" si="7"/>
        <v>28.456</v>
      </c>
    </row>
    <row r="10" spans="1:25">
      <c r="A10" s="118">
        <f>'BD Team'!A15</f>
        <v>7</v>
      </c>
      <c r="B10" s="118" t="str">
        <f>'BD Team'!B15</f>
        <v>W4-B</v>
      </c>
      <c r="C10" s="118" t="str">
        <f>'BD Team'!C15</f>
        <v>M15000</v>
      </c>
      <c r="D10" s="118" t="str">
        <f>'BD Team'!D15</f>
        <v>FIXED GLASS IN SHAPE</v>
      </c>
      <c r="E10" s="118" t="str">
        <f>'BD Team'!F15</f>
        <v>NO</v>
      </c>
      <c r="F10" s="121" t="str">
        <f>'BD Team'!G15</f>
        <v>FF - GREAT ROOM</v>
      </c>
      <c r="G10" s="118">
        <f>'BD Team'!H15</f>
        <v>2807</v>
      </c>
      <c r="H10" s="118">
        <f>'BD Team'!I15</f>
        <v>629</v>
      </c>
      <c r="I10" s="118">
        <f>'BD Team'!J15</f>
        <v>1</v>
      </c>
      <c r="J10" s="103">
        <f t="shared" si="0"/>
        <v>19.004950691999998</v>
      </c>
      <c r="K10" s="172">
        <f>'BD Team'!K15</f>
        <v>100.9</v>
      </c>
      <c r="L10" s="171">
        <f t="shared" si="1"/>
        <v>100.9</v>
      </c>
      <c r="M10" s="170">
        <f>L10*'Changable Values'!$D$4</f>
        <v>8374.7000000000007</v>
      </c>
      <c r="N10" s="170" t="str">
        <f>'BD Team'!E15</f>
        <v>10MM</v>
      </c>
      <c r="O10" s="172">
        <v>1589</v>
      </c>
      <c r="P10" s="241"/>
      <c r="Q10" s="173"/>
      <c r="R10" s="185"/>
      <c r="S10" s="312"/>
      <c r="T10" s="313">
        <f t="shared" si="2"/>
        <v>22.906666666666666</v>
      </c>
      <c r="U10" s="313">
        <f t="shared" si="3"/>
        <v>27.488</v>
      </c>
      <c r="V10" s="313">
        <f t="shared" si="4"/>
        <v>1.4316666666666666</v>
      </c>
      <c r="W10" s="313">
        <f t="shared" si="5"/>
        <v>22.906666666666666</v>
      </c>
      <c r="X10" s="313">
        <f t="shared" si="6"/>
        <v>45.813333333333333</v>
      </c>
      <c r="Y10" s="313">
        <f t="shared" si="7"/>
        <v>13.744</v>
      </c>
    </row>
    <row r="11" spans="1:25">
      <c r="A11" s="118">
        <f>'BD Team'!A16</f>
        <v>8</v>
      </c>
      <c r="B11" s="118" t="str">
        <f>'BD Team'!B16</f>
        <v>W4-C</v>
      </c>
      <c r="C11" s="118" t="str">
        <f>'BD Team'!C16</f>
        <v>M15000</v>
      </c>
      <c r="D11" s="118" t="str">
        <f>'BD Team'!D16</f>
        <v>FIXED GLASS IN SHAPE</v>
      </c>
      <c r="E11" s="118" t="str">
        <f>'BD Team'!F16</f>
        <v>NO</v>
      </c>
      <c r="F11" s="121" t="str">
        <f>'BD Team'!G16</f>
        <v>FF - GREAT ROOM</v>
      </c>
      <c r="G11" s="118">
        <f>'BD Team'!H16</f>
        <v>610</v>
      </c>
      <c r="H11" s="118">
        <f>'BD Team'!I16</f>
        <v>3270</v>
      </c>
      <c r="I11" s="118">
        <f>'BD Team'!J16</f>
        <v>1</v>
      </c>
      <c r="J11" s="103">
        <f t="shared" si="0"/>
        <v>21.470950799999997</v>
      </c>
      <c r="K11" s="172">
        <f>'BD Team'!K16</f>
        <v>89.48</v>
      </c>
      <c r="L11" s="171">
        <f t="shared" si="1"/>
        <v>89.48</v>
      </c>
      <c r="M11" s="170">
        <f>L11*'Changable Values'!$D$4</f>
        <v>7426.84</v>
      </c>
      <c r="N11" s="170" t="str">
        <f>'BD Team'!E16</f>
        <v>10MM</v>
      </c>
      <c r="O11" s="172">
        <v>1589</v>
      </c>
      <c r="P11" s="241"/>
      <c r="Q11" s="173"/>
      <c r="R11" s="185"/>
      <c r="S11" s="312"/>
      <c r="T11" s="313">
        <f t="shared" si="2"/>
        <v>25.866666666666667</v>
      </c>
      <c r="U11" s="313">
        <f t="shared" si="3"/>
        <v>31.04</v>
      </c>
      <c r="V11" s="313">
        <f t="shared" si="4"/>
        <v>1.6166666666666667</v>
      </c>
      <c r="W11" s="313">
        <f t="shared" si="5"/>
        <v>25.866666666666667</v>
      </c>
      <c r="X11" s="313">
        <f t="shared" si="6"/>
        <v>51.733333333333334</v>
      </c>
      <c r="Y11" s="313">
        <f t="shared" si="7"/>
        <v>15.52</v>
      </c>
    </row>
    <row r="12" spans="1:25" ht="28.5">
      <c r="A12" s="118">
        <f>'BD Team'!A17</f>
        <v>9</v>
      </c>
      <c r="B12" s="118" t="str">
        <f>'BD Team'!B17</f>
        <v>SW1</v>
      </c>
      <c r="C12" s="118" t="str">
        <f>'BD Team'!C17</f>
        <v>M900</v>
      </c>
      <c r="D12" s="118" t="str">
        <f>'BD Team'!D17</f>
        <v>3 TRACK 2 SHUTTER SLIDING WINDOW</v>
      </c>
      <c r="E12" s="118" t="str">
        <f>'BD Team'!F17</f>
        <v>SS</v>
      </c>
      <c r="F12" s="121" t="str">
        <f>'BD Team'!G17</f>
        <v>GF - STAFF RECEPTION ROOM</v>
      </c>
      <c r="G12" s="118">
        <f>'BD Team'!H17</f>
        <v>1170</v>
      </c>
      <c r="H12" s="118">
        <f>'BD Team'!I17</f>
        <v>1372</v>
      </c>
      <c r="I12" s="118">
        <f>'BD Team'!J17</f>
        <v>1</v>
      </c>
      <c r="J12" s="103">
        <f t="shared" si="0"/>
        <v>17.278803359999998</v>
      </c>
      <c r="K12" s="172">
        <f>'BD Team'!K17</f>
        <v>152.89999999999998</v>
      </c>
      <c r="L12" s="171">
        <f t="shared" si="1"/>
        <v>152.89999999999998</v>
      </c>
      <c r="M12" s="170">
        <f>L12*'Changable Values'!$D$4</f>
        <v>12690.699999999999</v>
      </c>
      <c r="N12" s="170" t="str">
        <f>'BD Team'!E17</f>
        <v>20MM</v>
      </c>
      <c r="O12" s="172">
        <v>2538</v>
      </c>
      <c r="P12" s="241"/>
      <c r="Q12" s="173">
        <f t="shared" ref="Q12:Q21" si="8">50*10.764</f>
        <v>538.19999999999993</v>
      </c>
      <c r="R12" s="185"/>
      <c r="S12" s="312"/>
      <c r="T12" s="313">
        <f t="shared" si="2"/>
        <v>16.946666666666665</v>
      </c>
      <c r="U12" s="313">
        <f t="shared" si="3"/>
        <v>20.335999999999999</v>
      </c>
      <c r="V12" s="313">
        <f t="shared" si="4"/>
        <v>1.0591666666666666</v>
      </c>
      <c r="W12" s="313">
        <f t="shared" si="5"/>
        <v>16.946666666666665</v>
      </c>
      <c r="X12" s="313">
        <f t="shared" si="6"/>
        <v>33.893333333333331</v>
      </c>
      <c r="Y12" s="313">
        <f t="shared" si="7"/>
        <v>10.167999999999999</v>
      </c>
    </row>
    <row r="13" spans="1:25">
      <c r="A13" s="118">
        <f>'BD Team'!A18</f>
        <v>10</v>
      </c>
      <c r="B13" s="118" t="str">
        <f>'BD Team'!B18</f>
        <v>SW3</v>
      </c>
      <c r="C13" s="118" t="str">
        <f>'BD Team'!C18</f>
        <v>M900</v>
      </c>
      <c r="D13" s="118" t="str">
        <f>'BD Team'!D18</f>
        <v>3 TRACK 2 SHUTTER SLIDING WINDOW</v>
      </c>
      <c r="E13" s="118" t="str">
        <f>'BD Team'!F18</f>
        <v>SS</v>
      </c>
      <c r="F13" s="121" t="str">
        <f>'BD Team'!G18</f>
        <v>GF - STUDY &amp; LIVING</v>
      </c>
      <c r="G13" s="118">
        <f>'BD Team'!H18</f>
        <v>2490</v>
      </c>
      <c r="H13" s="118">
        <f>'BD Team'!I18</f>
        <v>1524</v>
      </c>
      <c r="I13" s="118">
        <f>'BD Team'!J18</f>
        <v>1</v>
      </c>
      <c r="J13" s="103">
        <f t="shared" si="0"/>
        <v>40.846796640000001</v>
      </c>
      <c r="K13" s="172">
        <f>'BD Team'!K18</f>
        <v>206.99</v>
      </c>
      <c r="L13" s="171">
        <f t="shared" si="1"/>
        <v>206.99</v>
      </c>
      <c r="M13" s="170">
        <f>L13*'Changable Values'!$D$4</f>
        <v>17180.170000000002</v>
      </c>
      <c r="N13" s="170" t="str">
        <f>'BD Team'!E18</f>
        <v>20MM</v>
      </c>
      <c r="O13" s="172">
        <v>2538</v>
      </c>
      <c r="P13" s="241"/>
      <c r="Q13" s="173">
        <f t="shared" si="8"/>
        <v>538.19999999999993</v>
      </c>
      <c r="R13" s="185"/>
      <c r="S13" s="312"/>
      <c r="T13" s="313">
        <f t="shared" si="2"/>
        <v>26.76</v>
      </c>
      <c r="U13" s="313">
        <f t="shared" si="3"/>
        <v>32.112000000000002</v>
      </c>
      <c r="V13" s="313">
        <f t="shared" si="4"/>
        <v>1.6725000000000001</v>
      </c>
      <c r="W13" s="313">
        <f t="shared" si="5"/>
        <v>26.76</v>
      </c>
      <c r="X13" s="313">
        <f t="shared" si="6"/>
        <v>53.52</v>
      </c>
      <c r="Y13" s="313">
        <f t="shared" si="7"/>
        <v>16.056000000000001</v>
      </c>
    </row>
    <row r="14" spans="1:25">
      <c r="A14" s="118">
        <f>'BD Team'!A19</f>
        <v>11</v>
      </c>
      <c r="B14" s="118" t="str">
        <f>'BD Team'!B19</f>
        <v>SW4</v>
      </c>
      <c r="C14" s="118" t="str">
        <f>'BD Team'!C19</f>
        <v>M14600</v>
      </c>
      <c r="D14" s="118" t="str">
        <f>'BD Team'!D19</f>
        <v>3 TRACK 2 SHUTTER SLIDING DOOR</v>
      </c>
      <c r="E14" s="118" t="str">
        <f>'BD Team'!F19</f>
        <v>SS</v>
      </c>
      <c r="F14" s="121" t="str">
        <f>'BD Team'!G19</f>
        <v>GF - FAMILY AREA</v>
      </c>
      <c r="G14" s="118">
        <f>'BD Team'!H19</f>
        <v>2946</v>
      </c>
      <c r="H14" s="118">
        <f>'BD Team'!I19</f>
        <v>2134</v>
      </c>
      <c r="I14" s="118">
        <f>'BD Team'!J19</f>
        <v>1</v>
      </c>
      <c r="J14" s="103">
        <f t="shared" si="0"/>
        <v>67.670727696</v>
      </c>
      <c r="K14" s="172">
        <f>'BD Team'!K19</f>
        <v>446</v>
      </c>
      <c r="L14" s="171">
        <f t="shared" si="1"/>
        <v>446</v>
      </c>
      <c r="M14" s="170">
        <f>L14*'Changable Values'!$D$4</f>
        <v>37018</v>
      </c>
      <c r="N14" s="170" t="str">
        <f>'BD Team'!E19</f>
        <v>24MM</v>
      </c>
      <c r="O14" s="172">
        <v>2938</v>
      </c>
      <c r="P14" s="241"/>
      <c r="Q14" s="173">
        <f t="shared" si="8"/>
        <v>538.19999999999993</v>
      </c>
      <c r="R14" s="185"/>
      <c r="S14" s="312"/>
      <c r="T14" s="313">
        <f t="shared" si="2"/>
        <v>33.866666666666667</v>
      </c>
      <c r="U14" s="313">
        <f t="shared" si="3"/>
        <v>40.64</v>
      </c>
      <c r="V14" s="313">
        <f t="shared" si="4"/>
        <v>2.1166666666666667</v>
      </c>
      <c r="W14" s="313">
        <f t="shared" si="5"/>
        <v>33.866666666666667</v>
      </c>
      <c r="X14" s="313">
        <f t="shared" si="6"/>
        <v>67.733333333333334</v>
      </c>
      <c r="Y14" s="313">
        <f t="shared" si="7"/>
        <v>20.32</v>
      </c>
    </row>
    <row r="15" spans="1:25">
      <c r="A15" s="118">
        <f>'BD Team'!A20</f>
        <v>12</v>
      </c>
      <c r="B15" s="118" t="str">
        <f>'BD Team'!B20</f>
        <v>SW5</v>
      </c>
      <c r="C15" s="118" t="str">
        <f>'BD Team'!C20</f>
        <v>M14600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GF - STUDY ROOM</v>
      </c>
      <c r="G15" s="118">
        <f>'BD Team'!H20</f>
        <v>3302</v>
      </c>
      <c r="H15" s="118">
        <f>'BD Team'!I20</f>
        <v>1372</v>
      </c>
      <c r="I15" s="118">
        <f>'BD Team'!J20</f>
        <v>1</v>
      </c>
      <c r="J15" s="103">
        <f t="shared" si="0"/>
        <v>48.764622815999999</v>
      </c>
      <c r="K15" s="172">
        <f>'BD Team'!K20</f>
        <v>392.71</v>
      </c>
      <c r="L15" s="171">
        <f t="shared" si="1"/>
        <v>392.71</v>
      </c>
      <c r="M15" s="170">
        <f>L15*'Changable Values'!$D$4</f>
        <v>32594.929999999997</v>
      </c>
      <c r="N15" s="170" t="str">
        <f>'BD Team'!E20</f>
        <v>24MM</v>
      </c>
      <c r="O15" s="172">
        <v>2938</v>
      </c>
      <c r="P15" s="241"/>
      <c r="Q15" s="173">
        <f t="shared" si="8"/>
        <v>538.19999999999993</v>
      </c>
      <c r="R15" s="185"/>
      <c r="S15" s="312"/>
      <c r="T15" s="313">
        <f t="shared" si="2"/>
        <v>31.16</v>
      </c>
      <c r="U15" s="313">
        <f t="shared" si="3"/>
        <v>37.392000000000003</v>
      </c>
      <c r="V15" s="313">
        <f t="shared" si="4"/>
        <v>1.9475</v>
      </c>
      <c r="W15" s="313">
        <f t="shared" si="5"/>
        <v>31.16</v>
      </c>
      <c r="X15" s="313">
        <f t="shared" si="6"/>
        <v>62.32</v>
      </c>
      <c r="Y15" s="313">
        <f t="shared" si="7"/>
        <v>18.696000000000002</v>
      </c>
    </row>
    <row r="16" spans="1:25" ht="28.5">
      <c r="A16" s="118">
        <f>'BD Team'!A21</f>
        <v>13</v>
      </c>
      <c r="B16" s="118" t="str">
        <f>'BD Team'!B21</f>
        <v>SW6</v>
      </c>
      <c r="C16" s="118" t="str">
        <f>'BD Team'!C21</f>
        <v>M900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GF - STAFF RECEPTION ROOM</v>
      </c>
      <c r="G16" s="118">
        <f>'BD Team'!H21</f>
        <v>1322</v>
      </c>
      <c r="H16" s="118">
        <f>'BD Team'!I21</f>
        <v>1372</v>
      </c>
      <c r="I16" s="118">
        <f>'BD Team'!J21</f>
        <v>1</v>
      </c>
      <c r="J16" s="103">
        <f t="shared" si="0"/>
        <v>19.523570975999998</v>
      </c>
      <c r="K16" s="172">
        <f>'BD Team'!K21</f>
        <v>158.1</v>
      </c>
      <c r="L16" s="171">
        <f t="shared" si="1"/>
        <v>158.1</v>
      </c>
      <c r="M16" s="170">
        <f>L16*'Changable Values'!$D$4</f>
        <v>13122.3</v>
      </c>
      <c r="N16" s="170" t="str">
        <f>'BD Team'!E21</f>
        <v>20MM</v>
      </c>
      <c r="O16" s="172">
        <v>2538</v>
      </c>
      <c r="P16" s="241"/>
      <c r="Q16" s="173">
        <f t="shared" si="8"/>
        <v>538.19999999999993</v>
      </c>
      <c r="R16" s="185"/>
      <c r="S16" s="312"/>
      <c r="T16" s="313">
        <f t="shared" si="2"/>
        <v>17.96</v>
      </c>
      <c r="U16" s="313">
        <f t="shared" si="3"/>
        <v>21.552</v>
      </c>
      <c r="V16" s="313">
        <f t="shared" si="4"/>
        <v>1.1225000000000001</v>
      </c>
      <c r="W16" s="313">
        <f t="shared" si="5"/>
        <v>17.96</v>
      </c>
      <c r="X16" s="313">
        <f t="shared" si="6"/>
        <v>35.92</v>
      </c>
      <c r="Y16" s="313">
        <f t="shared" si="7"/>
        <v>10.776</v>
      </c>
    </row>
    <row r="17" spans="1:25">
      <c r="A17" s="118">
        <f>'BD Team'!A22</f>
        <v>14</v>
      </c>
      <c r="B17" s="118" t="str">
        <f>'BD Team'!B22</f>
        <v>SW7</v>
      </c>
      <c r="C17" s="118" t="str">
        <f>'BD Team'!C22</f>
        <v>M14600</v>
      </c>
      <c r="D17" s="118" t="str">
        <f>'BD Team'!D22</f>
        <v>3 TRACK 2 SHUTTER SLIDING DOOR</v>
      </c>
      <c r="E17" s="118" t="str">
        <f>'BD Team'!F22</f>
        <v>SS</v>
      </c>
      <c r="F17" s="121" t="str">
        <f>'BD Team'!G22</f>
        <v>GF - DINING</v>
      </c>
      <c r="G17" s="118">
        <f>'BD Team'!H22</f>
        <v>3861</v>
      </c>
      <c r="H17" s="118">
        <f>'BD Team'!I22</f>
        <v>2134</v>
      </c>
      <c r="I17" s="118">
        <f>'BD Team'!J22</f>
        <v>1</v>
      </c>
      <c r="J17" s="103">
        <f t="shared" si="0"/>
        <v>88.688621736000002</v>
      </c>
      <c r="K17" s="172">
        <f>'BD Team'!K22</f>
        <v>1046.47</v>
      </c>
      <c r="L17" s="171">
        <f t="shared" si="1"/>
        <v>1046.47</v>
      </c>
      <c r="M17" s="170">
        <f>L17*'Changable Values'!$D$4</f>
        <v>86857.010000000009</v>
      </c>
      <c r="N17" s="170" t="str">
        <f>'BD Team'!E22</f>
        <v>24MM</v>
      </c>
      <c r="O17" s="172">
        <v>2938</v>
      </c>
      <c r="P17" s="241"/>
      <c r="Q17" s="173">
        <f t="shared" si="8"/>
        <v>538.19999999999993</v>
      </c>
      <c r="R17" s="185"/>
      <c r="S17" s="312"/>
      <c r="T17" s="313">
        <f t="shared" si="2"/>
        <v>39.966666666666669</v>
      </c>
      <c r="U17" s="313">
        <f t="shared" si="3"/>
        <v>47.96</v>
      </c>
      <c r="V17" s="313">
        <f t="shared" si="4"/>
        <v>2.4979166666666668</v>
      </c>
      <c r="W17" s="313">
        <f t="shared" si="5"/>
        <v>39.966666666666669</v>
      </c>
      <c r="X17" s="313">
        <f t="shared" si="6"/>
        <v>79.933333333333337</v>
      </c>
      <c r="Y17" s="313">
        <f t="shared" si="7"/>
        <v>23.98</v>
      </c>
    </row>
    <row r="18" spans="1:25">
      <c r="A18" s="118">
        <f>'BD Team'!A23</f>
        <v>15</v>
      </c>
      <c r="B18" s="118" t="str">
        <f>'BD Team'!B23</f>
        <v>SW8</v>
      </c>
      <c r="C18" s="118" t="str">
        <f>'BD Team'!C23</f>
        <v>M14600</v>
      </c>
      <c r="D18" s="118" t="str">
        <f>'BD Team'!D23</f>
        <v>3 TRACK 2 SHUTTER SLIDING DOOR</v>
      </c>
      <c r="E18" s="118" t="str">
        <f>'BD Team'!F23</f>
        <v>SS</v>
      </c>
      <c r="F18" s="121" t="str">
        <f>'BD Team'!G23</f>
        <v>GF - POOJA ROOM</v>
      </c>
      <c r="G18" s="118">
        <f>'BD Team'!H23</f>
        <v>1372</v>
      </c>
      <c r="H18" s="118">
        <f>'BD Team'!I23</f>
        <v>2134</v>
      </c>
      <c r="I18" s="118">
        <f>'BD Team'!J23</f>
        <v>1</v>
      </c>
      <c r="J18" s="103">
        <f t="shared" si="0"/>
        <v>31.515355871999997</v>
      </c>
      <c r="K18" s="172">
        <f>'BD Team'!K23</f>
        <v>352.59</v>
      </c>
      <c r="L18" s="171">
        <f t="shared" si="1"/>
        <v>352.59</v>
      </c>
      <c r="M18" s="170">
        <f>L18*'Changable Values'!$D$4</f>
        <v>29264.969999999998</v>
      </c>
      <c r="N18" s="170" t="str">
        <f>'BD Team'!E23</f>
        <v>24MM</v>
      </c>
      <c r="O18" s="172">
        <v>2938</v>
      </c>
      <c r="P18" s="241"/>
      <c r="Q18" s="173">
        <f t="shared" si="8"/>
        <v>538.19999999999993</v>
      </c>
      <c r="R18" s="185"/>
      <c r="S18" s="312"/>
      <c r="T18" s="313">
        <f t="shared" si="2"/>
        <v>23.373333333333335</v>
      </c>
      <c r="U18" s="313">
        <f t="shared" si="3"/>
        <v>28.047999999999998</v>
      </c>
      <c r="V18" s="313">
        <f t="shared" si="4"/>
        <v>1.4608333333333334</v>
      </c>
      <c r="W18" s="313">
        <f t="shared" si="5"/>
        <v>23.373333333333335</v>
      </c>
      <c r="X18" s="313">
        <f t="shared" si="6"/>
        <v>46.74666666666667</v>
      </c>
      <c r="Y18" s="313">
        <f t="shared" si="7"/>
        <v>14.023999999999999</v>
      </c>
    </row>
    <row r="19" spans="1:25">
      <c r="A19" s="118">
        <f>'BD Team'!A24</f>
        <v>16</v>
      </c>
      <c r="B19" s="118" t="str">
        <f>'BD Team'!B24</f>
        <v>SW9</v>
      </c>
      <c r="C19" s="118" t="str">
        <f>'BD Team'!C24</f>
        <v>M900</v>
      </c>
      <c r="D19" s="118" t="str">
        <f>'BD Team'!D24</f>
        <v>3 TRACK 2 SHUTTER SLIDING WINDOW</v>
      </c>
      <c r="E19" s="118" t="str">
        <f>'BD Team'!F24</f>
        <v>SS</v>
      </c>
      <c r="F19" s="121" t="str">
        <f>'BD Team'!G24</f>
        <v>GF - KITCHEN</v>
      </c>
      <c r="G19" s="118">
        <f>'BD Team'!H24</f>
        <v>1778</v>
      </c>
      <c r="H19" s="118">
        <f>'BD Team'!I24</f>
        <v>1372</v>
      </c>
      <c r="I19" s="118">
        <f>'BD Team'!J24</f>
        <v>1</v>
      </c>
      <c r="J19" s="103">
        <f t="shared" si="0"/>
        <v>26.257873823999997</v>
      </c>
      <c r="K19" s="172">
        <f>'BD Team'!K24</f>
        <v>173.7</v>
      </c>
      <c r="L19" s="171">
        <f t="shared" si="1"/>
        <v>173.7</v>
      </c>
      <c r="M19" s="170">
        <f>L19*'Changable Values'!$D$4</f>
        <v>14417.099999999999</v>
      </c>
      <c r="N19" s="170" t="str">
        <f>'BD Team'!E24</f>
        <v>20MM</v>
      </c>
      <c r="O19" s="172">
        <v>2538</v>
      </c>
      <c r="P19" s="241"/>
      <c r="Q19" s="173">
        <f t="shared" si="8"/>
        <v>538.19999999999993</v>
      </c>
      <c r="R19" s="185"/>
      <c r="S19" s="312"/>
      <c r="T19" s="313">
        <f t="shared" si="2"/>
        <v>21</v>
      </c>
      <c r="U19" s="313">
        <f t="shared" si="3"/>
        <v>25.2</v>
      </c>
      <c r="V19" s="313">
        <f t="shared" si="4"/>
        <v>1.3125</v>
      </c>
      <c r="W19" s="313">
        <f t="shared" si="5"/>
        <v>21</v>
      </c>
      <c r="X19" s="313">
        <f t="shared" si="6"/>
        <v>42</v>
      </c>
      <c r="Y19" s="313">
        <f t="shared" si="7"/>
        <v>12.6</v>
      </c>
    </row>
    <row r="20" spans="1:25">
      <c r="A20" s="118">
        <f>'BD Team'!A25</f>
        <v>17</v>
      </c>
      <c r="B20" s="118" t="str">
        <f>'BD Team'!B25</f>
        <v>SW10</v>
      </c>
      <c r="C20" s="118" t="str">
        <f>'BD Team'!C25</f>
        <v>M14600</v>
      </c>
      <c r="D20" s="118" t="str">
        <f>'BD Team'!D25</f>
        <v>3 TRACK 2 SHUTTER SLIDING WINDOW</v>
      </c>
      <c r="E20" s="118" t="str">
        <f>'BD Team'!F25</f>
        <v>SS</v>
      </c>
      <c r="F20" s="121" t="str">
        <f>'BD Team'!G25</f>
        <v>FF - FAMILY ROOM</v>
      </c>
      <c r="G20" s="118">
        <f>'BD Team'!H25</f>
        <v>3862</v>
      </c>
      <c r="H20" s="118">
        <f>'BD Team'!I25</f>
        <v>1678</v>
      </c>
      <c r="I20" s="118">
        <f>'BD Team'!J25</f>
        <v>1</v>
      </c>
      <c r="J20" s="103">
        <f t="shared" si="0"/>
        <v>69.755413103999999</v>
      </c>
      <c r="K20" s="172">
        <f>'BD Team'!K25</f>
        <v>449.45</v>
      </c>
      <c r="L20" s="171">
        <f t="shared" si="1"/>
        <v>449.45</v>
      </c>
      <c r="M20" s="170">
        <f>L20*'Changable Values'!$D$4</f>
        <v>37304.35</v>
      </c>
      <c r="N20" s="170" t="str">
        <f>'BD Team'!E25</f>
        <v>24MM</v>
      </c>
      <c r="O20" s="172">
        <v>2938</v>
      </c>
      <c r="P20" s="241"/>
      <c r="Q20" s="173">
        <f t="shared" si="8"/>
        <v>538.19999999999993</v>
      </c>
      <c r="R20" s="185"/>
      <c r="S20" s="312"/>
      <c r="T20" s="313">
        <f t="shared" si="2"/>
        <v>36.93333333333333</v>
      </c>
      <c r="U20" s="313">
        <f t="shared" si="3"/>
        <v>44.32</v>
      </c>
      <c r="V20" s="313">
        <f t="shared" si="4"/>
        <v>2.3083333333333331</v>
      </c>
      <c r="W20" s="313">
        <f t="shared" si="5"/>
        <v>36.93333333333333</v>
      </c>
      <c r="X20" s="313">
        <f t="shared" si="6"/>
        <v>73.86666666666666</v>
      </c>
      <c r="Y20" s="313">
        <f t="shared" si="7"/>
        <v>22.16</v>
      </c>
    </row>
    <row r="21" spans="1:25">
      <c r="A21" s="118">
        <f>'BD Team'!A26</f>
        <v>18</v>
      </c>
      <c r="B21" s="118" t="str">
        <f>'BD Team'!B26</f>
        <v>SW11</v>
      </c>
      <c r="C21" s="118" t="str">
        <f>'BD Team'!C26</f>
        <v>M14600</v>
      </c>
      <c r="D21" s="118" t="str">
        <f>'BD Team'!D26</f>
        <v>3 TRACK 2 SHUTTER SLIDING WINDOW</v>
      </c>
      <c r="E21" s="118" t="str">
        <f>'BD Team'!F26</f>
        <v>SS</v>
      </c>
      <c r="F21" s="121" t="str">
        <f>'BD Team'!G26</f>
        <v>FF - BAR</v>
      </c>
      <c r="G21" s="118">
        <f>'BD Team'!H26</f>
        <v>3302</v>
      </c>
      <c r="H21" s="118">
        <f>'BD Team'!I26</f>
        <v>1830</v>
      </c>
      <c r="I21" s="118">
        <f>'BD Team'!J26</f>
        <v>1</v>
      </c>
      <c r="J21" s="103">
        <f t="shared" si="0"/>
        <v>65.043192239999996</v>
      </c>
      <c r="K21" s="172">
        <f>'BD Team'!K26</f>
        <v>429.01</v>
      </c>
      <c r="L21" s="171">
        <f t="shared" si="1"/>
        <v>429.01</v>
      </c>
      <c r="M21" s="170">
        <f>L21*'Changable Values'!$D$4</f>
        <v>35607.83</v>
      </c>
      <c r="N21" s="170" t="str">
        <f>'BD Team'!E26</f>
        <v>24MM</v>
      </c>
      <c r="O21" s="172">
        <v>2938</v>
      </c>
      <c r="P21" s="241"/>
      <c r="Q21" s="173">
        <f t="shared" si="8"/>
        <v>538.19999999999993</v>
      </c>
      <c r="R21" s="185"/>
      <c r="S21" s="312"/>
      <c r="T21" s="313">
        <f t="shared" si="2"/>
        <v>34.213333333333331</v>
      </c>
      <c r="U21" s="313">
        <f t="shared" si="3"/>
        <v>41.055999999999997</v>
      </c>
      <c r="V21" s="313">
        <f t="shared" si="4"/>
        <v>2.1383333333333332</v>
      </c>
      <c r="W21" s="313">
        <f t="shared" si="5"/>
        <v>34.213333333333331</v>
      </c>
      <c r="X21" s="313">
        <f t="shared" si="6"/>
        <v>68.426666666666662</v>
      </c>
      <c r="Y21" s="313">
        <f t="shared" si="7"/>
        <v>20.527999999999999</v>
      </c>
    </row>
    <row r="22" spans="1:25">
      <c r="A22" s="118">
        <f>'BD Team'!A27</f>
        <v>19</v>
      </c>
      <c r="B22" s="118" t="str">
        <f>'BD Team'!B27</f>
        <v>SFW1</v>
      </c>
      <c r="C22" s="118" t="str">
        <f>'BD Team'!C27</f>
        <v>M9800</v>
      </c>
      <c r="D22" s="118" t="str">
        <f>'BD Team'!D27</f>
        <v>5 LEAF SLIDING FOLDING WINDOW</v>
      </c>
      <c r="E22" s="118" t="str">
        <f>'BD Team'!F27</f>
        <v>NO</v>
      </c>
      <c r="F22" s="121" t="str">
        <f>'BD Team'!G27</f>
        <v>FF - FAMILY ROOM</v>
      </c>
      <c r="G22" s="118">
        <f>'BD Team'!H27</f>
        <v>4572</v>
      </c>
      <c r="H22" s="118">
        <f>'BD Team'!I27</f>
        <v>1830</v>
      </c>
      <c r="I22" s="118">
        <f>'BD Team'!J27</f>
        <v>1</v>
      </c>
      <c r="J22" s="103">
        <f t="shared" si="0"/>
        <v>90.059804639999996</v>
      </c>
      <c r="K22" s="172">
        <f>'BD Team'!K27</f>
        <v>1177.47</v>
      </c>
      <c r="L22" s="171">
        <f t="shared" si="1"/>
        <v>1177.47</v>
      </c>
      <c r="M22" s="170">
        <f>L22*'Changable Values'!$D$4</f>
        <v>97730.010000000009</v>
      </c>
      <c r="N22" s="170" t="str">
        <f>'BD Team'!E27</f>
        <v>24MM</v>
      </c>
      <c r="O22" s="172">
        <v>2938</v>
      </c>
      <c r="P22" s="241"/>
      <c r="Q22" s="173"/>
      <c r="R22" s="185"/>
      <c r="S22" s="312"/>
      <c r="T22" s="313">
        <f t="shared" si="2"/>
        <v>42.68</v>
      </c>
      <c r="U22" s="313">
        <f t="shared" si="3"/>
        <v>51.216000000000001</v>
      </c>
      <c r="V22" s="313">
        <f t="shared" si="4"/>
        <v>2.6675</v>
      </c>
      <c r="W22" s="313">
        <f t="shared" si="5"/>
        <v>42.68</v>
      </c>
      <c r="X22" s="313">
        <f t="shared" si="6"/>
        <v>85.36</v>
      </c>
      <c r="Y22" s="313">
        <f t="shared" si="7"/>
        <v>25.608000000000001</v>
      </c>
    </row>
    <row r="23" spans="1:25">
      <c r="A23" s="118">
        <f>'BD Team'!A28</f>
        <v>20</v>
      </c>
      <c r="B23" s="118" t="str">
        <f>'BD Team'!B28</f>
        <v>CW1-A</v>
      </c>
      <c r="C23" s="118" t="str">
        <f>'BD Team'!C28</f>
        <v>M15000</v>
      </c>
      <c r="D23" s="118" t="str">
        <f>'BD Team'!D28</f>
        <v>SIDE HUNG WITH FIXED GLASS</v>
      </c>
      <c r="E23" s="118" t="str">
        <f>'BD Team'!F28</f>
        <v>NO</v>
      </c>
      <c r="F23" s="121" t="str">
        <f>'BD Team'!G28</f>
        <v>GF - KITCHEN</v>
      </c>
      <c r="G23" s="118">
        <f>'BD Team'!H28</f>
        <v>3759</v>
      </c>
      <c r="H23" s="118">
        <f>'BD Team'!I28</f>
        <v>1372</v>
      </c>
      <c r="I23" s="118">
        <f>'BD Team'!J28</f>
        <v>1</v>
      </c>
      <c r="J23" s="103">
        <f t="shared" si="0"/>
        <v>55.51369387199999</v>
      </c>
      <c r="K23" s="172">
        <f>'BD Team'!K28</f>
        <v>477.56</v>
      </c>
      <c r="L23" s="171">
        <f t="shared" si="1"/>
        <v>477.56</v>
      </c>
      <c r="M23" s="170">
        <f>L23*'Changable Values'!$D$4</f>
        <v>39637.480000000003</v>
      </c>
      <c r="N23" s="170" t="str">
        <f>'BD Team'!E28</f>
        <v>24MM</v>
      </c>
      <c r="O23" s="172">
        <v>2938</v>
      </c>
      <c r="P23" s="241"/>
      <c r="Q23" s="173"/>
      <c r="R23" s="185"/>
      <c r="S23" s="312"/>
      <c r="T23" s="313">
        <f t="shared" si="2"/>
        <v>34.206666666666663</v>
      </c>
      <c r="U23" s="313">
        <f t="shared" si="3"/>
        <v>41.048000000000002</v>
      </c>
      <c r="V23" s="313">
        <f t="shared" si="4"/>
        <v>2.1379166666666665</v>
      </c>
      <c r="W23" s="313">
        <f t="shared" si="5"/>
        <v>34.206666666666663</v>
      </c>
      <c r="X23" s="313">
        <f t="shared" si="6"/>
        <v>68.413333333333327</v>
      </c>
      <c r="Y23" s="313">
        <f t="shared" si="7"/>
        <v>20.524000000000001</v>
      </c>
    </row>
    <row r="24" spans="1:25">
      <c r="A24" s="118">
        <f>'BD Team'!A29</f>
        <v>21</v>
      </c>
      <c r="B24" s="118" t="str">
        <f>'BD Team'!B29</f>
        <v>W5</v>
      </c>
      <c r="C24" s="118" t="str">
        <f>'BD Team'!C29</f>
        <v>M15000</v>
      </c>
      <c r="D24" s="118" t="str">
        <f>'BD Team'!D29</f>
        <v>FIXED GLASS</v>
      </c>
      <c r="E24" s="118" t="str">
        <f>'BD Team'!F29</f>
        <v>NO</v>
      </c>
      <c r="F24" s="121" t="str">
        <f>'BD Team'!G29</f>
        <v>COURT - 4</v>
      </c>
      <c r="G24" s="118">
        <f>'BD Team'!H29</f>
        <v>610</v>
      </c>
      <c r="H24" s="118">
        <f>'BD Team'!I29</f>
        <v>2134</v>
      </c>
      <c r="I24" s="118">
        <f>'BD Team'!J29</f>
        <v>1</v>
      </c>
      <c r="J24" s="103">
        <f t="shared" si="0"/>
        <v>14.01192936</v>
      </c>
      <c r="K24" s="172">
        <f>'BD Team'!K29</f>
        <v>49.48</v>
      </c>
      <c r="L24" s="171">
        <f t="shared" si="1"/>
        <v>49.48</v>
      </c>
      <c r="M24" s="170">
        <f>L24*'Changable Values'!$D$4</f>
        <v>4106.84</v>
      </c>
      <c r="N24" s="170" t="str">
        <f>'BD Team'!E29</f>
        <v>24MM</v>
      </c>
      <c r="O24" s="172">
        <v>2938</v>
      </c>
      <c r="P24" s="241"/>
      <c r="Q24" s="173"/>
      <c r="R24" s="185"/>
      <c r="S24" s="312"/>
      <c r="T24" s="313">
        <f t="shared" si="2"/>
        <v>18.293333333333333</v>
      </c>
      <c r="U24" s="313">
        <f t="shared" si="3"/>
        <v>21.952000000000002</v>
      </c>
      <c r="V24" s="313">
        <f t="shared" si="4"/>
        <v>1.1433333333333333</v>
      </c>
      <c r="W24" s="313">
        <f t="shared" si="5"/>
        <v>18.293333333333333</v>
      </c>
      <c r="X24" s="313">
        <f t="shared" si="6"/>
        <v>36.586666666666666</v>
      </c>
      <c r="Y24" s="313">
        <f t="shared" si="7"/>
        <v>10.976000000000001</v>
      </c>
    </row>
    <row r="25" spans="1:25">
      <c r="A25" s="118">
        <f>'BD Team'!A30</f>
        <v>22</v>
      </c>
      <c r="B25" s="118" t="str">
        <f>'BD Team'!B30</f>
        <v>CW2-A</v>
      </c>
      <c r="C25" s="118" t="str">
        <f>'BD Team'!C30</f>
        <v>M14600</v>
      </c>
      <c r="D25" s="118" t="str">
        <f>'BD Team'!D30</f>
        <v>3 TRACK 2 SHUTTER SLIDING WINDOW</v>
      </c>
      <c r="E25" s="118" t="str">
        <f>'BD Team'!F30</f>
        <v>SS</v>
      </c>
      <c r="F25" s="121" t="str">
        <f>'BD Team'!G30</f>
        <v>GF - MBR &amp; FF - BR 1</v>
      </c>
      <c r="G25" s="118">
        <f>'BD Team'!H30</f>
        <v>1524</v>
      </c>
      <c r="H25" s="118">
        <f>'BD Team'!I30</f>
        <v>1678</v>
      </c>
      <c r="I25" s="118">
        <f>'BD Team'!J30</f>
        <v>2</v>
      </c>
      <c r="J25" s="103">
        <f t="shared" si="0"/>
        <v>55.052951615999994</v>
      </c>
      <c r="K25" s="172">
        <f>'BD Team'!K30</f>
        <v>311.45</v>
      </c>
      <c r="L25" s="171">
        <f t="shared" si="1"/>
        <v>622.9</v>
      </c>
      <c r="M25" s="170">
        <f>L25*'Changable Values'!$D$4</f>
        <v>51700.7</v>
      </c>
      <c r="N25" s="170" t="str">
        <f>'BD Team'!E30</f>
        <v>24MM</v>
      </c>
      <c r="O25" s="172">
        <v>2938</v>
      </c>
      <c r="P25" s="241"/>
      <c r="Q25" s="173">
        <f t="shared" ref="Q25" si="9">50*10.764</f>
        <v>538.19999999999993</v>
      </c>
      <c r="R25" s="185"/>
      <c r="S25" s="312"/>
      <c r="T25" s="313">
        <f t="shared" si="2"/>
        <v>42.693333333333335</v>
      </c>
      <c r="U25" s="313">
        <f t="shared" si="3"/>
        <v>51.231999999999999</v>
      </c>
      <c r="V25" s="313">
        <f t="shared" si="4"/>
        <v>2.6683333333333334</v>
      </c>
      <c r="W25" s="313">
        <f t="shared" si="5"/>
        <v>42.693333333333335</v>
      </c>
      <c r="X25" s="313">
        <f t="shared" si="6"/>
        <v>85.38666666666667</v>
      </c>
      <c r="Y25" s="313">
        <f t="shared" si="7"/>
        <v>25.616</v>
      </c>
    </row>
    <row r="26" spans="1:25">
      <c r="A26" s="118">
        <f>'BD Team'!A31</f>
        <v>23</v>
      </c>
      <c r="B26" s="118" t="str">
        <f>'BD Team'!B31</f>
        <v>CW2-B</v>
      </c>
      <c r="C26" s="118" t="str">
        <f>'BD Team'!C31</f>
        <v>M15000</v>
      </c>
      <c r="D26" s="118" t="str">
        <f>'BD Team'!D31</f>
        <v>FIXED GLASS CORNOR WINDOW</v>
      </c>
      <c r="E26" s="118" t="str">
        <f>'BD Team'!F31</f>
        <v>NO</v>
      </c>
      <c r="F26" s="121" t="str">
        <f>'BD Team'!G31</f>
        <v>GF - MBR &amp; FF - BR 1</v>
      </c>
      <c r="G26" s="118">
        <f>'BD Team'!H31</f>
        <v>2924</v>
      </c>
      <c r="H26" s="118">
        <f>'BD Team'!I31</f>
        <v>1678</v>
      </c>
      <c r="I26" s="118">
        <f>'BD Team'!J31</f>
        <v>2</v>
      </c>
      <c r="J26" s="103">
        <f t="shared" si="0"/>
        <v>105.62652921599999</v>
      </c>
      <c r="K26" s="172">
        <f>'BD Team'!K31</f>
        <v>77.33</v>
      </c>
      <c r="L26" s="171">
        <f t="shared" si="1"/>
        <v>154.66</v>
      </c>
      <c r="M26" s="170">
        <f>L26*'Changable Values'!$D$4</f>
        <v>12836.779999999999</v>
      </c>
      <c r="N26" s="170" t="str">
        <f>'BD Team'!E31</f>
        <v>24MM</v>
      </c>
      <c r="O26" s="172">
        <v>2938</v>
      </c>
      <c r="P26" s="241"/>
      <c r="Q26" s="173"/>
      <c r="R26" s="185"/>
      <c r="S26" s="312"/>
      <c r="T26" s="313">
        <f t="shared" si="2"/>
        <v>61.36</v>
      </c>
      <c r="U26" s="313">
        <f t="shared" si="3"/>
        <v>73.632000000000005</v>
      </c>
      <c r="V26" s="313">
        <f t="shared" si="4"/>
        <v>3.835</v>
      </c>
      <c r="W26" s="313">
        <f t="shared" si="5"/>
        <v>61.36</v>
      </c>
      <c r="X26" s="313">
        <f t="shared" si="6"/>
        <v>122.72</v>
      </c>
      <c r="Y26" s="313">
        <f t="shared" si="7"/>
        <v>36.816000000000003</v>
      </c>
    </row>
    <row r="27" spans="1:25">
      <c r="A27" s="118">
        <f>'BD Team'!A32</f>
        <v>24</v>
      </c>
      <c r="B27" s="118" t="str">
        <f>'BD Team'!B32</f>
        <v>CW2-C</v>
      </c>
      <c r="C27" s="118" t="str">
        <f>'BD Team'!C32</f>
        <v>M14600</v>
      </c>
      <c r="D27" s="118" t="str">
        <f>'BD Team'!D32</f>
        <v>3 TRACK 2 SHUTTER SLIDING WINDOW</v>
      </c>
      <c r="E27" s="118" t="str">
        <f>'BD Team'!F32</f>
        <v>SS</v>
      </c>
      <c r="F27" s="121" t="str">
        <f>'BD Team'!G32</f>
        <v>GF - MBR &amp; FF - BR 1</v>
      </c>
      <c r="G27" s="118">
        <f>'BD Team'!H32</f>
        <v>1830</v>
      </c>
      <c r="H27" s="118">
        <f>'BD Team'!I32</f>
        <v>1678</v>
      </c>
      <c r="I27" s="118">
        <f>'BD Team'!J32</f>
        <v>2</v>
      </c>
      <c r="J27" s="103">
        <f t="shared" si="0"/>
        <v>66.106890719999996</v>
      </c>
      <c r="K27" s="172">
        <f>'BD Team'!K32</f>
        <v>329.66</v>
      </c>
      <c r="L27" s="171">
        <f t="shared" si="1"/>
        <v>659.32</v>
      </c>
      <c r="M27" s="170">
        <f>L27*'Changable Values'!$D$4</f>
        <v>54723.560000000005</v>
      </c>
      <c r="N27" s="170" t="str">
        <f>'BD Team'!E32</f>
        <v>24MM</v>
      </c>
      <c r="O27" s="172">
        <v>2938</v>
      </c>
      <c r="P27" s="241"/>
      <c r="Q27" s="173">
        <f t="shared" ref="Q27:Q28" si="10">50*10.764</f>
        <v>538.19999999999993</v>
      </c>
      <c r="R27" s="185"/>
      <c r="S27" s="312"/>
      <c r="T27" s="313">
        <f t="shared" si="2"/>
        <v>46.773333333333333</v>
      </c>
      <c r="U27" s="313">
        <f t="shared" si="3"/>
        <v>56.128</v>
      </c>
      <c r="V27" s="313">
        <f t="shared" si="4"/>
        <v>2.9233333333333333</v>
      </c>
      <c r="W27" s="313">
        <f t="shared" si="5"/>
        <v>46.773333333333333</v>
      </c>
      <c r="X27" s="313">
        <f t="shared" si="6"/>
        <v>93.546666666666667</v>
      </c>
      <c r="Y27" s="313">
        <f t="shared" si="7"/>
        <v>28.064</v>
      </c>
    </row>
    <row r="28" spans="1:25">
      <c r="A28" s="118">
        <f>'BD Team'!A33</f>
        <v>25</v>
      </c>
      <c r="B28" s="118" t="str">
        <f>'BD Team'!B33</f>
        <v>CW3-A</v>
      </c>
      <c r="C28" s="118" t="str">
        <f>'BD Team'!C33</f>
        <v>M14600</v>
      </c>
      <c r="D28" s="118" t="str">
        <f>'BD Team'!D33</f>
        <v>3 TRACK 2 SHUTTER SLIDING WINDOW</v>
      </c>
      <c r="E28" s="118" t="str">
        <f>'BD Team'!F33</f>
        <v>SS</v>
      </c>
      <c r="F28" s="121" t="str">
        <f>'BD Team'!G33</f>
        <v>GF - GBR &amp; FF - BR 2</v>
      </c>
      <c r="G28" s="118">
        <f>'BD Team'!H33</f>
        <v>1830</v>
      </c>
      <c r="H28" s="118">
        <f>'BD Team'!I33</f>
        <v>1678</v>
      </c>
      <c r="I28" s="118">
        <f>'BD Team'!J33</f>
        <v>2</v>
      </c>
      <c r="J28" s="103">
        <f t="shared" si="0"/>
        <v>66.106890719999996</v>
      </c>
      <c r="K28" s="172">
        <f>'BD Team'!K33</f>
        <v>329.66</v>
      </c>
      <c r="L28" s="171">
        <f t="shared" si="1"/>
        <v>659.32</v>
      </c>
      <c r="M28" s="170">
        <f>L28*'Changable Values'!$D$4</f>
        <v>54723.560000000005</v>
      </c>
      <c r="N28" s="170" t="str">
        <f>'BD Team'!E33</f>
        <v>24MM</v>
      </c>
      <c r="O28" s="172">
        <v>2938</v>
      </c>
      <c r="P28" s="241"/>
      <c r="Q28" s="173">
        <f t="shared" si="10"/>
        <v>538.19999999999993</v>
      </c>
      <c r="R28" s="185"/>
      <c r="S28" s="312"/>
      <c r="T28" s="313">
        <f t="shared" si="2"/>
        <v>46.773333333333333</v>
      </c>
      <c r="U28" s="313">
        <f t="shared" si="3"/>
        <v>56.128</v>
      </c>
      <c r="V28" s="313">
        <f t="shared" si="4"/>
        <v>2.9233333333333333</v>
      </c>
      <c r="W28" s="313">
        <f t="shared" si="5"/>
        <v>46.773333333333333</v>
      </c>
      <c r="X28" s="313">
        <f t="shared" si="6"/>
        <v>93.546666666666667</v>
      </c>
      <c r="Y28" s="313">
        <f t="shared" si="7"/>
        <v>28.064</v>
      </c>
    </row>
    <row r="29" spans="1:25">
      <c r="A29" s="118">
        <f>'BD Team'!A34</f>
        <v>26</v>
      </c>
      <c r="B29" s="118" t="str">
        <f>'BD Team'!B34</f>
        <v>CW3-B</v>
      </c>
      <c r="C29" s="118" t="str">
        <f>'BD Team'!C34</f>
        <v>M15000</v>
      </c>
      <c r="D29" s="118" t="str">
        <f>'BD Team'!D34</f>
        <v>FIXED GLASS CORNOR WINDOW</v>
      </c>
      <c r="E29" s="118" t="str">
        <f>'BD Team'!F34</f>
        <v>NO</v>
      </c>
      <c r="F29" s="121" t="str">
        <f>'BD Team'!G34</f>
        <v>GF - GBR &amp; FF - BR 2</v>
      </c>
      <c r="G29" s="118">
        <f>'BD Team'!H34</f>
        <v>2694</v>
      </c>
      <c r="H29" s="118">
        <f>'BD Team'!I34</f>
        <v>1678</v>
      </c>
      <c r="I29" s="118">
        <f>'BD Team'!J34</f>
        <v>2</v>
      </c>
      <c r="J29" s="103">
        <f t="shared" si="0"/>
        <v>97.318012895999999</v>
      </c>
      <c r="K29" s="172">
        <f>'BD Team'!K34</f>
        <v>73.89</v>
      </c>
      <c r="L29" s="171">
        <f t="shared" si="1"/>
        <v>147.78</v>
      </c>
      <c r="M29" s="170">
        <f>L29*'Changable Values'!$D$4</f>
        <v>12265.74</v>
      </c>
      <c r="N29" s="170" t="str">
        <f>'BD Team'!E34</f>
        <v>24MM</v>
      </c>
      <c r="O29" s="172">
        <v>2938</v>
      </c>
      <c r="P29" s="241"/>
      <c r="Q29" s="173"/>
      <c r="R29" s="185"/>
      <c r="S29" s="312"/>
      <c r="T29" s="313">
        <f t="shared" si="2"/>
        <v>58.293333333333337</v>
      </c>
      <c r="U29" s="313">
        <f t="shared" si="3"/>
        <v>69.951999999999998</v>
      </c>
      <c r="V29" s="313">
        <f t="shared" si="4"/>
        <v>3.6433333333333335</v>
      </c>
      <c r="W29" s="313">
        <f t="shared" si="5"/>
        <v>58.293333333333337</v>
      </c>
      <c r="X29" s="313">
        <f t="shared" si="6"/>
        <v>116.58666666666667</v>
      </c>
      <c r="Y29" s="313">
        <f t="shared" si="7"/>
        <v>34.975999999999999</v>
      </c>
    </row>
    <row r="30" spans="1:25">
      <c r="A30" s="118">
        <f>'BD Team'!A35</f>
        <v>27</v>
      </c>
      <c r="B30" s="118" t="str">
        <f>'BD Team'!B35</f>
        <v>CW3-C</v>
      </c>
      <c r="C30" s="118" t="str">
        <f>'BD Team'!C35</f>
        <v>M14600</v>
      </c>
      <c r="D30" s="118" t="str">
        <f>'BD Team'!D35</f>
        <v>3 TRACK 2 SHUTTER SLIDING WINDOW</v>
      </c>
      <c r="E30" s="118" t="str">
        <f>'BD Team'!F35</f>
        <v>SS</v>
      </c>
      <c r="F30" s="121" t="str">
        <f>'BD Team'!G35</f>
        <v>GF - GBR &amp; FF - BR 2</v>
      </c>
      <c r="G30" s="118">
        <f>'BD Team'!H35</f>
        <v>1524</v>
      </c>
      <c r="H30" s="118">
        <f>'BD Team'!I35</f>
        <v>1678</v>
      </c>
      <c r="I30" s="118">
        <f>'BD Team'!J35</f>
        <v>2</v>
      </c>
      <c r="J30" s="103">
        <f t="shared" si="0"/>
        <v>55.052951615999994</v>
      </c>
      <c r="K30" s="172">
        <f>'BD Team'!K35</f>
        <v>311.98</v>
      </c>
      <c r="L30" s="171">
        <f t="shared" si="1"/>
        <v>623.96</v>
      </c>
      <c r="M30" s="170">
        <f>L30*'Changable Values'!$D$4</f>
        <v>51788.68</v>
      </c>
      <c r="N30" s="170" t="str">
        <f>'BD Team'!E35</f>
        <v>24MM</v>
      </c>
      <c r="O30" s="172">
        <v>2938</v>
      </c>
      <c r="P30" s="241"/>
      <c r="Q30" s="173">
        <f t="shared" ref="Q30:Q31" si="11">50*10.764</f>
        <v>538.19999999999993</v>
      </c>
      <c r="R30" s="185"/>
      <c r="S30" s="312"/>
      <c r="T30" s="313">
        <f t="shared" si="2"/>
        <v>42.693333333333335</v>
      </c>
      <c r="U30" s="313">
        <f t="shared" si="3"/>
        <v>51.231999999999999</v>
      </c>
      <c r="V30" s="313">
        <f t="shared" si="4"/>
        <v>2.6683333333333334</v>
      </c>
      <c r="W30" s="313">
        <f t="shared" si="5"/>
        <v>42.693333333333335</v>
      </c>
      <c r="X30" s="313">
        <f t="shared" si="6"/>
        <v>85.38666666666667</v>
      </c>
      <c r="Y30" s="313">
        <f t="shared" si="7"/>
        <v>25.616</v>
      </c>
    </row>
    <row r="31" spans="1:25">
      <c r="A31" s="118">
        <f>'BD Team'!A36</f>
        <v>28</v>
      </c>
      <c r="B31" s="118" t="str">
        <f>'BD Team'!B36</f>
        <v>CW4-A</v>
      </c>
      <c r="C31" s="118" t="str">
        <f>'BD Team'!C36</f>
        <v>M14600</v>
      </c>
      <c r="D31" s="118" t="str">
        <f>'BD Team'!D36</f>
        <v>3 TRACK 2 SHUTTER SLIDING WINDOW</v>
      </c>
      <c r="E31" s="118" t="str">
        <f>'BD Team'!F36</f>
        <v>SS</v>
      </c>
      <c r="F31" s="121" t="str">
        <f>'BD Team'!G36</f>
        <v>GF - DINING</v>
      </c>
      <c r="G31" s="118">
        <f>'BD Team'!H36</f>
        <v>2694</v>
      </c>
      <c r="H31" s="118">
        <f>'BD Team'!I36</f>
        <v>1678</v>
      </c>
      <c r="I31" s="118">
        <f>'BD Team'!J36</f>
        <v>1</v>
      </c>
      <c r="J31" s="103">
        <f t="shared" si="0"/>
        <v>48.659006448</v>
      </c>
      <c r="K31" s="172">
        <f>'BD Team'!K36</f>
        <v>762.83</v>
      </c>
      <c r="L31" s="171">
        <f t="shared" si="1"/>
        <v>762.83</v>
      </c>
      <c r="M31" s="170">
        <f>L31*'Changable Values'!$D$4</f>
        <v>63314.890000000007</v>
      </c>
      <c r="N31" s="170" t="str">
        <f>'BD Team'!E36</f>
        <v>24MM</v>
      </c>
      <c r="O31" s="172">
        <v>2938</v>
      </c>
      <c r="P31" s="241"/>
      <c r="Q31" s="173">
        <f t="shared" si="11"/>
        <v>538.19999999999993</v>
      </c>
      <c r="R31" s="185"/>
      <c r="S31" s="312"/>
      <c r="T31" s="313">
        <f t="shared" si="2"/>
        <v>29.146666666666668</v>
      </c>
      <c r="U31" s="313">
        <f t="shared" si="3"/>
        <v>34.975999999999999</v>
      </c>
      <c r="V31" s="313">
        <f t="shared" si="4"/>
        <v>1.8216666666666668</v>
      </c>
      <c r="W31" s="313">
        <f t="shared" si="5"/>
        <v>29.146666666666668</v>
      </c>
      <c r="X31" s="313">
        <f t="shared" si="6"/>
        <v>58.293333333333337</v>
      </c>
      <c r="Y31" s="313">
        <f t="shared" si="7"/>
        <v>17.488</v>
      </c>
    </row>
    <row r="32" spans="1:25">
      <c r="A32" s="118">
        <f>'BD Team'!A37</f>
        <v>29</v>
      </c>
      <c r="B32" s="118" t="str">
        <f>'BD Team'!B37</f>
        <v>CW4-B</v>
      </c>
      <c r="C32" s="118" t="str">
        <f>'BD Team'!C37</f>
        <v>M15000</v>
      </c>
      <c r="D32" s="118" t="str">
        <f>'BD Team'!D37</f>
        <v>FIXED GLASS CORNOR WINDOW</v>
      </c>
      <c r="E32" s="118" t="str">
        <f>'BD Team'!F37</f>
        <v>NO</v>
      </c>
      <c r="F32" s="121" t="str">
        <f>'BD Team'!G37</f>
        <v>GF - DINING</v>
      </c>
      <c r="G32" s="118">
        <f>'BD Team'!H37</f>
        <v>2288</v>
      </c>
      <c r="H32" s="118">
        <f>'BD Team'!I37</f>
        <v>1678</v>
      </c>
      <c r="I32" s="118">
        <f>'BD Team'!J37</f>
        <v>1</v>
      </c>
      <c r="J32" s="103">
        <f t="shared" si="0"/>
        <v>41.325837695999994</v>
      </c>
      <c r="K32" s="172">
        <f>'BD Team'!K37</f>
        <v>67.83</v>
      </c>
      <c r="L32" s="171">
        <f t="shared" si="1"/>
        <v>67.83</v>
      </c>
      <c r="M32" s="170">
        <f>L32*'Changable Values'!$D$4</f>
        <v>5629.8899999999994</v>
      </c>
      <c r="N32" s="170" t="str">
        <f>'BD Team'!E37</f>
        <v>24MM</v>
      </c>
      <c r="O32" s="172">
        <v>2938</v>
      </c>
      <c r="P32" s="241"/>
      <c r="Q32" s="173"/>
      <c r="R32" s="185"/>
      <c r="S32" s="312"/>
      <c r="T32" s="313">
        <f t="shared" si="2"/>
        <v>26.44</v>
      </c>
      <c r="U32" s="313">
        <f t="shared" si="3"/>
        <v>31.728000000000002</v>
      </c>
      <c r="V32" s="313">
        <f t="shared" si="4"/>
        <v>1.6525000000000001</v>
      </c>
      <c r="W32" s="313">
        <f t="shared" si="5"/>
        <v>26.44</v>
      </c>
      <c r="X32" s="313">
        <f t="shared" si="6"/>
        <v>52.88</v>
      </c>
      <c r="Y32" s="313">
        <f t="shared" si="7"/>
        <v>15.864000000000001</v>
      </c>
    </row>
    <row r="33" spans="1:25">
      <c r="A33" s="118">
        <f>'BD Team'!A38</f>
        <v>30</v>
      </c>
      <c r="B33" s="118" t="str">
        <f>'BD Team'!B38</f>
        <v>CW4-C</v>
      </c>
      <c r="C33" s="118" t="str">
        <f>'BD Team'!C38</f>
        <v>M14600</v>
      </c>
      <c r="D33" s="118" t="str">
        <f>'BD Team'!D38</f>
        <v>3 TRACK 2 SHUTTER SLIDING WINDOW</v>
      </c>
      <c r="E33" s="118" t="str">
        <f>'BD Team'!F38</f>
        <v>SS</v>
      </c>
      <c r="F33" s="121" t="str">
        <f>'BD Team'!G38</f>
        <v>GF - DINING</v>
      </c>
      <c r="G33" s="118">
        <f>'BD Team'!H38</f>
        <v>1830</v>
      </c>
      <c r="H33" s="118">
        <f>'BD Team'!I38</f>
        <v>1678</v>
      </c>
      <c r="I33" s="118">
        <f>'BD Team'!J38</f>
        <v>1</v>
      </c>
      <c r="J33" s="103">
        <f t="shared" si="0"/>
        <v>33.053445359999998</v>
      </c>
      <c r="K33" s="172">
        <f>'BD Team'!K38</f>
        <v>329.66</v>
      </c>
      <c r="L33" s="171">
        <f t="shared" si="1"/>
        <v>329.66</v>
      </c>
      <c r="M33" s="170">
        <f>L33*'Changable Values'!$D$4</f>
        <v>27361.780000000002</v>
      </c>
      <c r="N33" s="170" t="str">
        <f>'BD Team'!E38</f>
        <v>24MM</v>
      </c>
      <c r="O33" s="172">
        <v>2938</v>
      </c>
      <c r="P33" s="241"/>
      <c r="Q33" s="173">
        <f>50*10.764</f>
        <v>538.19999999999993</v>
      </c>
      <c r="R33" s="185"/>
      <c r="S33" s="312"/>
      <c r="T33" s="313">
        <f t="shared" si="2"/>
        <v>23.386666666666667</v>
      </c>
      <c r="U33" s="313">
        <f t="shared" si="3"/>
        <v>28.064</v>
      </c>
      <c r="V33" s="313">
        <f t="shared" si="4"/>
        <v>1.4616666666666667</v>
      </c>
      <c r="W33" s="313">
        <f t="shared" si="5"/>
        <v>23.386666666666667</v>
      </c>
      <c r="X33" s="313">
        <f t="shared" si="6"/>
        <v>46.773333333333333</v>
      </c>
      <c r="Y33" s="313">
        <f t="shared" si="7"/>
        <v>14.032</v>
      </c>
    </row>
    <row r="34" spans="1:25" ht="28.5">
      <c r="A34" s="118">
        <f>'BD Team'!A39</f>
        <v>31</v>
      </c>
      <c r="B34" s="118" t="str">
        <f>'BD Team'!B39</f>
        <v>V1</v>
      </c>
      <c r="C34" s="118" t="str">
        <f>'BD Team'!C39</f>
        <v>M15000</v>
      </c>
      <c r="D34" s="118" t="str">
        <f>'BD Team'!D39</f>
        <v>SIDE HUNG WINDOW</v>
      </c>
      <c r="E34" s="118" t="str">
        <f>'BD Team'!F39</f>
        <v>NO</v>
      </c>
      <c r="F34" s="121" t="str">
        <f>'BD Team'!G39</f>
        <v>GF - POWDER ROOM TOILET</v>
      </c>
      <c r="G34" s="118">
        <f>'BD Team'!H39</f>
        <v>610</v>
      </c>
      <c r="H34" s="118">
        <f>'BD Team'!I39</f>
        <v>610</v>
      </c>
      <c r="I34" s="118">
        <f>'BD Team'!J39</f>
        <v>1</v>
      </c>
      <c r="J34" s="103">
        <f t="shared" si="0"/>
        <v>4.0052843999999999</v>
      </c>
      <c r="K34" s="172">
        <f>'BD Team'!K39</f>
        <v>91.26</v>
      </c>
      <c r="L34" s="171">
        <f t="shared" si="1"/>
        <v>91.26</v>
      </c>
      <c r="M34" s="170">
        <f>L34*'Changable Values'!$D$4</f>
        <v>7574.5800000000008</v>
      </c>
      <c r="N34" s="170" t="str">
        <f>'BD Team'!E39</f>
        <v>6MM (A)</v>
      </c>
      <c r="O34" s="172">
        <v>2003</v>
      </c>
      <c r="P34" s="241"/>
      <c r="Q34" s="173"/>
      <c r="R34" s="185"/>
      <c r="S34" s="312"/>
      <c r="T34" s="313">
        <f t="shared" si="2"/>
        <v>8.1333333333333329</v>
      </c>
      <c r="U34" s="313">
        <f t="shared" si="3"/>
        <v>9.76</v>
      </c>
      <c r="V34" s="313">
        <f t="shared" si="4"/>
        <v>0.5083333333333333</v>
      </c>
      <c r="W34" s="313">
        <f t="shared" si="5"/>
        <v>8.1333333333333329</v>
      </c>
      <c r="X34" s="313">
        <f t="shared" si="6"/>
        <v>16.266666666666666</v>
      </c>
      <c r="Y34" s="313">
        <f t="shared" si="7"/>
        <v>4.88</v>
      </c>
    </row>
    <row r="35" spans="1:25" ht="28.5">
      <c r="A35" s="118">
        <f>'BD Team'!A40</f>
        <v>32</v>
      </c>
      <c r="B35" s="118" t="str">
        <f>'BD Team'!B40</f>
        <v>V2</v>
      </c>
      <c r="C35" s="118" t="str">
        <f>'BD Team'!C40</f>
        <v>M15000</v>
      </c>
      <c r="D35" s="118" t="str">
        <f>'BD Team'!D40</f>
        <v>SIDE HUNG WINDOW</v>
      </c>
      <c r="E35" s="118" t="str">
        <f>'BD Team'!F40</f>
        <v>NO</v>
      </c>
      <c r="F35" s="121" t="str">
        <f>'BD Team'!G40</f>
        <v>GF - MBR, GBR &amp; FF - BR 1 &amp; BR 2</v>
      </c>
      <c r="G35" s="118">
        <f>'BD Team'!H40</f>
        <v>916</v>
      </c>
      <c r="H35" s="118">
        <f>'BD Team'!I40</f>
        <v>916</v>
      </c>
      <c r="I35" s="118">
        <f>'BD Team'!J40</f>
        <v>4</v>
      </c>
      <c r="J35" s="103">
        <f t="shared" si="0"/>
        <v>36.126395135999999</v>
      </c>
      <c r="K35" s="172">
        <f>'BD Team'!K40</f>
        <v>116.32</v>
      </c>
      <c r="L35" s="171">
        <f t="shared" si="1"/>
        <v>465.28</v>
      </c>
      <c r="M35" s="170">
        <f>L35*'Changable Values'!$D$4</f>
        <v>38618.239999999998</v>
      </c>
      <c r="N35" s="170" t="str">
        <f>'BD Team'!E40</f>
        <v>6MM (A)</v>
      </c>
      <c r="O35" s="172">
        <v>2003</v>
      </c>
      <c r="P35" s="241"/>
      <c r="Q35" s="173"/>
      <c r="R35" s="185"/>
      <c r="S35" s="312"/>
      <c r="T35" s="313">
        <f t="shared" si="2"/>
        <v>48.853333333333332</v>
      </c>
      <c r="U35" s="313">
        <f t="shared" si="3"/>
        <v>58.624000000000002</v>
      </c>
      <c r="V35" s="313">
        <f t="shared" si="4"/>
        <v>3.0533333333333332</v>
      </c>
      <c r="W35" s="313">
        <f t="shared" si="5"/>
        <v>48.853333333333332</v>
      </c>
      <c r="X35" s="313">
        <f t="shared" si="6"/>
        <v>97.706666666666663</v>
      </c>
      <c r="Y35" s="313">
        <f t="shared" si="7"/>
        <v>29.312000000000001</v>
      </c>
    </row>
    <row r="36" spans="1:25">
      <c r="A36" s="118">
        <f>'BD Team'!A41</f>
        <v>33</v>
      </c>
      <c r="B36" s="118" t="str">
        <f>'BD Team'!B41</f>
        <v>V3</v>
      </c>
      <c r="C36" s="118" t="str">
        <f>'BD Team'!C41</f>
        <v>M15000</v>
      </c>
      <c r="D36" s="118" t="str">
        <f>'BD Team'!D41</f>
        <v>FIXED GLASS 3 NO'S</v>
      </c>
      <c r="E36" s="118" t="str">
        <f>'BD Team'!F41</f>
        <v>NO</v>
      </c>
      <c r="F36" s="121" t="str">
        <f>'BD Team'!G41</f>
        <v>GF - CAR PARKING</v>
      </c>
      <c r="G36" s="118">
        <f>'BD Team'!H41</f>
        <v>7722</v>
      </c>
      <c r="H36" s="118">
        <f>'BD Team'!I41</f>
        <v>610</v>
      </c>
      <c r="I36" s="118">
        <f>'BD Team'!J41</f>
        <v>1</v>
      </c>
      <c r="J36" s="103">
        <f t="shared" si="0"/>
        <v>50.702960879999992</v>
      </c>
      <c r="K36" s="172">
        <f>'BD Team'!K41</f>
        <v>176.65</v>
      </c>
      <c r="L36" s="171">
        <f t="shared" si="1"/>
        <v>176.65</v>
      </c>
      <c r="M36" s="170">
        <f>L36*'Changable Values'!$D$4</f>
        <v>14661.95</v>
      </c>
      <c r="N36" s="170" t="str">
        <f>'BD Team'!E41</f>
        <v>24MM</v>
      </c>
      <c r="O36" s="172">
        <v>2938</v>
      </c>
      <c r="P36" s="241"/>
      <c r="Q36" s="173"/>
      <c r="R36" s="185"/>
      <c r="S36" s="312"/>
      <c r="T36" s="313">
        <f t="shared" si="2"/>
        <v>55.546666666666667</v>
      </c>
      <c r="U36" s="313">
        <f t="shared" si="3"/>
        <v>66.656000000000006</v>
      </c>
      <c r="V36" s="313">
        <f t="shared" si="4"/>
        <v>3.4716666666666667</v>
      </c>
      <c r="W36" s="313">
        <f t="shared" si="5"/>
        <v>55.546666666666667</v>
      </c>
      <c r="X36" s="313">
        <f t="shared" si="6"/>
        <v>111.09333333333333</v>
      </c>
      <c r="Y36" s="313">
        <f t="shared" si="7"/>
        <v>33.328000000000003</v>
      </c>
    </row>
    <row r="37" spans="1:25">
      <c r="A37" s="118">
        <f>'BD Team'!A42</f>
        <v>34</v>
      </c>
      <c r="B37" s="118" t="str">
        <f>'BD Team'!B42</f>
        <v>V4-A</v>
      </c>
      <c r="C37" s="118" t="str">
        <f>'BD Team'!C42</f>
        <v>M15000</v>
      </c>
      <c r="D37" s="118" t="str">
        <f>'BD Team'!D42</f>
        <v>FIXED GLASS 2 NO'S</v>
      </c>
      <c r="E37" s="118" t="str">
        <f>'BD Team'!F42</f>
        <v>NO</v>
      </c>
      <c r="F37" s="121" t="str">
        <f>'BD Team'!G42</f>
        <v>GF - CAR PARKING</v>
      </c>
      <c r="G37" s="118">
        <f>'BD Team'!H42</f>
        <v>3030</v>
      </c>
      <c r="H37" s="118">
        <f>'BD Team'!I42</f>
        <v>610</v>
      </c>
      <c r="I37" s="118">
        <f>'BD Team'!J42</f>
        <v>1</v>
      </c>
      <c r="J37" s="103">
        <f t="shared" si="0"/>
        <v>19.895101199999999</v>
      </c>
      <c r="K37" s="172">
        <f>'BD Team'!K42</f>
        <v>84.69</v>
      </c>
      <c r="L37" s="171">
        <f t="shared" si="1"/>
        <v>84.69</v>
      </c>
      <c r="M37" s="170">
        <f>L37*'Changable Values'!$D$4</f>
        <v>7029.2699999999995</v>
      </c>
      <c r="N37" s="170" t="str">
        <f>'BD Team'!E42</f>
        <v>24MM</v>
      </c>
      <c r="O37" s="172">
        <v>2938</v>
      </c>
      <c r="P37" s="241"/>
      <c r="Q37" s="173"/>
      <c r="R37" s="185"/>
      <c r="S37" s="312"/>
      <c r="T37" s="313">
        <f t="shared" si="2"/>
        <v>24.266666666666666</v>
      </c>
      <c r="U37" s="313">
        <f t="shared" si="3"/>
        <v>29.12</v>
      </c>
      <c r="V37" s="313">
        <f t="shared" si="4"/>
        <v>1.5166666666666666</v>
      </c>
      <c r="W37" s="313">
        <f t="shared" si="5"/>
        <v>24.266666666666666</v>
      </c>
      <c r="X37" s="313">
        <f t="shared" si="6"/>
        <v>48.533333333333331</v>
      </c>
      <c r="Y37" s="313">
        <f t="shared" si="7"/>
        <v>14.56</v>
      </c>
    </row>
    <row r="38" spans="1:25">
      <c r="A38" s="118">
        <f>'BD Team'!A43</f>
        <v>35</v>
      </c>
      <c r="B38" s="118" t="str">
        <f>'BD Team'!B43</f>
        <v>V4-B</v>
      </c>
      <c r="C38" s="118" t="str">
        <f>'BD Team'!C43</f>
        <v>M15000</v>
      </c>
      <c r="D38" s="118" t="str">
        <f>'BD Team'!D43</f>
        <v>FIXED GLASS 2 NO'S</v>
      </c>
      <c r="E38" s="118" t="str">
        <f>'BD Team'!F43</f>
        <v>NO</v>
      </c>
      <c r="F38" s="121" t="str">
        <f>'BD Team'!G43</f>
        <v>GF - CAR PARKING</v>
      </c>
      <c r="G38" s="118">
        <f>'BD Team'!H43</f>
        <v>3080</v>
      </c>
      <c r="H38" s="118">
        <f>'BD Team'!I43</f>
        <v>610</v>
      </c>
      <c r="I38" s="118">
        <f>'BD Team'!J43</f>
        <v>1</v>
      </c>
      <c r="J38" s="103">
        <f t="shared" si="0"/>
        <v>20.2234032</v>
      </c>
      <c r="K38" s="172">
        <f>'BD Team'!K43</f>
        <v>85.44</v>
      </c>
      <c r="L38" s="171">
        <f t="shared" si="1"/>
        <v>85.44</v>
      </c>
      <c r="M38" s="170">
        <f>L38*'Changable Values'!$D$4</f>
        <v>7091.5199999999995</v>
      </c>
      <c r="N38" s="170" t="str">
        <f>'BD Team'!E43</f>
        <v>24MM</v>
      </c>
      <c r="O38" s="172">
        <v>2938</v>
      </c>
      <c r="P38" s="241"/>
      <c r="Q38" s="173"/>
      <c r="R38" s="185"/>
      <c r="S38" s="312"/>
      <c r="T38" s="313">
        <f t="shared" si="2"/>
        <v>24.6</v>
      </c>
      <c r="U38" s="313">
        <f t="shared" si="3"/>
        <v>29.52</v>
      </c>
      <c r="V38" s="313">
        <f t="shared" si="4"/>
        <v>1.5375000000000001</v>
      </c>
      <c r="W38" s="313">
        <f t="shared" si="5"/>
        <v>24.6</v>
      </c>
      <c r="X38" s="313">
        <f t="shared" si="6"/>
        <v>49.2</v>
      </c>
      <c r="Y38" s="313">
        <f t="shared" si="7"/>
        <v>14.76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2"/>
        <v>0</v>
      </c>
      <c r="K55" s="172">
        <f>'BD Team'!K60</f>
        <v>0</v>
      </c>
      <c r="L55" s="171">
        <f t="shared" ref="L55:L103" si="1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2"/>
        <v>0</v>
      </c>
      <c r="K56" s="172">
        <f>'BD Team'!K61</f>
        <v>0</v>
      </c>
      <c r="L56" s="171">
        <f t="shared" si="1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2"/>
        <v>0</v>
      </c>
      <c r="K57" s="172">
        <f>'BD Team'!K62</f>
        <v>0</v>
      </c>
      <c r="L57" s="171">
        <f t="shared" si="1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2"/>
        <v>0</v>
      </c>
      <c r="K58" s="172">
        <f>'BD Team'!K63</f>
        <v>0</v>
      </c>
      <c r="L58" s="171">
        <f t="shared" si="1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2"/>
        <v>0</v>
      </c>
      <c r="K59" s="172">
        <f>'BD Team'!K64</f>
        <v>0</v>
      </c>
      <c r="L59" s="171">
        <f t="shared" si="1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2"/>
        <v>0</v>
      </c>
      <c r="K60" s="172">
        <f>'BD Team'!K65</f>
        <v>0</v>
      </c>
      <c r="L60" s="171">
        <f t="shared" si="1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2"/>
        <v>0</v>
      </c>
      <c r="K61" s="172">
        <f>'BD Team'!K66</f>
        <v>0</v>
      </c>
      <c r="L61" s="171">
        <f t="shared" si="1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2"/>
        <v>0</v>
      </c>
      <c r="K62" s="172">
        <f>'BD Team'!K67</f>
        <v>0</v>
      </c>
      <c r="L62" s="171">
        <f t="shared" si="1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2"/>
        <v>0</v>
      </c>
      <c r="K63" s="172">
        <f>'BD Team'!K68</f>
        <v>0</v>
      </c>
      <c r="L63" s="171">
        <f t="shared" si="1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2"/>
        <v>0</v>
      </c>
      <c r="K64" s="172">
        <f>'BD Team'!K69</f>
        <v>0</v>
      </c>
      <c r="L64" s="171">
        <f t="shared" si="1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2"/>
        <v>0</v>
      </c>
      <c r="K65" s="172">
        <f>'BD Team'!K70</f>
        <v>0</v>
      </c>
      <c r="L65" s="171">
        <f t="shared" si="1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2"/>
        <v>0</v>
      </c>
      <c r="K66" s="172">
        <f>'BD Team'!K71</f>
        <v>0</v>
      </c>
      <c r="L66" s="171">
        <f t="shared" si="1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2"/>
        <v>0</v>
      </c>
      <c r="K67" s="172">
        <f>'BD Team'!K72</f>
        <v>0</v>
      </c>
      <c r="L67" s="171">
        <f t="shared" si="1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2"/>
        <v>0</v>
      </c>
      <c r="K68" s="172">
        <f>'BD Team'!K73</f>
        <v>0</v>
      </c>
      <c r="L68" s="171">
        <f t="shared" si="1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2"/>
        <v>0</v>
      </c>
      <c r="K69" s="172">
        <f>'BD Team'!K74</f>
        <v>0</v>
      </c>
      <c r="L69" s="171">
        <f t="shared" si="1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4">(G69+H69)*I69*2/300</f>
        <v>0</v>
      </c>
      <c r="U69" s="313">
        <f t="shared" ref="U69:U103" si="15">SUM(G69:H69)*I69*2*4/1000</f>
        <v>0</v>
      </c>
      <c r="V69" s="313">
        <f t="shared" ref="V69:V103" si="16">SUM(G69:H69)*I69*5*5*4/(1000*240)</f>
        <v>0</v>
      </c>
      <c r="W69" s="313">
        <f t="shared" ref="W69:W103" si="17">T69</f>
        <v>0</v>
      </c>
      <c r="X69" s="313">
        <f t="shared" ref="X69:X103" si="18">W69*2</f>
        <v>0</v>
      </c>
      <c r="Y69" s="313">
        <f t="shared" ref="Y69:Y103" si="19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2"/>
        <v>0</v>
      </c>
      <c r="K70" s="172">
        <f>'BD Team'!K75</f>
        <v>0</v>
      </c>
      <c r="L70" s="171">
        <f t="shared" si="1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4"/>
        <v>0</v>
      </c>
      <c r="U70" s="313">
        <f t="shared" si="15"/>
        <v>0</v>
      </c>
      <c r="V70" s="313">
        <f t="shared" si="16"/>
        <v>0</v>
      </c>
      <c r="W70" s="313">
        <f t="shared" si="17"/>
        <v>0</v>
      </c>
      <c r="X70" s="313">
        <f t="shared" si="18"/>
        <v>0</v>
      </c>
      <c r="Y70" s="313">
        <f t="shared" si="19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2"/>
        <v>0</v>
      </c>
      <c r="K71" s="172">
        <f>'BD Team'!K76</f>
        <v>0</v>
      </c>
      <c r="L71" s="171">
        <f t="shared" si="1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4"/>
        <v>0</v>
      </c>
      <c r="U71" s="313">
        <f t="shared" si="15"/>
        <v>0</v>
      </c>
      <c r="V71" s="313">
        <f t="shared" si="16"/>
        <v>0</v>
      </c>
      <c r="W71" s="313">
        <f t="shared" si="17"/>
        <v>0</v>
      </c>
      <c r="X71" s="313">
        <f t="shared" si="18"/>
        <v>0</v>
      </c>
      <c r="Y71" s="313">
        <f t="shared" si="19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2"/>
        <v>0</v>
      </c>
      <c r="K72" s="172">
        <f>'BD Team'!K77</f>
        <v>0</v>
      </c>
      <c r="L72" s="171">
        <f t="shared" si="1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4"/>
        <v>0</v>
      </c>
      <c r="U72" s="313">
        <f t="shared" si="15"/>
        <v>0</v>
      </c>
      <c r="V72" s="313">
        <f t="shared" si="16"/>
        <v>0</v>
      </c>
      <c r="W72" s="313">
        <f t="shared" si="17"/>
        <v>0</v>
      </c>
      <c r="X72" s="313">
        <f t="shared" si="18"/>
        <v>0</v>
      </c>
      <c r="Y72" s="313">
        <f t="shared" si="19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2"/>
        <v>0</v>
      </c>
      <c r="K73" s="172">
        <f>'BD Team'!K78</f>
        <v>0</v>
      </c>
      <c r="L73" s="171">
        <f t="shared" si="1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4"/>
        <v>0</v>
      </c>
      <c r="U73" s="313">
        <f t="shared" si="15"/>
        <v>0</v>
      </c>
      <c r="V73" s="313">
        <f t="shared" si="16"/>
        <v>0</v>
      </c>
      <c r="W73" s="313">
        <f t="shared" si="17"/>
        <v>0</v>
      </c>
      <c r="X73" s="313">
        <f t="shared" si="18"/>
        <v>0</v>
      </c>
      <c r="Y73" s="313">
        <f t="shared" si="19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2"/>
        <v>0</v>
      </c>
      <c r="K74" s="172">
        <f>'BD Team'!K79</f>
        <v>0</v>
      </c>
      <c r="L74" s="171">
        <f t="shared" si="1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4"/>
        <v>0</v>
      </c>
      <c r="U74" s="313">
        <f t="shared" si="15"/>
        <v>0</v>
      </c>
      <c r="V74" s="313">
        <f t="shared" si="16"/>
        <v>0</v>
      </c>
      <c r="W74" s="313">
        <f t="shared" si="17"/>
        <v>0</v>
      </c>
      <c r="X74" s="313">
        <f t="shared" si="18"/>
        <v>0</v>
      </c>
      <c r="Y74" s="313">
        <f t="shared" si="19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2"/>
        <v>0</v>
      </c>
      <c r="K75" s="172">
        <f>'BD Team'!K80</f>
        <v>0</v>
      </c>
      <c r="L75" s="171">
        <f t="shared" si="1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4"/>
        <v>0</v>
      </c>
      <c r="U75" s="313">
        <f t="shared" si="15"/>
        <v>0</v>
      </c>
      <c r="V75" s="313">
        <f t="shared" si="16"/>
        <v>0</v>
      </c>
      <c r="W75" s="313">
        <f t="shared" si="17"/>
        <v>0</v>
      </c>
      <c r="X75" s="313">
        <f t="shared" si="18"/>
        <v>0</v>
      </c>
      <c r="Y75" s="313">
        <f t="shared" si="19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2"/>
        <v>0</v>
      </c>
      <c r="K76" s="172">
        <f>'BD Team'!K81</f>
        <v>0</v>
      </c>
      <c r="L76" s="171">
        <f t="shared" si="1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4"/>
        <v>0</v>
      </c>
      <c r="U76" s="313">
        <f t="shared" si="15"/>
        <v>0</v>
      </c>
      <c r="V76" s="313">
        <f t="shared" si="16"/>
        <v>0</v>
      </c>
      <c r="W76" s="313">
        <f t="shared" si="17"/>
        <v>0</v>
      </c>
      <c r="X76" s="313">
        <f t="shared" si="18"/>
        <v>0</v>
      </c>
      <c r="Y76" s="313">
        <f t="shared" si="19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2"/>
        <v>0</v>
      </c>
      <c r="K77" s="172">
        <f>'BD Team'!K82</f>
        <v>0</v>
      </c>
      <c r="L77" s="171">
        <f t="shared" si="1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4"/>
        <v>0</v>
      </c>
      <c r="U77" s="313">
        <f t="shared" si="15"/>
        <v>0</v>
      </c>
      <c r="V77" s="313">
        <f t="shared" si="16"/>
        <v>0</v>
      </c>
      <c r="W77" s="313">
        <f t="shared" si="17"/>
        <v>0</v>
      </c>
      <c r="X77" s="313">
        <f t="shared" si="18"/>
        <v>0</v>
      </c>
      <c r="Y77" s="313">
        <f t="shared" si="19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2"/>
        <v>0</v>
      </c>
      <c r="K78" s="172">
        <f>'BD Team'!K83</f>
        <v>0</v>
      </c>
      <c r="L78" s="171">
        <f t="shared" si="1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4"/>
        <v>0</v>
      </c>
      <c r="U78" s="313">
        <f t="shared" si="15"/>
        <v>0</v>
      </c>
      <c r="V78" s="313">
        <f t="shared" si="16"/>
        <v>0</v>
      </c>
      <c r="W78" s="313">
        <f t="shared" si="17"/>
        <v>0</v>
      </c>
      <c r="X78" s="313">
        <f t="shared" si="18"/>
        <v>0</v>
      </c>
      <c r="Y78" s="313">
        <f t="shared" si="19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2"/>
        <v>0</v>
      </c>
      <c r="K79" s="172">
        <f>'BD Team'!K84</f>
        <v>0</v>
      </c>
      <c r="L79" s="171">
        <f t="shared" si="1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4"/>
        <v>0</v>
      </c>
      <c r="U79" s="313">
        <f t="shared" si="15"/>
        <v>0</v>
      </c>
      <c r="V79" s="313">
        <f t="shared" si="16"/>
        <v>0</v>
      </c>
      <c r="W79" s="313">
        <f t="shared" si="17"/>
        <v>0</v>
      </c>
      <c r="X79" s="313">
        <f t="shared" si="18"/>
        <v>0</v>
      </c>
      <c r="Y79" s="313">
        <f t="shared" si="19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2"/>
        <v>0</v>
      </c>
      <c r="K80" s="172">
        <f>'BD Team'!K85</f>
        <v>0</v>
      </c>
      <c r="L80" s="171">
        <f t="shared" si="1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4"/>
        <v>0</v>
      </c>
      <c r="U80" s="313">
        <f t="shared" si="15"/>
        <v>0</v>
      </c>
      <c r="V80" s="313">
        <f t="shared" si="16"/>
        <v>0</v>
      </c>
      <c r="W80" s="313">
        <f t="shared" si="17"/>
        <v>0</v>
      </c>
      <c r="X80" s="313">
        <f t="shared" si="18"/>
        <v>0</v>
      </c>
      <c r="Y80" s="313">
        <f t="shared" si="19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2"/>
        <v>0</v>
      </c>
      <c r="K81" s="172">
        <f>'BD Team'!K86</f>
        <v>0</v>
      </c>
      <c r="L81" s="171">
        <f t="shared" si="1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4"/>
        <v>0</v>
      </c>
      <c r="U81" s="313">
        <f t="shared" si="15"/>
        <v>0</v>
      </c>
      <c r="V81" s="313">
        <f t="shared" si="16"/>
        <v>0</v>
      </c>
      <c r="W81" s="313">
        <f t="shared" si="17"/>
        <v>0</v>
      </c>
      <c r="X81" s="313">
        <f t="shared" si="18"/>
        <v>0</v>
      </c>
      <c r="Y81" s="313">
        <f t="shared" si="19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2"/>
        <v>0</v>
      </c>
      <c r="K82" s="172">
        <f>'BD Team'!K87</f>
        <v>0</v>
      </c>
      <c r="L82" s="171">
        <f t="shared" si="1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4"/>
        <v>0</v>
      </c>
      <c r="U82" s="313">
        <f t="shared" si="15"/>
        <v>0</v>
      </c>
      <c r="V82" s="313">
        <f t="shared" si="16"/>
        <v>0</v>
      </c>
      <c r="W82" s="313">
        <f t="shared" si="17"/>
        <v>0</v>
      </c>
      <c r="X82" s="313">
        <f t="shared" si="18"/>
        <v>0</v>
      </c>
      <c r="Y82" s="313">
        <f t="shared" si="19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2"/>
        <v>0</v>
      </c>
      <c r="K83" s="172">
        <f>'BD Team'!K88</f>
        <v>0</v>
      </c>
      <c r="L83" s="171">
        <f t="shared" si="1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4"/>
        <v>0</v>
      </c>
      <c r="U83" s="313">
        <f t="shared" si="15"/>
        <v>0</v>
      </c>
      <c r="V83" s="313">
        <f t="shared" si="16"/>
        <v>0</v>
      </c>
      <c r="W83" s="313">
        <f t="shared" si="17"/>
        <v>0</v>
      </c>
      <c r="X83" s="313">
        <f t="shared" si="18"/>
        <v>0</v>
      </c>
      <c r="Y83" s="313">
        <f t="shared" si="19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2"/>
        <v>0</v>
      </c>
      <c r="K84" s="172">
        <f>'BD Team'!K89</f>
        <v>0</v>
      </c>
      <c r="L84" s="171">
        <f t="shared" si="1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4"/>
        <v>0</v>
      </c>
      <c r="U84" s="313">
        <f t="shared" si="15"/>
        <v>0</v>
      </c>
      <c r="V84" s="313">
        <f t="shared" si="16"/>
        <v>0</v>
      </c>
      <c r="W84" s="313">
        <f t="shared" si="17"/>
        <v>0</v>
      </c>
      <c r="X84" s="313">
        <f t="shared" si="18"/>
        <v>0</v>
      </c>
      <c r="Y84" s="313">
        <f t="shared" si="19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2"/>
        <v>0</v>
      </c>
      <c r="K85" s="172">
        <f>'BD Team'!K90</f>
        <v>0</v>
      </c>
      <c r="L85" s="171">
        <f t="shared" si="1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4"/>
        <v>0</v>
      </c>
      <c r="U85" s="313">
        <f t="shared" si="15"/>
        <v>0</v>
      </c>
      <c r="V85" s="313">
        <f t="shared" si="16"/>
        <v>0</v>
      </c>
      <c r="W85" s="313">
        <f t="shared" si="17"/>
        <v>0</v>
      </c>
      <c r="X85" s="313">
        <f t="shared" si="18"/>
        <v>0</v>
      </c>
      <c r="Y85" s="313">
        <f t="shared" si="19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2"/>
        <v>0</v>
      </c>
      <c r="K86" s="172">
        <f>'BD Team'!K91</f>
        <v>0</v>
      </c>
      <c r="L86" s="171">
        <f t="shared" si="1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4"/>
        <v>0</v>
      </c>
      <c r="U86" s="313">
        <f t="shared" si="15"/>
        <v>0</v>
      </c>
      <c r="V86" s="313">
        <f t="shared" si="16"/>
        <v>0</v>
      </c>
      <c r="W86" s="313">
        <f t="shared" si="17"/>
        <v>0</v>
      </c>
      <c r="X86" s="313">
        <f t="shared" si="18"/>
        <v>0</v>
      </c>
      <c r="Y86" s="313">
        <f t="shared" si="19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2"/>
        <v>0</v>
      </c>
      <c r="K87" s="172">
        <f>'BD Team'!K92</f>
        <v>0</v>
      </c>
      <c r="L87" s="171">
        <f t="shared" si="1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4"/>
        <v>0</v>
      </c>
      <c r="U87" s="313">
        <f t="shared" si="15"/>
        <v>0</v>
      </c>
      <c r="V87" s="313">
        <f t="shared" si="16"/>
        <v>0</v>
      </c>
      <c r="W87" s="313">
        <f t="shared" si="17"/>
        <v>0</v>
      </c>
      <c r="X87" s="313">
        <f t="shared" si="18"/>
        <v>0</v>
      </c>
      <c r="Y87" s="313">
        <f t="shared" si="19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2"/>
        <v>0</v>
      </c>
      <c r="K88" s="172">
        <f>'BD Team'!K93</f>
        <v>0</v>
      </c>
      <c r="L88" s="171">
        <f t="shared" si="1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4"/>
        <v>0</v>
      </c>
      <c r="U88" s="313">
        <f t="shared" si="15"/>
        <v>0</v>
      </c>
      <c r="V88" s="313">
        <f t="shared" si="16"/>
        <v>0</v>
      </c>
      <c r="W88" s="313">
        <f t="shared" si="17"/>
        <v>0</v>
      </c>
      <c r="X88" s="313">
        <f t="shared" si="18"/>
        <v>0</v>
      </c>
      <c r="Y88" s="313">
        <f t="shared" si="19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2"/>
        <v>0</v>
      </c>
      <c r="K89" s="172">
        <f>'BD Team'!K94</f>
        <v>0</v>
      </c>
      <c r="L89" s="171">
        <f t="shared" si="1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4"/>
        <v>0</v>
      </c>
      <c r="U89" s="313">
        <f t="shared" si="15"/>
        <v>0</v>
      </c>
      <c r="V89" s="313">
        <f t="shared" si="16"/>
        <v>0</v>
      </c>
      <c r="W89" s="313">
        <f t="shared" si="17"/>
        <v>0</v>
      </c>
      <c r="X89" s="313">
        <f t="shared" si="18"/>
        <v>0</v>
      </c>
      <c r="Y89" s="313">
        <f t="shared" si="19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2"/>
        <v>0</v>
      </c>
      <c r="K90" s="172">
        <f>'BD Team'!K95</f>
        <v>0</v>
      </c>
      <c r="L90" s="171">
        <f t="shared" si="1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4"/>
        <v>0</v>
      </c>
      <c r="U90" s="313">
        <f t="shared" si="15"/>
        <v>0</v>
      </c>
      <c r="V90" s="313">
        <f t="shared" si="16"/>
        <v>0</v>
      </c>
      <c r="W90" s="313">
        <f t="shared" si="17"/>
        <v>0</v>
      </c>
      <c r="X90" s="313">
        <f t="shared" si="18"/>
        <v>0</v>
      </c>
      <c r="Y90" s="313">
        <f t="shared" si="19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2"/>
        <v>0</v>
      </c>
      <c r="K91" s="172">
        <f>'BD Team'!K96</f>
        <v>0</v>
      </c>
      <c r="L91" s="171">
        <f t="shared" si="1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4"/>
        <v>0</v>
      </c>
      <c r="U91" s="313">
        <f t="shared" si="15"/>
        <v>0</v>
      </c>
      <c r="V91" s="313">
        <f t="shared" si="16"/>
        <v>0</v>
      </c>
      <c r="W91" s="313">
        <f t="shared" si="17"/>
        <v>0</v>
      </c>
      <c r="X91" s="313">
        <f t="shared" si="18"/>
        <v>0</v>
      </c>
      <c r="Y91" s="313">
        <f t="shared" si="19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2"/>
        <v>0</v>
      </c>
      <c r="K92" s="172">
        <f>'BD Team'!K97</f>
        <v>0</v>
      </c>
      <c r="L92" s="171">
        <f t="shared" si="1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4"/>
        <v>0</v>
      </c>
      <c r="U92" s="313">
        <f t="shared" si="15"/>
        <v>0</v>
      </c>
      <c r="V92" s="313">
        <f t="shared" si="16"/>
        <v>0</v>
      </c>
      <c r="W92" s="313">
        <f t="shared" si="17"/>
        <v>0</v>
      </c>
      <c r="X92" s="313">
        <f t="shared" si="18"/>
        <v>0</v>
      </c>
      <c r="Y92" s="313">
        <f t="shared" si="19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2"/>
        <v>0</v>
      </c>
      <c r="K93" s="172">
        <f>'BD Team'!K98</f>
        <v>0</v>
      </c>
      <c r="L93" s="171">
        <f t="shared" si="1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4"/>
        <v>0</v>
      </c>
      <c r="U93" s="313">
        <f t="shared" si="15"/>
        <v>0</v>
      </c>
      <c r="V93" s="313">
        <f t="shared" si="16"/>
        <v>0</v>
      </c>
      <c r="W93" s="313">
        <f t="shared" si="17"/>
        <v>0</v>
      </c>
      <c r="X93" s="313">
        <f t="shared" si="18"/>
        <v>0</v>
      </c>
      <c r="Y93" s="313">
        <f t="shared" si="19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2"/>
        <v>0</v>
      </c>
      <c r="K94" s="172">
        <f>'BD Team'!K99</f>
        <v>0</v>
      </c>
      <c r="L94" s="171">
        <f t="shared" si="1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4"/>
        <v>0</v>
      </c>
      <c r="U94" s="313">
        <f t="shared" si="15"/>
        <v>0</v>
      </c>
      <c r="V94" s="313">
        <f t="shared" si="16"/>
        <v>0</v>
      </c>
      <c r="W94" s="313">
        <f t="shared" si="17"/>
        <v>0</v>
      </c>
      <c r="X94" s="313">
        <f t="shared" si="18"/>
        <v>0</v>
      </c>
      <c r="Y94" s="313">
        <f t="shared" si="19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2"/>
        <v>0</v>
      </c>
      <c r="K95" s="172">
        <f>'BD Team'!K100</f>
        <v>0</v>
      </c>
      <c r="L95" s="171">
        <f t="shared" si="1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4"/>
        <v>0</v>
      </c>
      <c r="U95" s="313">
        <f t="shared" si="15"/>
        <v>0</v>
      </c>
      <c r="V95" s="313">
        <f t="shared" si="16"/>
        <v>0</v>
      </c>
      <c r="W95" s="313">
        <f t="shared" si="17"/>
        <v>0</v>
      </c>
      <c r="X95" s="313">
        <f t="shared" si="18"/>
        <v>0</v>
      </c>
      <c r="Y95" s="313">
        <f t="shared" si="19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2"/>
        <v>0</v>
      </c>
      <c r="K96" s="172">
        <f>'BD Team'!K101</f>
        <v>0</v>
      </c>
      <c r="L96" s="171">
        <f t="shared" si="1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4"/>
        <v>0</v>
      </c>
      <c r="U96" s="313">
        <f t="shared" si="15"/>
        <v>0</v>
      </c>
      <c r="V96" s="313">
        <f t="shared" si="16"/>
        <v>0</v>
      </c>
      <c r="W96" s="313">
        <f t="shared" si="17"/>
        <v>0</v>
      </c>
      <c r="X96" s="313">
        <f t="shared" si="18"/>
        <v>0</v>
      </c>
      <c r="Y96" s="313">
        <f t="shared" si="19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2"/>
        <v>0</v>
      </c>
      <c r="K97" s="172">
        <f>'BD Team'!K102</f>
        <v>0</v>
      </c>
      <c r="L97" s="171">
        <f t="shared" si="1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4"/>
        <v>0</v>
      </c>
      <c r="U97" s="313">
        <f t="shared" si="15"/>
        <v>0</v>
      </c>
      <c r="V97" s="313">
        <f t="shared" si="16"/>
        <v>0</v>
      </c>
      <c r="W97" s="313">
        <f t="shared" si="17"/>
        <v>0</v>
      </c>
      <c r="X97" s="313">
        <f t="shared" si="18"/>
        <v>0</v>
      </c>
      <c r="Y97" s="313">
        <f t="shared" si="19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2"/>
        <v>0</v>
      </c>
      <c r="K98" s="172">
        <f>'BD Team'!K103</f>
        <v>0</v>
      </c>
      <c r="L98" s="171">
        <f t="shared" si="1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4"/>
        <v>0</v>
      </c>
      <c r="U98" s="313">
        <f t="shared" si="15"/>
        <v>0</v>
      </c>
      <c r="V98" s="313">
        <f t="shared" si="16"/>
        <v>0</v>
      </c>
      <c r="W98" s="313">
        <f t="shared" si="17"/>
        <v>0</v>
      </c>
      <c r="X98" s="313">
        <f t="shared" si="18"/>
        <v>0</v>
      </c>
      <c r="Y98" s="313">
        <f t="shared" si="19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2"/>
        <v>0</v>
      </c>
      <c r="K99" s="172">
        <f>'BD Team'!K104</f>
        <v>0</v>
      </c>
      <c r="L99" s="171">
        <f t="shared" si="1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4"/>
        <v>0</v>
      </c>
      <c r="U99" s="313">
        <f t="shared" si="15"/>
        <v>0</v>
      </c>
      <c r="V99" s="313">
        <f t="shared" si="16"/>
        <v>0</v>
      </c>
      <c r="W99" s="313">
        <f t="shared" si="17"/>
        <v>0</v>
      </c>
      <c r="X99" s="313">
        <f t="shared" si="18"/>
        <v>0</v>
      </c>
      <c r="Y99" s="313">
        <f t="shared" si="19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2"/>
        <v>0</v>
      </c>
      <c r="K100" s="172">
        <f>'BD Team'!K105</f>
        <v>0</v>
      </c>
      <c r="L100" s="171">
        <f t="shared" si="1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4"/>
        <v>0</v>
      </c>
      <c r="U100" s="313">
        <f t="shared" si="15"/>
        <v>0</v>
      </c>
      <c r="V100" s="313">
        <f t="shared" si="16"/>
        <v>0</v>
      </c>
      <c r="W100" s="313">
        <f t="shared" si="17"/>
        <v>0</v>
      </c>
      <c r="X100" s="313">
        <f t="shared" si="18"/>
        <v>0</v>
      </c>
      <c r="Y100" s="313">
        <f t="shared" si="19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2"/>
        <v>0</v>
      </c>
      <c r="K101" s="172">
        <f>'BD Team'!K106</f>
        <v>0</v>
      </c>
      <c r="L101" s="171">
        <f t="shared" si="1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4"/>
        <v>0</v>
      </c>
      <c r="U101" s="313">
        <f t="shared" si="15"/>
        <v>0</v>
      </c>
      <c r="V101" s="313">
        <f t="shared" si="16"/>
        <v>0</v>
      </c>
      <c r="W101" s="313">
        <f t="shared" si="17"/>
        <v>0</v>
      </c>
      <c r="X101" s="313">
        <f t="shared" si="18"/>
        <v>0</v>
      </c>
      <c r="Y101" s="313">
        <f t="shared" si="19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2"/>
        <v>0</v>
      </c>
      <c r="K102" s="172">
        <f>'BD Team'!K107</f>
        <v>0</v>
      </c>
      <c r="L102" s="171">
        <f t="shared" si="1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4"/>
        <v>0</v>
      </c>
      <c r="U102" s="313">
        <f t="shared" si="15"/>
        <v>0</v>
      </c>
      <c r="V102" s="313">
        <f t="shared" si="16"/>
        <v>0</v>
      </c>
      <c r="W102" s="313">
        <f t="shared" si="17"/>
        <v>0</v>
      </c>
      <c r="X102" s="313">
        <f t="shared" si="18"/>
        <v>0</v>
      </c>
      <c r="Y102" s="313">
        <f t="shared" si="19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2"/>
        <v>0</v>
      </c>
      <c r="K103" s="172">
        <f>'BD Team'!K108</f>
        <v>0</v>
      </c>
      <c r="L103" s="171">
        <f t="shared" si="1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4"/>
        <v>0</v>
      </c>
      <c r="U103" s="313">
        <f t="shared" si="15"/>
        <v>0</v>
      </c>
      <c r="V103" s="313">
        <f t="shared" si="16"/>
        <v>0</v>
      </c>
      <c r="W103" s="313">
        <f t="shared" si="17"/>
        <v>0</v>
      </c>
      <c r="X103" s="313">
        <f t="shared" si="18"/>
        <v>0</v>
      </c>
      <c r="Y103" s="313">
        <f t="shared" si="19"/>
        <v>0</v>
      </c>
    </row>
    <row r="104" spans="1:25">
      <c r="K104" s="168">
        <f>SUM(K4:K103)</f>
        <v>11242.31</v>
      </c>
      <c r="L104" s="168">
        <f>SUM(L4:L103)</f>
        <v>16290.699999999999</v>
      </c>
      <c r="M104" s="168">
        <f>SUM(M4:M103)</f>
        <v>1352128.0999999999</v>
      </c>
      <c r="T104" s="314">
        <f t="shared" ref="T104:Y104" si="20">SUM(T4:T103)</f>
        <v>1358.8400000000001</v>
      </c>
      <c r="U104" s="314">
        <f t="shared" si="20"/>
        <v>1630.6079999999999</v>
      </c>
      <c r="V104" s="314">
        <f t="shared" si="20"/>
        <v>84.927500000000009</v>
      </c>
      <c r="W104" s="314">
        <f t="shared" si="20"/>
        <v>1358.8400000000001</v>
      </c>
      <c r="X104" s="314">
        <f t="shared" si="20"/>
        <v>2717.6800000000003</v>
      </c>
      <c r="Y104" s="314">
        <f t="shared" si="20"/>
        <v>815.30399999999997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282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283</v>
      </c>
      <c r="B2" s="340">
        <f>K4</f>
        <v>1589.3639999999998</v>
      </c>
      <c r="C2" s="246" t="s">
        <v>284</v>
      </c>
      <c r="D2" s="247" t="s">
        <v>285</v>
      </c>
      <c r="E2" s="247" t="s">
        <v>137</v>
      </c>
      <c r="F2" s="248" t="s">
        <v>134</v>
      </c>
      <c r="G2" s="246" t="s">
        <v>286</v>
      </c>
      <c r="H2" s="247" t="s">
        <v>287</v>
      </c>
      <c r="I2" s="246" t="s">
        <v>288</v>
      </c>
      <c r="J2" s="247" t="s">
        <v>128</v>
      </c>
      <c r="K2" s="246" t="s">
        <v>289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1190</v>
      </c>
      <c r="D4" s="255">
        <f>C4*D3</f>
        <v>27.37</v>
      </c>
      <c r="E4" s="255">
        <f>C4*E3</f>
        <v>47.6</v>
      </c>
      <c r="F4" s="255">
        <f>C4*F3</f>
        <v>59.5</v>
      </c>
      <c r="G4" s="255">
        <f>C4+D4+E4+F4</f>
        <v>1324.4699999999998</v>
      </c>
      <c r="H4" s="255">
        <f>G4*H3</f>
        <v>264.89399999999995</v>
      </c>
      <c r="I4" s="255">
        <f>G4+H4</f>
        <v>1589.3639999999998</v>
      </c>
      <c r="J4" s="255">
        <f>I4*J3</f>
        <v>0</v>
      </c>
      <c r="K4" s="255">
        <f>I4+J4</f>
        <v>1589.3639999999998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290</v>
      </c>
      <c r="B6" s="265" t="s">
        <v>106</v>
      </c>
      <c r="C6" s="266" t="s">
        <v>291</v>
      </c>
      <c r="D6" s="265" t="s">
        <v>106</v>
      </c>
      <c r="E6" s="266" t="s">
        <v>291</v>
      </c>
      <c r="F6" s="265" t="s">
        <v>106</v>
      </c>
      <c r="G6" s="267" t="s">
        <v>286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10</v>
      </c>
      <c r="B7" s="270">
        <v>10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1190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292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293</v>
      </c>
      <c r="D10" s="272"/>
      <c r="E10" s="275" t="s">
        <v>194</v>
      </c>
      <c r="F10" s="275" t="s">
        <v>293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294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295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296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297</v>
      </c>
      <c r="B15" s="276">
        <v>8</v>
      </c>
      <c r="C15" s="278">
        <v>990</v>
      </c>
      <c r="D15" s="272"/>
      <c r="E15" s="275">
        <v>15</v>
      </c>
      <c r="F15" s="275">
        <v>800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298</v>
      </c>
      <c r="B16" s="276">
        <v>10</v>
      </c>
      <c r="C16" s="278">
        <v>1190</v>
      </c>
      <c r="D16" s="273"/>
      <c r="E16" s="279">
        <v>16</v>
      </c>
      <c r="F16" s="279">
        <v>800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299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300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301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302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303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304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305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306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307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308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309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310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311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312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313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314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315</v>
      </c>
      <c r="B33" s="283">
        <v>5</v>
      </c>
      <c r="C33" s="278">
        <v>1030</v>
      </c>
    </row>
    <row r="34" spans="1:3" ht="15" hidden="1">
      <c r="A34" s="250" t="s">
        <v>316</v>
      </c>
      <c r="B34" s="283">
        <v>5</v>
      </c>
      <c r="C34" s="278">
        <v>1030</v>
      </c>
    </row>
    <row r="35" spans="1:3" ht="15" hidden="1">
      <c r="A35" s="250" t="s">
        <v>317</v>
      </c>
      <c r="B35" s="283">
        <v>5</v>
      </c>
      <c r="C35" s="278">
        <v>1030</v>
      </c>
    </row>
    <row r="36" spans="1:3" ht="15" hidden="1">
      <c r="A36" s="250" t="s">
        <v>318</v>
      </c>
      <c r="B36" s="283">
        <v>5</v>
      </c>
      <c r="C36" s="278">
        <v>1130</v>
      </c>
    </row>
    <row r="37" spans="1:3" ht="15" hidden="1">
      <c r="A37" s="250" t="s">
        <v>319</v>
      </c>
      <c r="B37" s="283">
        <v>5</v>
      </c>
      <c r="C37" s="278">
        <v>1130</v>
      </c>
    </row>
    <row r="38" spans="1:3" ht="15" hidden="1">
      <c r="A38" s="250" t="s">
        <v>320</v>
      </c>
      <c r="B38" s="283">
        <v>5</v>
      </c>
      <c r="C38" s="278">
        <v>1030</v>
      </c>
    </row>
    <row r="39" spans="1:3" ht="15" hidden="1">
      <c r="A39" s="250" t="s">
        <v>321</v>
      </c>
      <c r="B39" s="283">
        <v>6</v>
      </c>
      <c r="C39" s="278">
        <v>1240</v>
      </c>
    </row>
    <row r="40" spans="1:3" ht="15" hidden="1">
      <c r="A40" s="250" t="s">
        <v>322</v>
      </c>
      <c r="B40" s="283">
        <v>5</v>
      </c>
      <c r="C40" s="278">
        <v>1030</v>
      </c>
    </row>
    <row r="41" spans="1:3" ht="15" hidden="1">
      <c r="A41" s="250" t="s">
        <v>323</v>
      </c>
      <c r="B41" s="283">
        <v>5</v>
      </c>
      <c r="C41" s="278">
        <v>1030</v>
      </c>
    </row>
    <row r="42" spans="1:3" ht="15" hidden="1">
      <c r="A42" s="250" t="s">
        <v>324</v>
      </c>
      <c r="B42" s="283">
        <v>5</v>
      </c>
      <c r="C42" s="278">
        <v>1030</v>
      </c>
    </row>
    <row r="43" spans="1:3" ht="15" hidden="1">
      <c r="A43" s="250" t="s">
        <v>325</v>
      </c>
      <c r="B43" s="283">
        <v>6</v>
      </c>
      <c r="C43" s="278">
        <v>1240</v>
      </c>
    </row>
    <row r="44" spans="1:3" ht="15" hidden="1">
      <c r="A44" s="250" t="s">
        <v>326</v>
      </c>
      <c r="B44" s="283">
        <v>5</v>
      </c>
      <c r="C44" s="278">
        <v>1030</v>
      </c>
    </row>
    <row r="45" spans="1:3" ht="15" hidden="1">
      <c r="A45" s="250" t="s">
        <v>326</v>
      </c>
      <c r="B45" s="283">
        <v>5</v>
      </c>
      <c r="C45" s="278">
        <v>1030</v>
      </c>
    </row>
    <row r="46" spans="1:3" ht="15" hidden="1">
      <c r="A46" s="250" t="s">
        <v>327</v>
      </c>
      <c r="B46" s="283">
        <v>5</v>
      </c>
      <c r="C46" s="278">
        <v>1030</v>
      </c>
    </row>
    <row r="47" spans="1:3" ht="15" hidden="1">
      <c r="A47" s="250" t="s">
        <v>328</v>
      </c>
      <c r="B47" s="283">
        <v>5</v>
      </c>
      <c r="C47" s="278">
        <v>1130</v>
      </c>
    </row>
    <row r="48" spans="1:3" ht="15" hidden="1">
      <c r="A48" s="250" t="s">
        <v>329</v>
      </c>
      <c r="B48" s="283">
        <v>5</v>
      </c>
      <c r="C48" s="278">
        <v>1130</v>
      </c>
    </row>
    <row r="49" spans="1:3" ht="15" hidden="1">
      <c r="A49" s="250" t="s">
        <v>330</v>
      </c>
      <c r="B49" s="283">
        <v>5</v>
      </c>
      <c r="C49" s="278">
        <v>1130</v>
      </c>
    </row>
    <row r="50" spans="1:3" ht="15" hidden="1">
      <c r="A50" s="250" t="s">
        <v>331</v>
      </c>
      <c r="B50" s="283">
        <v>5</v>
      </c>
      <c r="C50" s="278">
        <v>1305</v>
      </c>
    </row>
    <row r="51" spans="1:3" ht="15" hidden="1">
      <c r="A51" s="250" t="s">
        <v>332</v>
      </c>
      <c r="B51" s="283">
        <v>6</v>
      </c>
      <c r="C51" s="278">
        <v>1430</v>
      </c>
    </row>
    <row r="52" spans="1:3" ht="15" hidden="1">
      <c r="A52" s="250" t="s">
        <v>333</v>
      </c>
      <c r="B52" s="283">
        <v>6</v>
      </c>
      <c r="C52" s="278">
        <v>1380</v>
      </c>
    </row>
    <row r="53" spans="1:3" ht="15" hidden="1">
      <c r="A53" s="250" t="s">
        <v>334</v>
      </c>
      <c r="B53" s="283">
        <v>6</v>
      </c>
      <c r="C53" s="278">
        <v>1380</v>
      </c>
    </row>
    <row r="54" spans="1:3" ht="15" hidden="1">
      <c r="A54" s="250" t="s">
        <v>335</v>
      </c>
      <c r="B54" s="283">
        <v>6</v>
      </c>
      <c r="C54" s="278">
        <v>1380</v>
      </c>
    </row>
    <row r="55" spans="1:3" ht="15" hidden="1">
      <c r="A55" s="250" t="s">
        <v>336</v>
      </c>
      <c r="B55" s="283">
        <v>6</v>
      </c>
      <c r="C55" s="278">
        <v>1380</v>
      </c>
    </row>
    <row r="56" spans="1:3" ht="15" hidden="1">
      <c r="A56" s="250" t="s">
        <v>337</v>
      </c>
      <c r="B56" s="283">
        <v>6</v>
      </c>
      <c r="C56" s="278">
        <v>1380</v>
      </c>
    </row>
    <row r="57" spans="1:3" ht="15" hidden="1">
      <c r="A57" s="250" t="s">
        <v>338</v>
      </c>
      <c r="B57" s="283">
        <v>6</v>
      </c>
      <c r="C57" s="278">
        <v>1380</v>
      </c>
    </row>
    <row r="58" spans="1:3" ht="15" hidden="1">
      <c r="A58" s="250" t="s">
        <v>339</v>
      </c>
      <c r="B58" s="283">
        <v>6</v>
      </c>
      <c r="C58" s="278">
        <v>1380</v>
      </c>
    </row>
    <row r="59" spans="1:3" ht="15" hidden="1">
      <c r="A59" s="250" t="s">
        <v>340</v>
      </c>
      <c r="B59" s="283">
        <v>6</v>
      </c>
      <c r="C59" s="278">
        <v>1380</v>
      </c>
    </row>
    <row r="60" spans="1:3" ht="15" hidden="1">
      <c r="A60" s="250" t="s">
        <v>341</v>
      </c>
      <c r="B60" s="283">
        <v>8</v>
      </c>
      <c r="C60" s="278">
        <v>1840</v>
      </c>
    </row>
    <row r="61" spans="1:3" ht="15" hidden="1">
      <c r="A61" s="250" t="s">
        <v>342</v>
      </c>
      <c r="B61" s="283">
        <v>10</v>
      </c>
      <c r="C61" s="278">
        <v>2240</v>
      </c>
    </row>
    <row r="62" spans="1:3" ht="15" hidden="1">
      <c r="A62" s="250" t="s">
        <v>343</v>
      </c>
      <c r="B62" s="283">
        <v>12</v>
      </c>
      <c r="C62" s="278">
        <v>2700</v>
      </c>
    </row>
    <row r="63" spans="1:3" ht="15" hidden="1">
      <c r="A63" s="250" t="s">
        <v>344</v>
      </c>
      <c r="B63" s="283">
        <v>6</v>
      </c>
      <c r="C63" s="278">
        <v>1680</v>
      </c>
    </row>
    <row r="64" spans="1:3" ht="15" hidden="1">
      <c r="A64" s="250" t="s">
        <v>345</v>
      </c>
      <c r="B64" s="283">
        <v>8</v>
      </c>
      <c r="C64" s="278">
        <v>2240</v>
      </c>
    </row>
    <row r="65" spans="1:3" ht="15" hidden="1">
      <c r="A65" s="250" t="s">
        <v>346</v>
      </c>
      <c r="B65" s="283">
        <v>6</v>
      </c>
      <c r="C65" s="278">
        <v>1680</v>
      </c>
    </row>
    <row r="66" spans="1:3" ht="15" hidden="1">
      <c r="A66" s="250" t="s">
        <v>347</v>
      </c>
      <c r="B66" s="283">
        <v>6</v>
      </c>
      <c r="C66" s="278">
        <v>1650</v>
      </c>
    </row>
    <row r="67" spans="1:3" ht="15" hidden="1">
      <c r="A67" s="250" t="s">
        <v>348</v>
      </c>
      <c r="B67" s="283">
        <v>6</v>
      </c>
      <c r="C67" s="278">
        <v>1780</v>
      </c>
    </row>
    <row r="68" spans="1:3" ht="15" hidden="1">
      <c r="A68" s="250" t="s">
        <v>349</v>
      </c>
      <c r="B68" s="283">
        <v>12</v>
      </c>
      <c r="C68" s="278">
        <v>3540</v>
      </c>
    </row>
    <row r="69" spans="1:3" ht="15" hidden="1">
      <c r="A69" s="250" t="s">
        <v>350</v>
      </c>
      <c r="B69" s="283">
        <v>6</v>
      </c>
      <c r="C69" s="278">
        <v>1530</v>
      </c>
    </row>
    <row r="70" spans="1:3" ht="15" hidden="1">
      <c r="A70" s="250" t="s">
        <v>351</v>
      </c>
      <c r="B70" s="283">
        <v>8</v>
      </c>
      <c r="C70" s="278">
        <v>2070</v>
      </c>
    </row>
    <row r="71" spans="1:3" ht="15" hidden="1">
      <c r="A71" s="250" t="s">
        <v>352</v>
      </c>
      <c r="B71" s="283">
        <v>6</v>
      </c>
      <c r="C71" s="278">
        <v>1900</v>
      </c>
    </row>
    <row r="72" spans="1:3" ht="15" hidden="1">
      <c r="A72" s="250" t="s">
        <v>353</v>
      </c>
      <c r="B72" s="283">
        <v>6</v>
      </c>
      <c r="C72" s="278">
        <v>2030</v>
      </c>
    </row>
    <row r="73" spans="1:3" ht="15" hidden="1">
      <c r="A73" s="250" t="s">
        <v>354</v>
      </c>
      <c r="B73" s="283">
        <v>6</v>
      </c>
      <c r="C73" s="278">
        <v>1900</v>
      </c>
    </row>
    <row r="74" spans="1:3" ht="15" hidden="1">
      <c r="A74" s="250" t="s">
        <v>355</v>
      </c>
      <c r="B74" s="283">
        <v>6</v>
      </c>
      <c r="C74" s="278">
        <v>1900</v>
      </c>
    </row>
    <row r="75" spans="1:3" ht="15" hidden="1">
      <c r="A75" s="250" t="s">
        <v>356</v>
      </c>
      <c r="B75" s="283">
        <v>6</v>
      </c>
      <c r="C75" s="278">
        <v>1900</v>
      </c>
    </row>
    <row r="76" spans="1:3" ht="15" hidden="1">
      <c r="A76" s="250" t="s">
        <v>357</v>
      </c>
      <c r="B76" s="283">
        <v>8</v>
      </c>
      <c r="C76" s="278">
        <v>2780</v>
      </c>
    </row>
    <row r="77" spans="1:3" ht="15" hidden="1">
      <c r="A77" s="250" t="s">
        <v>358</v>
      </c>
      <c r="B77" s="283">
        <v>8</v>
      </c>
      <c r="C77" s="278">
        <v>2710</v>
      </c>
    </row>
    <row r="78" spans="1:3" ht="15" hidden="1">
      <c r="A78" s="250" t="s">
        <v>359</v>
      </c>
      <c r="B78" s="283">
        <v>8</v>
      </c>
      <c r="C78" s="278">
        <v>2007</v>
      </c>
    </row>
    <row r="79" spans="1:3" ht="15" hidden="1">
      <c r="A79" s="250" t="s">
        <v>360</v>
      </c>
      <c r="B79" s="283">
        <v>5</v>
      </c>
      <c r="C79" s="278">
        <v>1115</v>
      </c>
    </row>
    <row r="80" spans="1:3" ht="15" hidden="1">
      <c r="A80" s="250" t="s">
        <v>361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7" t="s">
        <v>71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</row>
    <row r="3" spans="2:54" ht="13.5" thickBot="1">
      <c r="L3" s="350" t="s">
        <v>279</v>
      </c>
      <c r="M3" s="350"/>
      <c r="N3" s="350"/>
      <c r="O3" s="350"/>
      <c r="U3" s="50"/>
      <c r="AB3" s="50"/>
    </row>
    <row r="4" spans="2:54" s="50" customFormat="1" ht="15" customHeight="1" thickTop="1" thickBot="1">
      <c r="B4" s="389" t="s">
        <v>72</v>
      </c>
      <c r="C4" s="375" t="s">
        <v>73</v>
      </c>
      <c r="D4" s="375" t="s">
        <v>74</v>
      </c>
      <c r="E4" s="384" t="s">
        <v>106</v>
      </c>
      <c r="F4" s="384" t="s">
        <v>75</v>
      </c>
      <c r="G4" s="384" t="s">
        <v>188</v>
      </c>
      <c r="H4" s="384" t="s">
        <v>76</v>
      </c>
      <c r="I4" s="375" t="s">
        <v>77</v>
      </c>
      <c r="J4" s="384" t="s">
        <v>78</v>
      </c>
      <c r="K4" s="384" t="s">
        <v>79</v>
      </c>
      <c r="L4" s="347" t="s">
        <v>114</v>
      </c>
      <c r="M4" s="347" t="s">
        <v>115</v>
      </c>
      <c r="N4" s="347" t="s">
        <v>9</v>
      </c>
      <c r="O4" s="347" t="s">
        <v>2</v>
      </c>
      <c r="P4" s="400" t="s">
        <v>80</v>
      </c>
      <c r="Q4" s="401"/>
      <c r="R4" s="401"/>
      <c r="S4" s="401"/>
      <c r="T4" s="401"/>
      <c r="U4" s="402"/>
      <c r="V4" s="384" t="s">
        <v>134</v>
      </c>
      <c r="W4" s="404" t="s">
        <v>189</v>
      </c>
      <c r="X4" s="147"/>
      <c r="Y4" s="147"/>
      <c r="Z4" s="147"/>
      <c r="AA4" s="147"/>
      <c r="AB4" s="147"/>
      <c r="AC4" s="404" t="s">
        <v>81</v>
      </c>
      <c r="AD4" s="408" t="s">
        <v>106</v>
      </c>
      <c r="AE4" s="398" t="s">
        <v>82</v>
      </c>
      <c r="AF4" s="380" t="s">
        <v>83</v>
      </c>
      <c r="AG4" s="381"/>
      <c r="AH4" s="398" t="s">
        <v>84</v>
      </c>
      <c r="AI4" s="398" t="s">
        <v>85</v>
      </c>
      <c r="AJ4" s="384" t="s">
        <v>237</v>
      </c>
      <c r="AK4" s="384" t="s">
        <v>238</v>
      </c>
      <c r="AL4" s="375" t="s">
        <v>86</v>
      </c>
      <c r="AM4" s="375" t="s">
        <v>87</v>
      </c>
      <c r="AN4" s="375" t="s">
        <v>88</v>
      </c>
      <c r="AO4" s="377" t="s">
        <v>89</v>
      </c>
      <c r="AP4" s="375" t="s">
        <v>109</v>
      </c>
      <c r="AQ4" s="375" t="s">
        <v>4</v>
      </c>
      <c r="AR4" s="360" t="s">
        <v>90</v>
      </c>
      <c r="AS4" s="363" t="s">
        <v>91</v>
      </c>
      <c r="AT4" s="360" t="s">
        <v>92</v>
      </c>
      <c r="AU4" s="366" t="s">
        <v>93</v>
      </c>
      <c r="AV4" s="386" t="s">
        <v>214</v>
      </c>
      <c r="AW4" s="369" t="s">
        <v>212</v>
      </c>
      <c r="AX4" s="372" t="s">
        <v>213</v>
      </c>
    </row>
    <row r="5" spans="2:54" s="50" customFormat="1" ht="26.25" thickTop="1">
      <c r="B5" s="390"/>
      <c r="C5" s="392"/>
      <c r="D5" s="392"/>
      <c r="E5" s="394"/>
      <c r="F5" s="394"/>
      <c r="G5" s="394"/>
      <c r="H5" s="394"/>
      <c r="I5" s="396"/>
      <c r="J5" s="394"/>
      <c r="K5" s="394"/>
      <c r="L5" s="348"/>
      <c r="M5" s="348"/>
      <c r="N5" s="348"/>
      <c r="O5" s="348"/>
      <c r="P5" s="40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3" t="s">
        <v>99</v>
      </c>
      <c r="V5" s="385"/>
      <c r="W5" s="405"/>
      <c r="X5" s="144" t="s">
        <v>95</v>
      </c>
      <c r="Y5" s="144" t="s">
        <v>96</v>
      </c>
      <c r="Z5" s="144" t="s">
        <v>97</v>
      </c>
      <c r="AA5" s="145" t="s">
        <v>98</v>
      </c>
      <c r="AB5" s="403" t="s">
        <v>211</v>
      </c>
      <c r="AC5" s="405"/>
      <c r="AD5" s="409"/>
      <c r="AE5" s="399"/>
      <c r="AF5" s="382"/>
      <c r="AG5" s="383"/>
      <c r="AH5" s="399"/>
      <c r="AI5" s="399"/>
      <c r="AJ5" s="385"/>
      <c r="AK5" s="385"/>
      <c r="AL5" s="376"/>
      <c r="AM5" s="376"/>
      <c r="AN5" s="376"/>
      <c r="AO5" s="378"/>
      <c r="AP5" s="376"/>
      <c r="AQ5" s="376"/>
      <c r="AR5" s="361"/>
      <c r="AS5" s="364"/>
      <c r="AT5" s="361"/>
      <c r="AU5" s="367"/>
      <c r="AV5" s="386"/>
      <c r="AW5" s="370"/>
      <c r="AX5" s="373"/>
      <c r="AZ5" s="356" t="s">
        <v>100</v>
      </c>
    </row>
    <row r="6" spans="2:54" s="50" customFormat="1" ht="16.5" customHeight="1" thickBot="1">
      <c r="B6" s="391"/>
      <c r="C6" s="393"/>
      <c r="D6" s="393"/>
      <c r="E6" s="395"/>
      <c r="F6" s="395"/>
      <c r="G6" s="395"/>
      <c r="H6" s="395"/>
      <c r="I6" s="397"/>
      <c r="J6" s="395"/>
      <c r="K6" s="395"/>
      <c r="L6" s="349"/>
      <c r="M6" s="349"/>
      <c r="N6" s="349"/>
      <c r="O6" s="349"/>
      <c r="P6" s="39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5"/>
      <c r="V6" s="157">
        <f>'Changable Values'!D9</f>
        <v>1.4999999999999999E-2</v>
      </c>
      <c r="W6" s="406"/>
      <c r="X6" s="51"/>
      <c r="Y6" s="52"/>
      <c r="Z6" s="52"/>
      <c r="AA6" s="52"/>
      <c r="AB6" s="395"/>
      <c r="AC6" s="406"/>
      <c r="AD6" s="410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9"/>
      <c r="AP6" s="53">
        <f>'Changable Values'!D23</f>
        <v>1.25</v>
      </c>
      <c r="AQ6" s="51">
        <v>0</v>
      </c>
      <c r="AR6" s="362"/>
      <c r="AS6" s="365"/>
      <c r="AT6" s="362"/>
      <c r="AU6" s="368"/>
      <c r="AV6" s="386"/>
      <c r="AW6" s="371"/>
      <c r="AX6" s="374"/>
      <c r="AZ6" s="35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8">
        <f>'Changable Values'!D14</f>
        <v>350</v>
      </c>
      <c r="AG7" s="35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SD1</v>
      </c>
      <c r="E8" s="132" t="str">
        <f>Pricing!N4</f>
        <v>24MM</v>
      </c>
      <c r="F8" s="68">
        <f>Pricing!G4</f>
        <v>3354</v>
      </c>
      <c r="G8" s="68">
        <f>Pricing!H4</f>
        <v>2438</v>
      </c>
      <c r="H8" s="100">
        <f t="shared" ref="H8:H57" si="0">(F8*G8)/1000000</f>
        <v>8.1770519999999998</v>
      </c>
      <c r="I8" s="70">
        <f>Pricing!I4</f>
        <v>1</v>
      </c>
      <c r="J8" s="69">
        <f t="shared" ref="J8" si="1">H8*I8</f>
        <v>8.1770519999999998</v>
      </c>
      <c r="K8" s="71">
        <f t="shared" ref="K8" si="2">J8*10.764</f>
        <v>88.017787727999988</v>
      </c>
      <c r="L8" s="69"/>
      <c r="M8" s="72"/>
      <c r="N8" s="72"/>
      <c r="O8" s="72">
        <f t="shared" ref="O8:O35" si="3">N8*M8*L8/1000000</f>
        <v>0</v>
      </c>
      <c r="P8" s="73">
        <f>Pricing!M4</f>
        <v>41026.9</v>
      </c>
      <c r="Q8" s="74">
        <f t="shared" ref="Q8:Q56" si="4">P8*$Q$6</f>
        <v>4102.6900000000005</v>
      </c>
      <c r="R8" s="74">
        <f t="shared" ref="R8:R56" si="5">(P8+Q8)*$R$6</f>
        <v>4964.2549000000008</v>
      </c>
      <c r="S8" s="74">
        <f t="shared" ref="S8:S56" si="6">(P8+Q8+R8)*$S$6</f>
        <v>250.46922450000002</v>
      </c>
      <c r="T8" s="74">
        <f t="shared" ref="T8:T56" si="7">(P8+Q8+R8+S8)*$T$6</f>
        <v>503.44314124499999</v>
      </c>
      <c r="U8" s="72">
        <f t="shared" ref="U8:U56" si="8">SUM(P8:T8)</f>
        <v>50847.757265745</v>
      </c>
      <c r="V8" s="74">
        <f t="shared" ref="V8:V56" si="9">U8*$V$6</f>
        <v>762.71635898617501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24024.178776000001</v>
      </c>
      <c r="AE8" s="76">
        <f>((((F8+G8)*2)/305)*I8*$AE$7)</f>
        <v>949.50819672131138</v>
      </c>
      <c r="AF8" s="343">
        <f>(((((F8*4)+(G8*4))/1000)*$AF$6*$AG$6)/300)*I8*$AF$7</f>
        <v>973.05599999999981</v>
      </c>
      <c r="AG8" s="344"/>
      <c r="AH8" s="76">
        <f>(((F8+G8))*I8/1000)*8*$AH$7</f>
        <v>34.751999999999995</v>
      </c>
      <c r="AI8" s="76">
        <f t="shared" ref="AI8:AI57" si="15">(((F8+G8)*2*I8)/1000)*2*$AI$7</f>
        <v>115.84</v>
      </c>
      <c r="AJ8" s="76">
        <f>J8*Pricing!Q4</f>
        <v>4400.8893863999992</v>
      </c>
      <c r="AK8" s="76">
        <f>J8*Pricing!R4</f>
        <v>0</v>
      </c>
      <c r="AL8" s="76">
        <f t="shared" ref="AL8:AL39" si="16">J8*$AL$6</f>
        <v>8801.7787727999985</v>
      </c>
      <c r="AM8" s="77">
        <f t="shared" ref="AM8:AM39" si="17">$AM$6*J8</f>
        <v>0</v>
      </c>
      <c r="AN8" s="76">
        <f t="shared" ref="AN8:AN39" si="18">$AN$6*J8</f>
        <v>7041.4230182399988</v>
      </c>
      <c r="AO8" s="72">
        <f t="shared" ref="AO8:AO39" si="19">SUM(U8:V8)+SUM(AC8:AI8)-AD8</f>
        <v>53683.629821452487</v>
      </c>
      <c r="AP8" s="74">
        <f t="shared" ref="AP8:AP39" si="20">AO8*$AP$6</f>
        <v>67104.537276815608</v>
      </c>
      <c r="AQ8" s="74">
        <f t="shared" ref="AQ8:AQ56" si="21">(AO8+AP8)*$AQ$6</f>
        <v>0</v>
      </c>
      <c r="AR8" s="74">
        <f t="shared" ref="AR8:AR39" si="22">SUM(AO8:AQ8)/J8</f>
        <v>14771.603152122318</v>
      </c>
      <c r="AS8" s="72">
        <f t="shared" ref="AS8:AS39" si="23">SUM(AJ8:AQ8)+AD8+AB8</f>
        <v>165056.43705170811</v>
      </c>
      <c r="AT8" s="72">
        <f t="shared" ref="AT8:AT39" si="24">AS8/J8</f>
        <v>20185.323152122321</v>
      </c>
      <c r="AU8" s="78">
        <f t="shared" ref="AU8:AU56" si="25">AT8/10.764</f>
        <v>1875.2622772317281</v>
      </c>
      <c r="AV8" s="79">
        <f t="shared" ref="AV8:AV39" si="26">K8/$K$109</f>
        <v>4.4238860954768318E-2</v>
      </c>
      <c r="AW8" s="80">
        <f t="shared" ref="AW8:AW39" si="27">(U8+V8)/(J8*10.764)</f>
        <v>586.3641311256564</v>
      </c>
      <c r="AX8" s="81">
        <f t="shared" ref="AX8:AX39" si="28">SUM(W8:AN8,AP8)/(J8*10.764)</f>
        <v>1288.8981461060714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 WITH 2 FIXED</v>
      </c>
      <c r="D9" s="131" t="str">
        <f>Pricing!B5</f>
        <v>SD2</v>
      </c>
      <c r="E9" s="132" t="str">
        <f>Pricing!N5</f>
        <v>24MM</v>
      </c>
      <c r="F9" s="68">
        <f>Pricing!G5</f>
        <v>5386</v>
      </c>
      <c r="G9" s="68">
        <f>Pricing!H5</f>
        <v>2744</v>
      </c>
      <c r="H9" s="100">
        <f t="shared" si="0"/>
        <v>14.779184000000001</v>
      </c>
      <c r="I9" s="70">
        <f>Pricing!I5</f>
        <v>2</v>
      </c>
      <c r="J9" s="69">
        <f t="shared" ref="J9:J58" si="30">H9*I9</f>
        <v>29.558368000000002</v>
      </c>
      <c r="K9" s="71">
        <f t="shared" ref="K9:K58" si="31">J9*10.764</f>
        <v>318.16627315199997</v>
      </c>
      <c r="L9" s="69"/>
      <c r="M9" s="72"/>
      <c r="N9" s="72"/>
      <c r="O9" s="72">
        <f t="shared" si="3"/>
        <v>0</v>
      </c>
      <c r="P9" s="73">
        <f>Pricing!M5</f>
        <v>159869.62</v>
      </c>
      <c r="Q9" s="74">
        <f t="shared" ref="Q9:Q14" si="32">P9*$Q$6</f>
        <v>15986.962</v>
      </c>
      <c r="R9" s="74">
        <f t="shared" ref="R9:R14" si="33">(P9+Q9)*$R$6</f>
        <v>19344.224019999998</v>
      </c>
      <c r="S9" s="74">
        <f t="shared" ref="S9:S14" si="34">(P9+Q9+R9)*$S$6</f>
        <v>976.00403009999991</v>
      </c>
      <c r="T9" s="74">
        <f t="shared" ref="T9:T14" si="35">(P9+Q9+R9+S9)*$T$6</f>
        <v>1961.7681005009999</v>
      </c>
      <c r="U9" s="72">
        <f t="shared" ref="U9:U14" si="36">SUM(P9:T9)</f>
        <v>198138.57815060101</v>
      </c>
      <c r="V9" s="74">
        <f t="shared" ref="V9:V14" si="37">U9*$V$6</f>
        <v>2972.0786722590151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86842.485184000005</v>
      </c>
      <c r="AE9" s="76">
        <f t="shared" ref="AE9:AE57" si="43">((((F9+G9)*2)/305)*I9*$AE$7)</f>
        <v>2665.5737704918033</v>
      </c>
      <c r="AF9" s="343">
        <f t="shared" ref="AF9:AF57" si="44">(((((F9*4)+(G9*4))/1000)*$AF$6*$AG$6)/300)*I9*$AF$7</f>
        <v>2731.6800000000003</v>
      </c>
      <c r="AG9" s="344"/>
      <c r="AH9" s="76">
        <f t="shared" ref="AH9:AH72" si="45">(((F9+G9))*I9/1000)*8*$AH$7</f>
        <v>97.56</v>
      </c>
      <c r="AI9" s="76">
        <f t="shared" si="15"/>
        <v>325.20000000000005</v>
      </c>
      <c r="AJ9" s="76">
        <f>J9*Pricing!Q5</f>
        <v>15908.3136576</v>
      </c>
      <c r="AK9" s="76">
        <f>J9*Pricing!R5</f>
        <v>0</v>
      </c>
      <c r="AL9" s="76">
        <f t="shared" si="16"/>
        <v>31816.627315199999</v>
      </c>
      <c r="AM9" s="77">
        <f t="shared" si="17"/>
        <v>0</v>
      </c>
      <c r="AN9" s="76">
        <f t="shared" si="18"/>
        <v>25453.301852159999</v>
      </c>
      <c r="AO9" s="72">
        <f t="shared" si="19"/>
        <v>206930.67059335182</v>
      </c>
      <c r="AP9" s="74">
        <f t="shared" si="20"/>
        <v>258663.33824168978</v>
      </c>
      <c r="AQ9" s="74">
        <f t="shared" ref="AQ9:AQ14" si="46">(AO9+AP9)*$AQ$6</f>
        <v>0</v>
      </c>
      <c r="AR9" s="74">
        <f t="shared" si="22"/>
        <v>15751.681853174085</v>
      </c>
      <c r="AS9" s="72">
        <f t="shared" si="23"/>
        <v>625614.73684400169</v>
      </c>
      <c r="AT9" s="72">
        <f t="shared" si="24"/>
        <v>21165.401853174088</v>
      </c>
      <c r="AU9" s="78">
        <f t="shared" ref="AU9:AU14" si="47">AT9/10.764</f>
        <v>1966.3138102168421</v>
      </c>
      <c r="AV9" s="79">
        <f t="shared" si="26"/>
        <v>0.1599144205028748</v>
      </c>
      <c r="AW9" s="80">
        <f t="shared" si="27"/>
        <v>632.09294571201121</v>
      </c>
      <c r="AX9" s="81">
        <f t="shared" si="28"/>
        <v>1334.2208645048308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SINGLE DOOR</v>
      </c>
      <c r="D10" s="131" t="str">
        <f>Pricing!B6</f>
        <v>W1</v>
      </c>
      <c r="E10" s="132" t="str">
        <f>Pricing!N6</f>
        <v>24MM</v>
      </c>
      <c r="F10" s="68">
        <f>Pricing!G6</f>
        <v>712</v>
      </c>
      <c r="G10" s="68">
        <f>Pricing!H6</f>
        <v>2134</v>
      </c>
      <c r="H10" s="100">
        <f t="shared" si="0"/>
        <v>1.5194080000000001</v>
      </c>
      <c r="I10" s="70">
        <f>Pricing!I6</f>
        <v>2</v>
      </c>
      <c r="J10" s="69">
        <f t="shared" si="30"/>
        <v>3.0388160000000002</v>
      </c>
      <c r="K10" s="71">
        <f t="shared" si="31"/>
        <v>32.709815423999999</v>
      </c>
      <c r="L10" s="69"/>
      <c r="M10" s="72"/>
      <c r="N10" s="72"/>
      <c r="O10" s="72">
        <f t="shared" si="3"/>
        <v>0</v>
      </c>
      <c r="P10" s="73">
        <f>Pricing!M6</f>
        <v>55116.979999999996</v>
      </c>
      <c r="Q10" s="74">
        <f t="shared" si="32"/>
        <v>5511.6980000000003</v>
      </c>
      <c r="R10" s="74">
        <f t="shared" si="33"/>
        <v>6669.1545800000004</v>
      </c>
      <c r="S10" s="74">
        <f t="shared" si="34"/>
        <v>336.4891629</v>
      </c>
      <c r="T10" s="74">
        <f t="shared" si="35"/>
        <v>676.34321742900011</v>
      </c>
      <c r="U10" s="72">
        <f t="shared" si="36"/>
        <v>68310.664960329013</v>
      </c>
      <c r="V10" s="74">
        <f t="shared" si="37"/>
        <v>1024.6599744049352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8928.041408000001</v>
      </c>
      <c r="AE10" s="76">
        <f t="shared" si="43"/>
        <v>933.11475409836055</v>
      </c>
      <c r="AF10" s="343">
        <f t="shared" si="44"/>
        <v>956.25599999999997</v>
      </c>
      <c r="AG10" s="344"/>
      <c r="AH10" s="76">
        <f t="shared" si="45"/>
        <v>34.152000000000001</v>
      </c>
      <c r="AI10" s="76">
        <f t="shared" si="15"/>
        <v>113.84</v>
      </c>
      <c r="AJ10" s="76">
        <f>J10*Pricing!Q6</f>
        <v>0</v>
      </c>
      <c r="AK10" s="76">
        <f>J10*Pricing!R6</f>
        <v>0</v>
      </c>
      <c r="AL10" s="76">
        <f t="shared" si="16"/>
        <v>3270.9815423999999</v>
      </c>
      <c r="AM10" s="77">
        <f t="shared" si="17"/>
        <v>0</v>
      </c>
      <c r="AN10" s="76">
        <f t="shared" si="18"/>
        <v>2616.7852339199999</v>
      </c>
      <c r="AO10" s="72">
        <f t="shared" si="19"/>
        <v>71372.687688832302</v>
      </c>
      <c r="AP10" s="74">
        <f t="shared" si="20"/>
        <v>89215.859611040374</v>
      </c>
      <c r="AQ10" s="74">
        <f t="shared" si="46"/>
        <v>0</v>
      </c>
      <c r="AR10" s="74">
        <f t="shared" si="22"/>
        <v>52845.762066499803</v>
      </c>
      <c r="AS10" s="72">
        <f t="shared" si="23"/>
        <v>175404.35548419267</v>
      </c>
      <c r="AT10" s="72">
        <f t="shared" si="24"/>
        <v>57721.2820664998</v>
      </c>
      <c r="AU10" s="78">
        <f t="shared" si="47"/>
        <v>5362.4379474637499</v>
      </c>
      <c r="AV10" s="79">
        <f t="shared" si="26"/>
        <v>1.6440369767872977E-2</v>
      </c>
      <c r="AW10" s="80">
        <f t="shared" si="27"/>
        <v>2119.7100636606133</v>
      </c>
      <c r="AX10" s="81">
        <f t="shared" si="28"/>
        <v>3242.7278838031375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SINGLE DOOR</v>
      </c>
      <c r="D11" s="131" t="str">
        <f>Pricing!B7</f>
        <v>W2</v>
      </c>
      <c r="E11" s="132" t="str">
        <f>Pricing!N7</f>
        <v>24MM</v>
      </c>
      <c r="F11" s="68">
        <f>Pricing!G7</f>
        <v>712</v>
      </c>
      <c r="G11" s="68">
        <f>Pricing!H7</f>
        <v>1678</v>
      </c>
      <c r="H11" s="100">
        <f t="shared" si="0"/>
        <v>1.194736</v>
      </c>
      <c r="I11" s="70">
        <f>Pricing!I7</f>
        <v>8</v>
      </c>
      <c r="J11" s="69">
        <f t="shared" si="30"/>
        <v>9.5578880000000002</v>
      </c>
      <c r="K11" s="71">
        <f t="shared" si="31"/>
        <v>102.881106432</v>
      </c>
      <c r="L11" s="69"/>
      <c r="M11" s="72"/>
      <c r="N11" s="72"/>
      <c r="O11" s="72">
        <f t="shared" si="3"/>
        <v>0</v>
      </c>
      <c r="P11" s="73">
        <f>Pricing!M7</f>
        <v>186902.72</v>
      </c>
      <c r="Q11" s="74">
        <f t="shared" si="32"/>
        <v>18690.272000000001</v>
      </c>
      <c r="R11" s="74">
        <f t="shared" si="33"/>
        <v>22615.22912</v>
      </c>
      <c r="S11" s="74">
        <f t="shared" si="34"/>
        <v>1141.0411056</v>
      </c>
      <c r="T11" s="74">
        <f t="shared" si="35"/>
        <v>2293.4926222559998</v>
      </c>
      <c r="U11" s="72">
        <f t="shared" si="36"/>
        <v>231642.75484785598</v>
      </c>
      <c r="V11" s="74">
        <f t="shared" si="37"/>
        <v>3474.6413227178396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28081.074944</v>
      </c>
      <c r="AE11" s="76">
        <f t="shared" si="43"/>
        <v>3134.4262295081967</v>
      </c>
      <c r="AF11" s="343">
        <f t="shared" si="44"/>
        <v>3212.16</v>
      </c>
      <c r="AG11" s="344"/>
      <c r="AH11" s="76">
        <f t="shared" si="45"/>
        <v>114.72</v>
      </c>
      <c r="AI11" s="76">
        <f t="shared" si="15"/>
        <v>382.40000000000003</v>
      </c>
      <c r="AJ11" s="76">
        <f>J11*Pricing!Q7</f>
        <v>0</v>
      </c>
      <c r="AK11" s="76">
        <f>J11*Pricing!R7</f>
        <v>0</v>
      </c>
      <c r="AL11" s="76">
        <f t="shared" si="16"/>
        <v>10288.1106432</v>
      </c>
      <c r="AM11" s="77">
        <f t="shared" si="17"/>
        <v>0</v>
      </c>
      <c r="AN11" s="76">
        <f t="shared" si="18"/>
        <v>8230.4885145599983</v>
      </c>
      <c r="AO11" s="72">
        <f t="shared" si="19"/>
        <v>241961.10240008199</v>
      </c>
      <c r="AP11" s="74">
        <f t="shared" si="20"/>
        <v>302451.37800010247</v>
      </c>
      <c r="AQ11" s="74">
        <f t="shared" si="46"/>
        <v>0</v>
      </c>
      <c r="AR11" s="74">
        <f t="shared" si="22"/>
        <v>56959.495696139609</v>
      </c>
      <c r="AS11" s="72">
        <f t="shared" si="23"/>
        <v>591012.15450194443</v>
      </c>
      <c r="AT11" s="72">
        <f t="shared" si="24"/>
        <v>61835.015696139606</v>
      </c>
      <c r="AU11" s="78">
        <f t="shared" si="47"/>
        <v>5744.6131267316623</v>
      </c>
      <c r="AV11" s="79">
        <f t="shared" si="26"/>
        <v>5.1709354208980048E-2</v>
      </c>
      <c r="AW11" s="80">
        <f t="shared" si="27"/>
        <v>2285.331139260019</v>
      </c>
      <c r="AX11" s="81">
        <f t="shared" si="28"/>
        <v>3459.2819874716438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 3 NO'S</v>
      </c>
      <c r="D12" s="131" t="str">
        <f>Pricing!B8</f>
        <v>W3</v>
      </c>
      <c r="E12" s="132" t="str">
        <f>Pricing!N8</f>
        <v>24MM</v>
      </c>
      <c r="F12" s="68">
        <f>Pricing!G8</f>
        <v>3864</v>
      </c>
      <c r="G12" s="68">
        <f>Pricing!H8</f>
        <v>1220</v>
      </c>
      <c r="H12" s="100">
        <f t="shared" si="0"/>
        <v>4.71408</v>
      </c>
      <c r="I12" s="70">
        <f>Pricing!I8</f>
        <v>1</v>
      </c>
      <c r="J12" s="69">
        <f t="shared" si="30"/>
        <v>4.71408</v>
      </c>
      <c r="K12" s="71">
        <f t="shared" si="31"/>
        <v>50.742357119999994</v>
      </c>
      <c r="L12" s="69"/>
      <c r="M12" s="72"/>
      <c r="N12" s="72"/>
      <c r="O12" s="72">
        <f t="shared" si="3"/>
        <v>0</v>
      </c>
      <c r="P12" s="73">
        <f>Pricing!M8</f>
        <v>12030.02</v>
      </c>
      <c r="Q12" s="74">
        <f t="shared" si="32"/>
        <v>1203.0020000000002</v>
      </c>
      <c r="R12" s="74">
        <f t="shared" si="33"/>
        <v>1455.6324200000001</v>
      </c>
      <c r="S12" s="74">
        <f t="shared" si="34"/>
        <v>73.443272100000002</v>
      </c>
      <c r="T12" s="74">
        <f t="shared" si="35"/>
        <v>147.62097692099999</v>
      </c>
      <c r="U12" s="72">
        <f t="shared" si="36"/>
        <v>14909.718669021</v>
      </c>
      <c r="V12" s="74">
        <f t="shared" si="37"/>
        <v>223.645780035315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13849.96704</v>
      </c>
      <c r="AE12" s="76">
        <f t="shared" si="43"/>
        <v>833.44262295081967</v>
      </c>
      <c r="AF12" s="343">
        <f t="shared" si="44"/>
        <v>854.11199999999997</v>
      </c>
      <c r="AG12" s="344"/>
      <c r="AH12" s="76">
        <f t="shared" si="45"/>
        <v>30.503999999999998</v>
      </c>
      <c r="AI12" s="76">
        <f t="shared" si="15"/>
        <v>101.67999999999999</v>
      </c>
      <c r="AJ12" s="76">
        <f>J12*Pricing!Q8</f>
        <v>0</v>
      </c>
      <c r="AK12" s="76">
        <f>J12*Pricing!R8</f>
        <v>0</v>
      </c>
      <c r="AL12" s="76">
        <f t="shared" si="16"/>
        <v>5074.2357119999997</v>
      </c>
      <c r="AM12" s="77">
        <f t="shared" si="17"/>
        <v>0</v>
      </c>
      <c r="AN12" s="76">
        <f t="shared" si="18"/>
        <v>4059.3885695999993</v>
      </c>
      <c r="AO12" s="72">
        <f t="shared" si="19"/>
        <v>16953.103072007132</v>
      </c>
      <c r="AP12" s="74">
        <f t="shared" si="20"/>
        <v>21191.378840008914</v>
      </c>
      <c r="AQ12" s="74">
        <f t="shared" si="46"/>
        <v>0</v>
      </c>
      <c r="AR12" s="74">
        <f t="shared" si="22"/>
        <v>8091.6068272104094</v>
      </c>
      <c r="AS12" s="72">
        <f t="shared" si="23"/>
        <v>61128.073233616044</v>
      </c>
      <c r="AT12" s="72">
        <f t="shared" si="24"/>
        <v>12967.126827210408</v>
      </c>
      <c r="AU12" s="78">
        <f t="shared" si="47"/>
        <v>1204.6754763294693</v>
      </c>
      <c r="AV12" s="79">
        <f t="shared" si="26"/>
        <v>2.5503754855619634E-2</v>
      </c>
      <c r="AW12" s="80">
        <f t="shared" si="27"/>
        <v>298.23928780579905</v>
      </c>
      <c r="AX12" s="81">
        <f t="shared" si="28"/>
        <v>906.43618852367047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 3 NO'S</v>
      </c>
      <c r="D13" s="131" t="str">
        <f>Pricing!B9</f>
        <v>W4-A</v>
      </c>
      <c r="E13" s="132" t="str">
        <f>Pricing!N9</f>
        <v>10MM</v>
      </c>
      <c r="F13" s="68">
        <f>Pricing!G9</f>
        <v>6808</v>
      </c>
      <c r="G13" s="68">
        <f>Pricing!H9</f>
        <v>306</v>
      </c>
      <c r="H13" s="100">
        <f t="shared" si="0"/>
        <v>2.0832480000000002</v>
      </c>
      <c r="I13" s="70">
        <f>Pricing!I9</f>
        <v>1</v>
      </c>
      <c r="J13" s="69">
        <f t="shared" si="30"/>
        <v>2.0832480000000002</v>
      </c>
      <c r="K13" s="71">
        <f t="shared" si="31"/>
        <v>22.424081472000001</v>
      </c>
      <c r="L13" s="69"/>
      <c r="M13" s="72"/>
      <c r="N13" s="72"/>
      <c r="O13" s="72">
        <f t="shared" si="3"/>
        <v>0</v>
      </c>
      <c r="P13" s="73">
        <f>Pricing!M9</f>
        <v>14527.49</v>
      </c>
      <c r="Q13" s="74">
        <f t="shared" si="32"/>
        <v>1452.749</v>
      </c>
      <c r="R13" s="74">
        <f t="shared" si="33"/>
        <v>1757.82629</v>
      </c>
      <c r="S13" s="74">
        <f t="shared" si="34"/>
        <v>88.690326450000001</v>
      </c>
      <c r="T13" s="74">
        <f t="shared" si="35"/>
        <v>178.26755616449998</v>
      </c>
      <c r="U13" s="72">
        <f t="shared" si="36"/>
        <v>18005.023172614499</v>
      </c>
      <c r="V13" s="74">
        <f t="shared" si="37"/>
        <v>270.07534758921747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3310.2810720000002</v>
      </c>
      <c r="AE13" s="76">
        <f t="shared" si="43"/>
        <v>1166.2295081967213</v>
      </c>
      <c r="AF13" s="343">
        <f t="shared" si="44"/>
        <v>1195.152</v>
      </c>
      <c r="AG13" s="344"/>
      <c r="AH13" s="76">
        <f t="shared" si="45"/>
        <v>42.683999999999997</v>
      </c>
      <c r="AI13" s="76">
        <f t="shared" si="15"/>
        <v>142.28</v>
      </c>
      <c r="AJ13" s="76">
        <f>J13*Pricing!Q9</f>
        <v>0</v>
      </c>
      <c r="AK13" s="76">
        <f>J13*Pricing!R9</f>
        <v>0</v>
      </c>
      <c r="AL13" s="76">
        <f t="shared" si="16"/>
        <v>2242.4081471999998</v>
      </c>
      <c r="AM13" s="77">
        <f t="shared" si="17"/>
        <v>0</v>
      </c>
      <c r="AN13" s="76">
        <f t="shared" si="18"/>
        <v>1793.92651776</v>
      </c>
      <c r="AO13" s="72">
        <f t="shared" si="19"/>
        <v>20821.444028400434</v>
      </c>
      <c r="AP13" s="74">
        <f t="shared" si="20"/>
        <v>26026.805035500543</v>
      </c>
      <c r="AQ13" s="74">
        <f t="shared" si="46"/>
        <v>0</v>
      </c>
      <c r="AR13" s="74">
        <f t="shared" si="22"/>
        <v>22488.080662456403</v>
      </c>
      <c r="AS13" s="72">
        <f t="shared" si="23"/>
        <v>54194.864800860974</v>
      </c>
      <c r="AT13" s="72">
        <f t="shared" si="24"/>
        <v>26014.6006624564</v>
      </c>
      <c r="AU13" s="78">
        <f t="shared" si="47"/>
        <v>2416.8153718372723</v>
      </c>
      <c r="AV13" s="79">
        <f t="shared" si="26"/>
        <v>1.1270628902237531E-2</v>
      </c>
      <c r="AW13" s="80">
        <f t="shared" si="27"/>
        <v>814.97645925979418</v>
      </c>
      <c r="AX13" s="81">
        <f t="shared" si="28"/>
        <v>1601.8389125774784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IN SHAPE</v>
      </c>
      <c r="D14" s="131" t="str">
        <f>Pricing!B10</f>
        <v>W4-B</v>
      </c>
      <c r="E14" s="132" t="str">
        <f>Pricing!N10</f>
        <v>10MM</v>
      </c>
      <c r="F14" s="68">
        <f>Pricing!G10</f>
        <v>2807</v>
      </c>
      <c r="G14" s="68">
        <f>Pricing!H10</f>
        <v>629</v>
      </c>
      <c r="H14" s="100">
        <f t="shared" si="0"/>
        <v>1.765603</v>
      </c>
      <c r="I14" s="70">
        <f>Pricing!I10</f>
        <v>1</v>
      </c>
      <c r="J14" s="69">
        <f t="shared" si="30"/>
        <v>1.765603</v>
      </c>
      <c r="K14" s="71">
        <f t="shared" si="31"/>
        <v>19.004950691999998</v>
      </c>
      <c r="L14" s="69"/>
      <c r="M14" s="72"/>
      <c r="N14" s="72"/>
      <c r="O14" s="72">
        <f t="shared" si="3"/>
        <v>0</v>
      </c>
      <c r="P14" s="73">
        <f>Pricing!M10</f>
        <v>8374.7000000000007</v>
      </c>
      <c r="Q14" s="74">
        <f t="shared" si="32"/>
        <v>837.47000000000014</v>
      </c>
      <c r="R14" s="74">
        <f t="shared" si="33"/>
        <v>1013.3387</v>
      </c>
      <c r="S14" s="74">
        <f t="shared" si="34"/>
        <v>51.127543500000002</v>
      </c>
      <c r="T14" s="74">
        <f t="shared" si="35"/>
        <v>102.76636243500002</v>
      </c>
      <c r="U14" s="72">
        <f t="shared" si="36"/>
        <v>10379.402605935002</v>
      </c>
      <c r="V14" s="74">
        <f t="shared" si="37"/>
        <v>155.69103908902503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2805.5431670000003</v>
      </c>
      <c r="AE14" s="76">
        <f t="shared" si="43"/>
        <v>563.27868852459017</v>
      </c>
      <c r="AF14" s="343">
        <f t="shared" si="44"/>
        <v>577.24800000000005</v>
      </c>
      <c r="AG14" s="344"/>
      <c r="AH14" s="76">
        <f t="shared" si="45"/>
        <v>20.616</v>
      </c>
      <c r="AI14" s="76">
        <f t="shared" si="15"/>
        <v>68.72</v>
      </c>
      <c r="AJ14" s="76">
        <f>J14*Pricing!Q10</f>
        <v>0</v>
      </c>
      <c r="AK14" s="76">
        <f>J14*Pricing!R10</f>
        <v>0</v>
      </c>
      <c r="AL14" s="76">
        <f t="shared" si="16"/>
        <v>1900.4950691999998</v>
      </c>
      <c r="AM14" s="77">
        <f t="shared" si="17"/>
        <v>0</v>
      </c>
      <c r="AN14" s="76">
        <f t="shared" si="18"/>
        <v>1520.3960553599998</v>
      </c>
      <c r="AO14" s="72">
        <f t="shared" si="19"/>
        <v>11764.956333548616</v>
      </c>
      <c r="AP14" s="74">
        <f t="shared" si="20"/>
        <v>14706.19541693577</v>
      </c>
      <c r="AQ14" s="74">
        <f t="shared" si="46"/>
        <v>0</v>
      </c>
      <c r="AR14" s="74">
        <f t="shared" si="22"/>
        <v>14992.697537602953</v>
      </c>
      <c r="AS14" s="72">
        <f t="shared" si="23"/>
        <v>32697.586042044386</v>
      </c>
      <c r="AT14" s="72">
        <f t="shared" si="24"/>
        <v>18519.217537602952</v>
      </c>
      <c r="AU14" s="78">
        <f t="shared" si="47"/>
        <v>1720.4772888891632</v>
      </c>
      <c r="AV14" s="79">
        <f t="shared" si="26"/>
        <v>9.5521302320594036E-3</v>
      </c>
      <c r="AW14" s="80">
        <f t="shared" si="27"/>
        <v>554.33417406648152</v>
      </c>
      <c r="AX14" s="81">
        <f t="shared" si="28"/>
        <v>1166.1431148226818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 IN SHAPE</v>
      </c>
      <c r="D15" s="131" t="str">
        <f>Pricing!B11</f>
        <v>W4-C</v>
      </c>
      <c r="E15" s="132" t="str">
        <f>Pricing!N11</f>
        <v>10MM</v>
      </c>
      <c r="F15" s="68">
        <f>Pricing!G11</f>
        <v>610</v>
      </c>
      <c r="G15" s="68">
        <f>Pricing!H11</f>
        <v>3270</v>
      </c>
      <c r="H15" s="100">
        <f t="shared" si="0"/>
        <v>1.9946999999999999</v>
      </c>
      <c r="I15" s="70">
        <f>Pricing!I11</f>
        <v>1</v>
      </c>
      <c r="J15" s="69">
        <f t="shared" si="30"/>
        <v>1.9946999999999999</v>
      </c>
      <c r="K15" s="71">
        <f t="shared" si="31"/>
        <v>21.470950799999997</v>
      </c>
      <c r="L15" s="69"/>
      <c r="M15" s="72"/>
      <c r="N15" s="72"/>
      <c r="O15" s="72">
        <f t="shared" si="3"/>
        <v>0</v>
      </c>
      <c r="P15" s="73">
        <f>Pricing!M11</f>
        <v>7426.84</v>
      </c>
      <c r="Q15" s="74">
        <f t="shared" si="4"/>
        <v>742.68400000000008</v>
      </c>
      <c r="R15" s="74">
        <f t="shared" si="5"/>
        <v>898.64764000000002</v>
      </c>
      <c r="S15" s="74">
        <f t="shared" si="6"/>
        <v>45.340858200000007</v>
      </c>
      <c r="T15" s="74">
        <f t="shared" si="7"/>
        <v>91.135124981999994</v>
      </c>
      <c r="U15" s="72">
        <f t="shared" si="8"/>
        <v>9204.6476231819997</v>
      </c>
      <c r="V15" s="74">
        <f t="shared" si="9"/>
        <v>138.06971434772998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3169.5782999999997</v>
      </c>
      <c r="AE15" s="76">
        <f t="shared" si="43"/>
        <v>636.06557377049182</v>
      </c>
      <c r="AF15" s="343">
        <f t="shared" si="44"/>
        <v>651.84</v>
      </c>
      <c r="AG15" s="344"/>
      <c r="AH15" s="76">
        <f t="shared" si="45"/>
        <v>23.28</v>
      </c>
      <c r="AI15" s="76">
        <f t="shared" ref="AI15:AI20" si="49">(((F15+G15)*2*I15)/1000)*2*$AI$7</f>
        <v>77.599999999999994</v>
      </c>
      <c r="AJ15" s="76">
        <f>J15*Pricing!Q11</f>
        <v>0</v>
      </c>
      <c r="AK15" s="76">
        <f>J15*Pricing!R11</f>
        <v>0</v>
      </c>
      <c r="AL15" s="76">
        <f t="shared" si="16"/>
        <v>2147.0950799999996</v>
      </c>
      <c r="AM15" s="77">
        <f t="shared" si="17"/>
        <v>0</v>
      </c>
      <c r="AN15" s="76">
        <f t="shared" si="18"/>
        <v>1717.6760639999998</v>
      </c>
      <c r="AO15" s="72">
        <f t="shared" si="19"/>
        <v>10731.502911300222</v>
      </c>
      <c r="AP15" s="74">
        <f t="shared" si="20"/>
        <v>13414.378639125278</v>
      </c>
      <c r="AQ15" s="74">
        <f t="shared" si="21"/>
        <v>0</v>
      </c>
      <c r="AR15" s="74">
        <f t="shared" si="22"/>
        <v>12105.019075763525</v>
      </c>
      <c r="AS15" s="72">
        <f t="shared" si="23"/>
        <v>31180.230994425503</v>
      </c>
      <c r="AT15" s="72">
        <f t="shared" si="24"/>
        <v>15631.539075763525</v>
      </c>
      <c r="AU15" s="78">
        <f t="shared" si="25"/>
        <v>1452.2054139505319</v>
      </c>
      <c r="AV15" s="79">
        <f t="shared" si="26"/>
        <v>1.0791573289062656E-2</v>
      </c>
      <c r="AW15" s="80">
        <f t="shared" si="27"/>
        <v>435.13291165148269</v>
      </c>
      <c r="AX15" s="81">
        <f t="shared" si="28"/>
        <v>1017.0725022990491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WINDOW</v>
      </c>
      <c r="D16" s="131" t="str">
        <f>Pricing!B12</f>
        <v>SW1</v>
      </c>
      <c r="E16" s="132" t="str">
        <f>Pricing!N12</f>
        <v>20MM</v>
      </c>
      <c r="F16" s="68">
        <f>Pricing!G12</f>
        <v>1170</v>
      </c>
      <c r="G16" s="68">
        <f>Pricing!H12</f>
        <v>1372</v>
      </c>
      <c r="H16" s="100">
        <f t="shared" si="0"/>
        <v>1.60524</v>
      </c>
      <c r="I16" s="70">
        <f>Pricing!I12</f>
        <v>1</v>
      </c>
      <c r="J16" s="69">
        <f t="shared" si="30"/>
        <v>1.60524</v>
      </c>
      <c r="K16" s="71">
        <f t="shared" si="31"/>
        <v>17.278803359999998</v>
      </c>
      <c r="L16" s="69"/>
      <c r="M16" s="72"/>
      <c r="N16" s="72"/>
      <c r="O16" s="72">
        <f t="shared" si="3"/>
        <v>0</v>
      </c>
      <c r="P16" s="73">
        <f>Pricing!M12</f>
        <v>12690.699999999999</v>
      </c>
      <c r="Q16" s="74">
        <f t="shared" si="4"/>
        <v>1269.07</v>
      </c>
      <c r="R16" s="74">
        <f t="shared" si="5"/>
        <v>1535.5746999999999</v>
      </c>
      <c r="S16" s="74">
        <f t="shared" si="6"/>
        <v>77.476723499999991</v>
      </c>
      <c r="T16" s="74">
        <f t="shared" si="7"/>
        <v>155.72821423499997</v>
      </c>
      <c r="U16" s="72">
        <f t="shared" si="8"/>
        <v>15728.549637734997</v>
      </c>
      <c r="V16" s="74">
        <f t="shared" si="9"/>
        <v>235.92824456602494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4074.0991199999999</v>
      </c>
      <c r="AE16" s="76">
        <f t="shared" si="43"/>
        <v>416.72131147540983</v>
      </c>
      <c r="AF16" s="343">
        <f t="shared" si="44"/>
        <v>427.05599999999998</v>
      </c>
      <c r="AG16" s="344"/>
      <c r="AH16" s="76">
        <f t="shared" si="45"/>
        <v>15.251999999999999</v>
      </c>
      <c r="AI16" s="76">
        <f t="shared" si="49"/>
        <v>50.839999999999996</v>
      </c>
      <c r="AJ16" s="76">
        <f>J16*Pricing!Q12</f>
        <v>863.94016799999986</v>
      </c>
      <c r="AK16" s="76">
        <f>J16*Pricing!R12</f>
        <v>0</v>
      </c>
      <c r="AL16" s="76">
        <f t="shared" si="16"/>
        <v>1727.8803359999997</v>
      </c>
      <c r="AM16" s="77">
        <f t="shared" si="17"/>
        <v>0</v>
      </c>
      <c r="AN16" s="76">
        <f t="shared" si="18"/>
        <v>1382.3042687999998</v>
      </c>
      <c r="AO16" s="72">
        <f t="shared" si="19"/>
        <v>16874.347193776433</v>
      </c>
      <c r="AP16" s="74">
        <f t="shared" si="20"/>
        <v>21092.93399222054</v>
      </c>
      <c r="AQ16" s="74">
        <f t="shared" si="21"/>
        <v>0</v>
      </c>
      <c r="AR16" s="74">
        <f t="shared" si="22"/>
        <v>23652.090146019895</v>
      </c>
      <c r="AS16" s="72">
        <f t="shared" si="23"/>
        <v>46015.505078796967</v>
      </c>
      <c r="AT16" s="72">
        <f t="shared" si="24"/>
        <v>28665.810146019889</v>
      </c>
      <c r="AU16" s="78">
        <f t="shared" si="25"/>
        <v>2663.1187426625688</v>
      </c>
      <c r="AV16" s="79">
        <f t="shared" si="26"/>
        <v>8.684546601762138E-3</v>
      </c>
      <c r="AW16" s="80">
        <f t="shared" si="27"/>
        <v>923.93423026379207</v>
      </c>
      <c r="AX16" s="81">
        <f t="shared" si="28"/>
        <v>1739.1845123987773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WINDOW</v>
      </c>
      <c r="D17" s="131" t="str">
        <f>Pricing!B13</f>
        <v>SW3</v>
      </c>
      <c r="E17" s="132" t="str">
        <f>Pricing!N13</f>
        <v>20MM</v>
      </c>
      <c r="F17" s="68">
        <f>Pricing!G13</f>
        <v>2490</v>
      </c>
      <c r="G17" s="68">
        <f>Pricing!H13</f>
        <v>1524</v>
      </c>
      <c r="H17" s="100">
        <f t="shared" si="0"/>
        <v>3.7947600000000001</v>
      </c>
      <c r="I17" s="70">
        <f>Pricing!I13</f>
        <v>1</v>
      </c>
      <c r="J17" s="69">
        <f t="shared" si="30"/>
        <v>3.7947600000000001</v>
      </c>
      <c r="K17" s="71">
        <f t="shared" si="31"/>
        <v>40.846796640000001</v>
      </c>
      <c r="L17" s="69"/>
      <c r="M17" s="72"/>
      <c r="N17" s="72"/>
      <c r="O17" s="72">
        <f t="shared" si="3"/>
        <v>0</v>
      </c>
      <c r="P17" s="73">
        <f>Pricing!M13</f>
        <v>17180.170000000002</v>
      </c>
      <c r="Q17" s="74">
        <f t="shared" si="4"/>
        <v>1718.0170000000003</v>
      </c>
      <c r="R17" s="74">
        <f t="shared" si="5"/>
        <v>2078.8005700000003</v>
      </c>
      <c r="S17" s="74">
        <f t="shared" si="6"/>
        <v>104.88493785000001</v>
      </c>
      <c r="T17" s="74">
        <f t="shared" si="7"/>
        <v>210.81872507850002</v>
      </c>
      <c r="U17" s="72">
        <f t="shared" si="8"/>
        <v>21292.691232928504</v>
      </c>
      <c r="V17" s="74">
        <f t="shared" si="9"/>
        <v>319.39036849392755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9631.10088</v>
      </c>
      <c r="AE17" s="76">
        <f t="shared" si="43"/>
        <v>658.03278688524586</v>
      </c>
      <c r="AF17" s="343">
        <f t="shared" si="44"/>
        <v>674.35200000000009</v>
      </c>
      <c r="AG17" s="344"/>
      <c r="AH17" s="76">
        <f t="shared" si="45"/>
        <v>24.084000000000003</v>
      </c>
      <c r="AI17" s="76">
        <f t="shared" si="49"/>
        <v>80.28</v>
      </c>
      <c r="AJ17" s="76">
        <f>J17*Pricing!Q13</f>
        <v>2042.3398319999999</v>
      </c>
      <c r="AK17" s="76">
        <f>J17*Pricing!R13</f>
        <v>0</v>
      </c>
      <c r="AL17" s="76">
        <f t="shared" si="16"/>
        <v>4084.6796639999998</v>
      </c>
      <c r="AM17" s="77">
        <f t="shared" si="17"/>
        <v>0</v>
      </c>
      <c r="AN17" s="76">
        <f t="shared" si="18"/>
        <v>3267.7437311999997</v>
      </c>
      <c r="AO17" s="72">
        <f t="shared" si="19"/>
        <v>23048.830388307681</v>
      </c>
      <c r="AP17" s="74">
        <f t="shared" si="20"/>
        <v>28811.037985384603</v>
      </c>
      <c r="AQ17" s="74">
        <f t="shared" si="21"/>
        <v>0</v>
      </c>
      <c r="AR17" s="74">
        <f t="shared" si="22"/>
        <v>13666.17872373807</v>
      </c>
      <c r="AS17" s="72">
        <f t="shared" si="23"/>
        <v>70885.732480892286</v>
      </c>
      <c r="AT17" s="72">
        <f t="shared" si="24"/>
        <v>18679.898723738072</v>
      </c>
      <c r="AU17" s="78">
        <f t="shared" si="25"/>
        <v>1735.4049353156886</v>
      </c>
      <c r="AV17" s="79">
        <f t="shared" si="26"/>
        <v>2.0530120145587513E-2</v>
      </c>
      <c r="AW17" s="80">
        <f t="shared" si="27"/>
        <v>529.10101597192056</v>
      </c>
      <c r="AX17" s="81">
        <f t="shared" si="28"/>
        <v>1206.3039193437678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DOOR</v>
      </c>
      <c r="D18" s="131" t="str">
        <f>Pricing!B14</f>
        <v>SW4</v>
      </c>
      <c r="E18" s="132" t="str">
        <f>Pricing!N14</f>
        <v>24MM</v>
      </c>
      <c r="F18" s="68">
        <f>Pricing!G14</f>
        <v>2946</v>
      </c>
      <c r="G18" s="68">
        <f>Pricing!H14</f>
        <v>2134</v>
      </c>
      <c r="H18" s="100">
        <f t="shared" si="0"/>
        <v>6.2867639999999998</v>
      </c>
      <c r="I18" s="70">
        <f>Pricing!I14</f>
        <v>1</v>
      </c>
      <c r="J18" s="69">
        <f t="shared" si="30"/>
        <v>6.2867639999999998</v>
      </c>
      <c r="K18" s="71">
        <f t="shared" si="31"/>
        <v>67.670727696</v>
      </c>
      <c r="L18" s="69"/>
      <c r="M18" s="72"/>
      <c r="N18" s="72"/>
      <c r="O18" s="72">
        <f t="shared" si="3"/>
        <v>0</v>
      </c>
      <c r="P18" s="73">
        <f>Pricing!M14</f>
        <v>37018</v>
      </c>
      <c r="Q18" s="74">
        <f t="shared" si="4"/>
        <v>3701.8</v>
      </c>
      <c r="R18" s="74">
        <f t="shared" si="5"/>
        <v>4479.1780000000008</v>
      </c>
      <c r="S18" s="74">
        <f t="shared" si="6"/>
        <v>225.99489000000003</v>
      </c>
      <c r="T18" s="74">
        <f t="shared" si="7"/>
        <v>454.24972890000004</v>
      </c>
      <c r="U18" s="72">
        <f t="shared" si="8"/>
        <v>45879.222618900007</v>
      </c>
      <c r="V18" s="74">
        <f t="shared" si="9"/>
        <v>688.18833928350011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18470.512631999998</v>
      </c>
      <c r="AE18" s="76">
        <f t="shared" si="43"/>
        <v>832.78688524590154</v>
      </c>
      <c r="AF18" s="343">
        <f t="shared" si="44"/>
        <v>853.44</v>
      </c>
      <c r="AG18" s="344"/>
      <c r="AH18" s="76">
        <f t="shared" si="45"/>
        <v>30.48</v>
      </c>
      <c r="AI18" s="76">
        <f t="shared" si="49"/>
        <v>101.6</v>
      </c>
      <c r="AJ18" s="76">
        <f>J18*Pricing!Q14</f>
        <v>3383.5363847999993</v>
      </c>
      <c r="AK18" s="76">
        <f>J18*Pricing!R14</f>
        <v>0</v>
      </c>
      <c r="AL18" s="76">
        <f t="shared" si="16"/>
        <v>6767.0727695999985</v>
      </c>
      <c r="AM18" s="77">
        <f t="shared" si="17"/>
        <v>0</v>
      </c>
      <c r="AN18" s="76">
        <f t="shared" si="18"/>
        <v>5413.6582156799996</v>
      </c>
      <c r="AO18" s="72">
        <f t="shared" si="19"/>
        <v>48385.717843429404</v>
      </c>
      <c r="AP18" s="74">
        <f t="shared" si="20"/>
        <v>60482.147304286758</v>
      </c>
      <c r="AQ18" s="74">
        <f t="shared" si="21"/>
        <v>0</v>
      </c>
      <c r="AR18" s="74">
        <f t="shared" si="22"/>
        <v>17316.995698854953</v>
      </c>
      <c r="AS18" s="72">
        <f t="shared" si="23"/>
        <v>142902.64514979615</v>
      </c>
      <c r="AT18" s="72">
        <f t="shared" si="24"/>
        <v>22730.715698854954</v>
      </c>
      <c r="AU18" s="78">
        <f t="shared" si="25"/>
        <v>2111.7350147579855</v>
      </c>
      <c r="AV18" s="79">
        <f t="shared" si="26"/>
        <v>3.4012169477636092E-2</v>
      </c>
      <c r="AW18" s="80">
        <f t="shared" si="27"/>
        <v>688.14703999312974</v>
      </c>
      <c r="AX18" s="81">
        <f t="shared" si="28"/>
        <v>1423.5879747648555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SW5</v>
      </c>
      <c r="E19" s="132" t="str">
        <f>Pricing!N15</f>
        <v>24MM</v>
      </c>
      <c r="F19" s="68">
        <f>Pricing!G15</f>
        <v>3302</v>
      </c>
      <c r="G19" s="68">
        <f>Pricing!H15</f>
        <v>1372</v>
      </c>
      <c r="H19" s="100">
        <f t="shared" si="0"/>
        <v>4.5303440000000004</v>
      </c>
      <c r="I19" s="70">
        <f>Pricing!I15</f>
        <v>1</v>
      </c>
      <c r="J19" s="69">
        <f t="shared" si="30"/>
        <v>4.5303440000000004</v>
      </c>
      <c r="K19" s="71">
        <f t="shared" si="31"/>
        <v>48.764622815999999</v>
      </c>
      <c r="L19" s="69"/>
      <c r="M19" s="72"/>
      <c r="N19" s="72"/>
      <c r="O19" s="72">
        <f t="shared" si="3"/>
        <v>0</v>
      </c>
      <c r="P19" s="73">
        <f>Pricing!M15</f>
        <v>32594.929999999997</v>
      </c>
      <c r="Q19" s="74">
        <f t="shared" si="4"/>
        <v>3259.4929999999999</v>
      </c>
      <c r="R19" s="74">
        <f t="shared" si="5"/>
        <v>3943.9865299999997</v>
      </c>
      <c r="S19" s="74">
        <f t="shared" si="6"/>
        <v>198.99204764999999</v>
      </c>
      <c r="T19" s="74">
        <f t="shared" si="7"/>
        <v>399.97401577649998</v>
      </c>
      <c r="U19" s="72">
        <f t="shared" si="8"/>
        <v>40397.375593426492</v>
      </c>
      <c r="V19" s="74">
        <f t="shared" si="9"/>
        <v>605.96063390139739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13310.150672000002</v>
      </c>
      <c r="AE19" s="76">
        <f t="shared" si="43"/>
        <v>766.22950819672133</v>
      </c>
      <c r="AF19" s="343">
        <f t="shared" si="44"/>
        <v>785.23200000000008</v>
      </c>
      <c r="AG19" s="344"/>
      <c r="AH19" s="76">
        <f t="shared" si="45"/>
        <v>28.044000000000004</v>
      </c>
      <c r="AI19" s="76">
        <f t="shared" si="49"/>
        <v>93.48</v>
      </c>
      <c r="AJ19" s="76">
        <f>J19*Pricing!Q15</f>
        <v>2438.2311408</v>
      </c>
      <c r="AK19" s="76">
        <f>J19*Pricing!R15</f>
        <v>0</v>
      </c>
      <c r="AL19" s="76">
        <f t="shared" si="16"/>
        <v>4876.4622816000001</v>
      </c>
      <c r="AM19" s="77">
        <f t="shared" si="17"/>
        <v>0</v>
      </c>
      <c r="AN19" s="76">
        <f t="shared" si="18"/>
        <v>3901.1698252799997</v>
      </c>
      <c r="AO19" s="72">
        <f t="shared" si="19"/>
        <v>42676.321735524609</v>
      </c>
      <c r="AP19" s="74">
        <f t="shared" si="20"/>
        <v>53345.402169405759</v>
      </c>
      <c r="AQ19" s="74">
        <f t="shared" si="21"/>
        <v>0</v>
      </c>
      <c r="AR19" s="74">
        <f t="shared" si="22"/>
        <v>21195.239016050517</v>
      </c>
      <c r="AS19" s="72">
        <f t="shared" si="23"/>
        <v>120547.73782461036</v>
      </c>
      <c r="AT19" s="72">
        <f t="shared" si="24"/>
        <v>26608.959016050514</v>
      </c>
      <c r="AU19" s="78">
        <f t="shared" si="25"/>
        <v>2472.0326101867813</v>
      </c>
      <c r="AV19" s="79">
        <f t="shared" si="26"/>
        <v>2.4509720409417592E-2</v>
      </c>
      <c r="AW19" s="80">
        <f t="shared" si="27"/>
        <v>840.84186156925261</v>
      </c>
      <c r="AX19" s="81">
        <f t="shared" si="28"/>
        <v>1631.1907486175292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SW6</v>
      </c>
      <c r="E20" s="132" t="str">
        <f>Pricing!N16</f>
        <v>20MM</v>
      </c>
      <c r="F20" s="68">
        <f>Pricing!G16</f>
        <v>1322</v>
      </c>
      <c r="G20" s="68">
        <f>Pricing!H16</f>
        <v>1372</v>
      </c>
      <c r="H20" s="100">
        <f t="shared" si="0"/>
        <v>1.8137840000000001</v>
      </c>
      <c r="I20" s="70">
        <f>Pricing!I16</f>
        <v>1</v>
      </c>
      <c r="J20" s="69">
        <f t="shared" si="30"/>
        <v>1.8137840000000001</v>
      </c>
      <c r="K20" s="71">
        <f t="shared" si="31"/>
        <v>19.523570975999998</v>
      </c>
      <c r="L20" s="69"/>
      <c r="M20" s="72"/>
      <c r="N20" s="72"/>
      <c r="O20" s="72">
        <f t="shared" si="3"/>
        <v>0</v>
      </c>
      <c r="P20" s="73">
        <f>Pricing!M16</f>
        <v>13122.3</v>
      </c>
      <c r="Q20" s="74">
        <f t="shared" si="4"/>
        <v>1312.23</v>
      </c>
      <c r="R20" s="74">
        <f t="shared" si="5"/>
        <v>1587.7982999999999</v>
      </c>
      <c r="S20" s="74">
        <f t="shared" si="6"/>
        <v>80.111641500000005</v>
      </c>
      <c r="T20" s="74">
        <f t="shared" si="7"/>
        <v>161.024399415</v>
      </c>
      <c r="U20" s="72">
        <f t="shared" si="8"/>
        <v>16263.464340914999</v>
      </c>
      <c r="V20" s="74">
        <f t="shared" si="9"/>
        <v>243.95196511372498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4603.3837920000005</v>
      </c>
      <c r="AE20" s="76">
        <f t="shared" si="43"/>
        <v>441.63934426229508</v>
      </c>
      <c r="AF20" s="343">
        <f t="shared" si="44"/>
        <v>452.59200000000004</v>
      </c>
      <c r="AG20" s="344"/>
      <c r="AH20" s="76">
        <f t="shared" si="45"/>
        <v>16.164000000000001</v>
      </c>
      <c r="AI20" s="76">
        <f t="shared" si="49"/>
        <v>53.879999999999995</v>
      </c>
      <c r="AJ20" s="76">
        <f>J20*Pricing!Q16</f>
        <v>976.17854879999993</v>
      </c>
      <c r="AK20" s="76">
        <f>J20*Pricing!R16</f>
        <v>0</v>
      </c>
      <c r="AL20" s="76">
        <f t="shared" si="16"/>
        <v>1952.3570975999999</v>
      </c>
      <c r="AM20" s="77">
        <f t="shared" si="17"/>
        <v>0</v>
      </c>
      <c r="AN20" s="76">
        <f t="shared" si="18"/>
        <v>1561.8856780799999</v>
      </c>
      <c r="AO20" s="72">
        <f t="shared" si="19"/>
        <v>17471.691650291017</v>
      </c>
      <c r="AP20" s="74">
        <f t="shared" si="20"/>
        <v>21839.614562863771</v>
      </c>
      <c r="AQ20" s="74">
        <f t="shared" si="21"/>
        <v>0</v>
      </c>
      <c r="AR20" s="74">
        <f t="shared" si="22"/>
        <v>21673.642624014101</v>
      </c>
      <c r="AS20" s="72">
        <f t="shared" si="23"/>
        <v>48405.111329634783</v>
      </c>
      <c r="AT20" s="72">
        <f t="shared" si="24"/>
        <v>26687.362624014095</v>
      </c>
      <c r="AU20" s="78">
        <f t="shared" si="25"/>
        <v>2479.3164830930968</v>
      </c>
      <c r="AV20" s="79">
        <f t="shared" si="26"/>
        <v>9.8127953910508957E-3</v>
      </c>
      <c r="AW20" s="80">
        <f t="shared" si="27"/>
        <v>845.51214151965428</v>
      </c>
      <c r="AX20" s="81">
        <f t="shared" si="28"/>
        <v>1633.8043415734433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DOOR</v>
      </c>
      <c r="D21" s="131" t="str">
        <f>Pricing!B17</f>
        <v>SW7</v>
      </c>
      <c r="E21" s="132" t="str">
        <f>Pricing!N17</f>
        <v>24MM</v>
      </c>
      <c r="F21" s="68">
        <f>Pricing!G17</f>
        <v>3861</v>
      </c>
      <c r="G21" s="68">
        <f>Pricing!H17</f>
        <v>2134</v>
      </c>
      <c r="H21" s="100">
        <f t="shared" si="0"/>
        <v>8.2393739999999998</v>
      </c>
      <c r="I21" s="70">
        <f>Pricing!I17</f>
        <v>1</v>
      </c>
      <c r="J21" s="69">
        <f t="shared" si="30"/>
        <v>8.2393739999999998</v>
      </c>
      <c r="K21" s="71">
        <f t="shared" si="31"/>
        <v>88.688621735999988</v>
      </c>
      <c r="L21" s="69"/>
      <c r="M21" s="72"/>
      <c r="N21" s="72"/>
      <c r="O21" s="72">
        <f t="shared" si="3"/>
        <v>0</v>
      </c>
      <c r="P21" s="73">
        <f>Pricing!M17</f>
        <v>86857.010000000009</v>
      </c>
      <c r="Q21" s="74">
        <f t="shared" ref="Q21:Q26" si="50">P21*$Q$6</f>
        <v>8685.7010000000009</v>
      </c>
      <c r="R21" s="74">
        <f t="shared" ref="R21:R26" si="51">(P21+Q21)*$R$6</f>
        <v>10509.69821</v>
      </c>
      <c r="S21" s="74">
        <f t="shared" ref="S21:S26" si="52">(P21+Q21+R21)*$S$6</f>
        <v>530.26204605000009</v>
      </c>
      <c r="T21" s="74">
        <f t="shared" ref="T21:T26" si="53">(P21+Q21+R21+S21)*$T$6</f>
        <v>1065.8267125605003</v>
      </c>
      <c r="U21" s="72">
        <f t="shared" ref="U21:U26" si="54">SUM(P21:T21)</f>
        <v>107648.49796861052</v>
      </c>
      <c r="V21" s="74">
        <f t="shared" ref="V21:V26" si="55">U21*$V$6</f>
        <v>1614.7274695291578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24207.280812000001</v>
      </c>
      <c r="AE21" s="76">
        <f t="shared" si="43"/>
        <v>982.78688524590154</v>
      </c>
      <c r="AF21" s="343">
        <f t="shared" si="44"/>
        <v>1007.1599999999999</v>
      </c>
      <c r="AG21" s="344"/>
      <c r="AH21" s="76">
        <f t="shared" si="45"/>
        <v>35.97</v>
      </c>
      <c r="AI21" s="76">
        <f t="shared" si="15"/>
        <v>119.9</v>
      </c>
      <c r="AJ21" s="76">
        <f>J21*Pricing!Q17</f>
        <v>4434.4310867999993</v>
      </c>
      <c r="AK21" s="76">
        <f>J21*Pricing!R17</f>
        <v>0</v>
      </c>
      <c r="AL21" s="76">
        <f t="shared" si="16"/>
        <v>8868.8621735999986</v>
      </c>
      <c r="AM21" s="77">
        <f t="shared" si="17"/>
        <v>0</v>
      </c>
      <c r="AN21" s="76">
        <f t="shared" si="18"/>
        <v>7095.0897388799985</v>
      </c>
      <c r="AO21" s="72">
        <f t="shared" si="19"/>
        <v>111409.04232338558</v>
      </c>
      <c r="AP21" s="74">
        <f t="shared" si="20"/>
        <v>139261.30290423197</v>
      </c>
      <c r="AQ21" s="74">
        <f t="shared" ref="AQ21:AQ26" si="61">(AO21+AP21)*$AQ$6</f>
        <v>0</v>
      </c>
      <c r="AR21" s="74">
        <f t="shared" si="22"/>
        <v>30423.469698986544</v>
      </c>
      <c r="AS21" s="72">
        <f t="shared" si="23"/>
        <v>295276.00903889752</v>
      </c>
      <c r="AT21" s="72">
        <f t="shared" si="24"/>
        <v>35837.189698986542</v>
      </c>
      <c r="AU21" s="78">
        <f t="shared" ref="AU21:AU26" si="62">AT21/10.764</f>
        <v>3329.3561593261375</v>
      </c>
      <c r="AV21" s="79">
        <f t="shared" si="26"/>
        <v>4.4576030669773566E-2</v>
      </c>
      <c r="AW21" s="80">
        <f t="shared" si="27"/>
        <v>1231.9869595378791</v>
      </c>
      <c r="AX21" s="81">
        <f t="shared" si="28"/>
        <v>2097.3691997882588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DOOR</v>
      </c>
      <c r="D22" s="131" t="str">
        <f>Pricing!B18</f>
        <v>SW8</v>
      </c>
      <c r="E22" s="132" t="str">
        <f>Pricing!N18</f>
        <v>24MM</v>
      </c>
      <c r="F22" s="68">
        <f>Pricing!G18</f>
        <v>1372</v>
      </c>
      <c r="G22" s="68">
        <f>Pricing!H18</f>
        <v>2134</v>
      </c>
      <c r="H22" s="100">
        <f t="shared" si="0"/>
        <v>2.927848</v>
      </c>
      <c r="I22" s="70">
        <f>Pricing!I18</f>
        <v>1</v>
      </c>
      <c r="J22" s="69">
        <f t="shared" si="30"/>
        <v>2.927848</v>
      </c>
      <c r="K22" s="71">
        <f t="shared" si="31"/>
        <v>31.515355871999997</v>
      </c>
      <c r="L22" s="69"/>
      <c r="M22" s="72"/>
      <c r="N22" s="72"/>
      <c r="O22" s="72">
        <f t="shared" si="3"/>
        <v>0</v>
      </c>
      <c r="P22" s="73">
        <f>Pricing!M18</f>
        <v>29264.969999999998</v>
      </c>
      <c r="Q22" s="74">
        <f t="shared" si="50"/>
        <v>2926.4969999999998</v>
      </c>
      <c r="R22" s="74">
        <f t="shared" si="51"/>
        <v>3541.0613699999999</v>
      </c>
      <c r="S22" s="74">
        <f t="shared" si="52"/>
        <v>178.66264185</v>
      </c>
      <c r="T22" s="74">
        <f t="shared" si="53"/>
        <v>359.11191011850002</v>
      </c>
      <c r="U22" s="72">
        <f t="shared" si="54"/>
        <v>36270.302921968505</v>
      </c>
      <c r="V22" s="74">
        <f t="shared" si="55"/>
        <v>544.05454382952757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8602.0174239999997</v>
      </c>
      <c r="AE22" s="76">
        <f t="shared" si="43"/>
        <v>574.75409836065569</v>
      </c>
      <c r="AF22" s="343">
        <f t="shared" si="44"/>
        <v>589.00799999999992</v>
      </c>
      <c r="AG22" s="344"/>
      <c r="AH22" s="76">
        <f t="shared" si="45"/>
        <v>21.035999999999998</v>
      </c>
      <c r="AI22" s="76">
        <f t="shared" si="15"/>
        <v>70.11999999999999</v>
      </c>
      <c r="AJ22" s="76">
        <f>J22*Pricing!Q18</f>
        <v>1575.7677935999998</v>
      </c>
      <c r="AK22" s="76">
        <f>J22*Pricing!R18</f>
        <v>0</v>
      </c>
      <c r="AL22" s="76">
        <f t="shared" si="16"/>
        <v>3151.5355871999996</v>
      </c>
      <c r="AM22" s="77">
        <f t="shared" si="17"/>
        <v>0</v>
      </c>
      <c r="AN22" s="76">
        <f t="shared" si="18"/>
        <v>2521.2284697599998</v>
      </c>
      <c r="AO22" s="72">
        <f t="shared" si="19"/>
        <v>38069.275564158692</v>
      </c>
      <c r="AP22" s="74">
        <f t="shared" si="20"/>
        <v>47586.594455198363</v>
      </c>
      <c r="AQ22" s="74">
        <f t="shared" si="61"/>
        <v>0</v>
      </c>
      <c r="AR22" s="74">
        <f t="shared" si="22"/>
        <v>29255.572700275785</v>
      </c>
      <c r="AS22" s="72">
        <f t="shared" si="23"/>
        <v>101506.41929391706</v>
      </c>
      <c r="AT22" s="72">
        <f t="shared" si="24"/>
        <v>34669.292700275786</v>
      </c>
      <c r="AU22" s="78">
        <f t="shared" si="62"/>
        <v>3220.8558807391109</v>
      </c>
      <c r="AV22" s="79">
        <f t="shared" si="26"/>
        <v>1.5840019186461884E-2</v>
      </c>
      <c r="AW22" s="80">
        <f t="shared" si="27"/>
        <v>1168.140306437281</v>
      </c>
      <c r="AX22" s="81">
        <f t="shared" si="28"/>
        <v>2052.7155743018297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2 SHUTTER SLIDING WINDOW</v>
      </c>
      <c r="D23" s="131" t="str">
        <f>Pricing!B19</f>
        <v>SW9</v>
      </c>
      <c r="E23" s="132" t="str">
        <f>Pricing!N19</f>
        <v>20MM</v>
      </c>
      <c r="F23" s="68">
        <f>Pricing!G19</f>
        <v>1778</v>
      </c>
      <c r="G23" s="68">
        <f>Pricing!H19</f>
        <v>1372</v>
      </c>
      <c r="H23" s="100">
        <f t="shared" si="0"/>
        <v>2.439416</v>
      </c>
      <c r="I23" s="70">
        <f>Pricing!I19</f>
        <v>1</v>
      </c>
      <c r="J23" s="69">
        <f t="shared" si="30"/>
        <v>2.439416</v>
      </c>
      <c r="K23" s="71">
        <f t="shared" si="31"/>
        <v>26.257873823999997</v>
      </c>
      <c r="L23" s="69"/>
      <c r="M23" s="72"/>
      <c r="N23" s="72"/>
      <c r="O23" s="72">
        <f t="shared" si="3"/>
        <v>0</v>
      </c>
      <c r="P23" s="73">
        <f>Pricing!M19</f>
        <v>14417.099999999999</v>
      </c>
      <c r="Q23" s="74">
        <f t="shared" si="50"/>
        <v>1441.71</v>
      </c>
      <c r="R23" s="74">
        <f t="shared" si="51"/>
        <v>1744.4690999999998</v>
      </c>
      <c r="S23" s="74">
        <f t="shared" si="52"/>
        <v>88.016395499999987</v>
      </c>
      <c r="T23" s="74">
        <f t="shared" si="53"/>
        <v>176.91295495499995</v>
      </c>
      <c r="U23" s="72">
        <f t="shared" si="54"/>
        <v>17868.208450454997</v>
      </c>
      <c r="V23" s="74">
        <f t="shared" si="55"/>
        <v>268.02312675682492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6191.2378079999999</v>
      </c>
      <c r="AE23" s="76">
        <f t="shared" si="43"/>
        <v>516.39344262295083</v>
      </c>
      <c r="AF23" s="343">
        <f t="shared" si="44"/>
        <v>529.19999999999993</v>
      </c>
      <c r="AG23" s="344"/>
      <c r="AH23" s="76">
        <f t="shared" si="45"/>
        <v>18.899999999999999</v>
      </c>
      <c r="AI23" s="76">
        <f t="shared" si="15"/>
        <v>63</v>
      </c>
      <c r="AJ23" s="76">
        <f>J23*Pricing!Q19</f>
        <v>1312.8936911999999</v>
      </c>
      <c r="AK23" s="76">
        <f>J23*Pricing!R19</f>
        <v>0</v>
      </c>
      <c r="AL23" s="76">
        <f t="shared" si="16"/>
        <v>2625.7873823999998</v>
      </c>
      <c r="AM23" s="77">
        <f t="shared" si="17"/>
        <v>0</v>
      </c>
      <c r="AN23" s="76">
        <f t="shared" si="18"/>
        <v>2100.6299059199996</v>
      </c>
      <c r="AO23" s="72">
        <f t="shared" si="19"/>
        <v>19263.725019834768</v>
      </c>
      <c r="AP23" s="74">
        <f t="shared" si="20"/>
        <v>24079.656274793459</v>
      </c>
      <c r="AQ23" s="74">
        <f t="shared" si="61"/>
        <v>0</v>
      </c>
      <c r="AR23" s="74">
        <f t="shared" si="22"/>
        <v>17767.933511392985</v>
      </c>
      <c r="AS23" s="72">
        <f t="shared" si="23"/>
        <v>55573.930082148225</v>
      </c>
      <c r="AT23" s="72">
        <f t="shared" si="24"/>
        <v>22781.653511392982</v>
      </c>
      <c r="AU23" s="78">
        <f t="shared" si="62"/>
        <v>2116.4672530093817</v>
      </c>
      <c r="AV23" s="79">
        <f t="shared" si="26"/>
        <v>1.3197541758917164E-2</v>
      </c>
      <c r="AW23" s="80">
        <f t="shared" si="27"/>
        <v>690.69688196289133</v>
      </c>
      <c r="AX23" s="81">
        <f t="shared" si="28"/>
        <v>1425.7703710464905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WINDOW</v>
      </c>
      <c r="D24" s="131" t="str">
        <f>Pricing!B20</f>
        <v>SW10</v>
      </c>
      <c r="E24" s="132" t="str">
        <f>Pricing!N20</f>
        <v>24MM</v>
      </c>
      <c r="F24" s="68">
        <f>Pricing!G20</f>
        <v>3862</v>
      </c>
      <c r="G24" s="68">
        <f>Pricing!H20</f>
        <v>1678</v>
      </c>
      <c r="H24" s="100">
        <f t="shared" si="0"/>
        <v>6.4804360000000001</v>
      </c>
      <c r="I24" s="70">
        <f>Pricing!I20</f>
        <v>1</v>
      </c>
      <c r="J24" s="69">
        <f t="shared" si="30"/>
        <v>6.4804360000000001</v>
      </c>
      <c r="K24" s="71">
        <f t="shared" si="31"/>
        <v>69.755413103999999</v>
      </c>
      <c r="L24" s="69"/>
      <c r="M24" s="72"/>
      <c r="N24" s="72"/>
      <c r="O24" s="72">
        <f t="shared" si="3"/>
        <v>0</v>
      </c>
      <c r="P24" s="73">
        <f>Pricing!M20</f>
        <v>37304.35</v>
      </c>
      <c r="Q24" s="74">
        <f t="shared" si="50"/>
        <v>3730.4349999999999</v>
      </c>
      <c r="R24" s="74">
        <f t="shared" si="51"/>
        <v>4513.8263499999994</v>
      </c>
      <c r="S24" s="74">
        <f t="shared" si="52"/>
        <v>227.74305674999997</v>
      </c>
      <c r="T24" s="74">
        <f t="shared" si="53"/>
        <v>457.76354406749988</v>
      </c>
      <c r="U24" s="72">
        <f t="shared" si="54"/>
        <v>46234.11795081749</v>
      </c>
      <c r="V24" s="74">
        <f t="shared" si="55"/>
        <v>693.51176926226231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19039.520968000001</v>
      </c>
      <c r="AE24" s="76">
        <f t="shared" si="43"/>
        <v>908.19672131147547</v>
      </c>
      <c r="AF24" s="343">
        <f t="shared" si="44"/>
        <v>930.71999999999991</v>
      </c>
      <c r="AG24" s="344"/>
      <c r="AH24" s="76">
        <f t="shared" si="45"/>
        <v>33.24</v>
      </c>
      <c r="AI24" s="76">
        <f t="shared" si="15"/>
        <v>110.8</v>
      </c>
      <c r="AJ24" s="76">
        <f>J24*Pricing!Q20</f>
        <v>3487.7706551999995</v>
      </c>
      <c r="AK24" s="76">
        <f>J24*Pricing!R20</f>
        <v>0</v>
      </c>
      <c r="AL24" s="76">
        <f t="shared" si="16"/>
        <v>6975.541310399999</v>
      </c>
      <c r="AM24" s="77">
        <f t="shared" si="17"/>
        <v>0</v>
      </c>
      <c r="AN24" s="76">
        <f t="shared" si="18"/>
        <v>5580.4330483199992</v>
      </c>
      <c r="AO24" s="72">
        <f t="shared" si="19"/>
        <v>48910.586441391235</v>
      </c>
      <c r="AP24" s="74">
        <f t="shared" si="20"/>
        <v>61138.233051739044</v>
      </c>
      <c r="AQ24" s="74">
        <f t="shared" si="61"/>
        <v>0</v>
      </c>
      <c r="AR24" s="74">
        <f t="shared" si="22"/>
        <v>16981.699918513244</v>
      </c>
      <c r="AS24" s="72">
        <f t="shared" si="23"/>
        <v>145132.08547505026</v>
      </c>
      <c r="AT24" s="72">
        <f t="shared" si="24"/>
        <v>22395.419918513238</v>
      </c>
      <c r="AU24" s="78">
        <f t="shared" si="62"/>
        <v>2080.5852767106317</v>
      </c>
      <c r="AV24" s="79">
        <f t="shared" si="26"/>
        <v>3.5059958910653256E-2</v>
      </c>
      <c r="AW24" s="80">
        <f t="shared" si="27"/>
        <v>672.74534881062539</v>
      </c>
      <c r="AX24" s="81">
        <f t="shared" si="28"/>
        <v>1407.8399279000064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2 SHUTTER SLIDING WINDOW</v>
      </c>
      <c r="D25" s="131" t="str">
        <f>Pricing!B21</f>
        <v>SW11</v>
      </c>
      <c r="E25" s="132" t="str">
        <f>Pricing!N21</f>
        <v>24MM</v>
      </c>
      <c r="F25" s="68">
        <f>Pricing!G21</f>
        <v>3302</v>
      </c>
      <c r="G25" s="68">
        <f>Pricing!H21</f>
        <v>1830</v>
      </c>
      <c r="H25" s="100">
        <f t="shared" si="0"/>
        <v>6.0426599999999997</v>
      </c>
      <c r="I25" s="70">
        <f>Pricing!I21</f>
        <v>1</v>
      </c>
      <c r="J25" s="69">
        <f t="shared" si="30"/>
        <v>6.0426599999999997</v>
      </c>
      <c r="K25" s="71">
        <f t="shared" si="31"/>
        <v>65.043192239999996</v>
      </c>
      <c r="L25" s="69"/>
      <c r="M25" s="72"/>
      <c r="N25" s="72"/>
      <c r="O25" s="72">
        <f t="shared" si="3"/>
        <v>0</v>
      </c>
      <c r="P25" s="73">
        <f>Pricing!M21</f>
        <v>35607.83</v>
      </c>
      <c r="Q25" s="74">
        <f t="shared" si="50"/>
        <v>3560.7830000000004</v>
      </c>
      <c r="R25" s="74">
        <f t="shared" si="51"/>
        <v>4308.5474300000005</v>
      </c>
      <c r="S25" s="74">
        <f t="shared" si="52"/>
        <v>217.38580215000002</v>
      </c>
      <c r="T25" s="74">
        <f t="shared" si="53"/>
        <v>436.94546232150003</v>
      </c>
      <c r="U25" s="72">
        <f t="shared" si="54"/>
        <v>44131.491694471501</v>
      </c>
      <c r="V25" s="74">
        <f t="shared" si="55"/>
        <v>661.9723754170725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17753.335080000001</v>
      </c>
      <c r="AE25" s="76">
        <f t="shared" si="43"/>
        <v>841.31147540983613</v>
      </c>
      <c r="AF25" s="343">
        <f t="shared" si="44"/>
        <v>862.17599999999993</v>
      </c>
      <c r="AG25" s="344"/>
      <c r="AH25" s="76">
        <f t="shared" si="45"/>
        <v>30.791999999999998</v>
      </c>
      <c r="AI25" s="76">
        <f t="shared" si="15"/>
        <v>102.63999999999999</v>
      </c>
      <c r="AJ25" s="76">
        <f>J25*Pricing!Q21</f>
        <v>3252.1596119999995</v>
      </c>
      <c r="AK25" s="76">
        <f>J25*Pricing!R21</f>
        <v>0</v>
      </c>
      <c r="AL25" s="76">
        <f t="shared" si="16"/>
        <v>6504.3192239999989</v>
      </c>
      <c r="AM25" s="77">
        <f t="shared" si="17"/>
        <v>0</v>
      </c>
      <c r="AN25" s="76">
        <f t="shared" si="18"/>
        <v>5203.4553791999988</v>
      </c>
      <c r="AO25" s="72">
        <f t="shared" si="19"/>
        <v>46630.383545298406</v>
      </c>
      <c r="AP25" s="74">
        <f t="shared" si="20"/>
        <v>58287.979431623011</v>
      </c>
      <c r="AQ25" s="74">
        <f t="shared" si="61"/>
        <v>0</v>
      </c>
      <c r="AR25" s="74">
        <f t="shared" si="22"/>
        <v>17362.943302605381</v>
      </c>
      <c r="AS25" s="72">
        <f t="shared" si="23"/>
        <v>137631.63227212141</v>
      </c>
      <c r="AT25" s="72">
        <f t="shared" si="24"/>
        <v>22776.663302605379</v>
      </c>
      <c r="AU25" s="78">
        <f t="shared" si="62"/>
        <v>2116.0036513011314</v>
      </c>
      <c r="AV25" s="79">
        <f t="shared" si="26"/>
        <v>3.2691536697692564E-2</v>
      </c>
      <c r="AW25" s="80">
        <f t="shared" si="27"/>
        <v>688.6725962742903</v>
      </c>
      <c r="AX25" s="81">
        <f t="shared" si="28"/>
        <v>1427.3310550268411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5 LEAF SLIDING FOLDING WINDOW</v>
      </c>
      <c r="D26" s="131" t="str">
        <f>Pricing!B22</f>
        <v>SFW1</v>
      </c>
      <c r="E26" s="132" t="str">
        <f>Pricing!N22</f>
        <v>24MM</v>
      </c>
      <c r="F26" s="68">
        <f>Pricing!G22</f>
        <v>4572</v>
      </c>
      <c r="G26" s="68">
        <f>Pricing!H22</f>
        <v>1830</v>
      </c>
      <c r="H26" s="100">
        <f t="shared" si="0"/>
        <v>8.3667599999999993</v>
      </c>
      <c r="I26" s="70">
        <f>Pricing!I22</f>
        <v>1</v>
      </c>
      <c r="J26" s="69">
        <f t="shared" si="30"/>
        <v>8.3667599999999993</v>
      </c>
      <c r="K26" s="71">
        <f t="shared" si="31"/>
        <v>90.059804639999982</v>
      </c>
      <c r="L26" s="69"/>
      <c r="M26" s="72"/>
      <c r="N26" s="72"/>
      <c r="O26" s="72">
        <f t="shared" si="3"/>
        <v>0</v>
      </c>
      <c r="P26" s="73">
        <f>Pricing!M22</f>
        <v>97730.010000000009</v>
      </c>
      <c r="Q26" s="74">
        <f t="shared" si="50"/>
        <v>9773.001000000002</v>
      </c>
      <c r="R26" s="74">
        <f t="shared" si="51"/>
        <v>11825.331210000002</v>
      </c>
      <c r="S26" s="74">
        <f t="shared" si="52"/>
        <v>596.64171105000014</v>
      </c>
      <c r="T26" s="74">
        <f t="shared" si="53"/>
        <v>1199.2498392105003</v>
      </c>
      <c r="U26" s="72">
        <f t="shared" si="54"/>
        <v>121124.23376026053</v>
      </c>
      <c r="V26" s="74">
        <f t="shared" si="55"/>
        <v>1816.8635064039079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24581.540879999997</v>
      </c>
      <c r="AE26" s="76">
        <f t="shared" si="43"/>
        <v>1049.5081967213114</v>
      </c>
      <c r="AF26" s="343">
        <f t="shared" si="44"/>
        <v>1075.5359999999998</v>
      </c>
      <c r="AG26" s="344"/>
      <c r="AH26" s="76">
        <f t="shared" si="45"/>
        <v>38.411999999999999</v>
      </c>
      <c r="AI26" s="76">
        <f t="shared" si="15"/>
        <v>128.04</v>
      </c>
      <c r="AJ26" s="76">
        <f>J26*Pricing!Q22</f>
        <v>0</v>
      </c>
      <c r="AK26" s="76">
        <f>J26*Pricing!R22</f>
        <v>0</v>
      </c>
      <c r="AL26" s="76">
        <f t="shared" si="16"/>
        <v>9005.9804639999984</v>
      </c>
      <c r="AM26" s="77">
        <f t="shared" si="17"/>
        <v>0</v>
      </c>
      <c r="AN26" s="76">
        <f t="shared" si="18"/>
        <v>7204.7843711999985</v>
      </c>
      <c r="AO26" s="72">
        <f t="shared" si="19"/>
        <v>125232.59346338575</v>
      </c>
      <c r="AP26" s="74">
        <f t="shared" si="20"/>
        <v>156540.7418292322</v>
      </c>
      <c r="AQ26" s="74">
        <f t="shared" si="61"/>
        <v>0</v>
      </c>
      <c r="AR26" s="74">
        <f t="shared" si="22"/>
        <v>33677.712195953747</v>
      </c>
      <c r="AS26" s="72">
        <f t="shared" si="23"/>
        <v>322565.64100781793</v>
      </c>
      <c r="AT26" s="72">
        <f t="shared" si="24"/>
        <v>38553.232195953744</v>
      </c>
      <c r="AU26" s="78">
        <f t="shared" si="62"/>
        <v>3581.6826640611062</v>
      </c>
      <c r="AV26" s="79">
        <f t="shared" si="26"/>
        <v>4.5265204658343543E-2</v>
      </c>
      <c r="AW26" s="80">
        <f t="shared" si="27"/>
        <v>1365.1050849832764</v>
      </c>
      <c r="AX26" s="81">
        <f t="shared" si="28"/>
        <v>2216.5775790778303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SIDE HUNG WITH FIXED GLASS</v>
      </c>
      <c r="D27" s="131" t="str">
        <f>Pricing!B23</f>
        <v>CW1-A</v>
      </c>
      <c r="E27" s="132" t="str">
        <f>Pricing!N23</f>
        <v>24MM</v>
      </c>
      <c r="F27" s="68">
        <f>Pricing!G23</f>
        <v>3759</v>
      </c>
      <c r="G27" s="68">
        <f>Pricing!H23</f>
        <v>1372</v>
      </c>
      <c r="H27" s="100">
        <f t="shared" si="0"/>
        <v>5.1573479999999998</v>
      </c>
      <c r="I27" s="70">
        <f>Pricing!I23</f>
        <v>1</v>
      </c>
      <c r="J27" s="69">
        <f t="shared" si="30"/>
        <v>5.1573479999999998</v>
      </c>
      <c r="K27" s="71">
        <f t="shared" si="31"/>
        <v>55.513693871999997</v>
      </c>
      <c r="L27" s="69"/>
      <c r="M27" s="72"/>
      <c r="N27" s="72"/>
      <c r="O27" s="72">
        <f t="shared" si="3"/>
        <v>0</v>
      </c>
      <c r="P27" s="73">
        <f>Pricing!M23</f>
        <v>39637.480000000003</v>
      </c>
      <c r="Q27" s="74">
        <f t="shared" si="4"/>
        <v>3963.7480000000005</v>
      </c>
      <c r="R27" s="74">
        <f t="shared" si="5"/>
        <v>4796.13508</v>
      </c>
      <c r="S27" s="74">
        <f t="shared" si="6"/>
        <v>241.98681540000001</v>
      </c>
      <c r="T27" s="74">
        <f t="shared" si="7"/>
        <v>486.39349895400005</v>
      </c>
      <c r="U27" s="72">
        <f t="shared" si="8"/>
        <v>49125.743394354002</v>
      </c>
      <c r="V27" s="74">
        <f t="shared" si="9"/>
        <v>736.88615091531005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15152.288424</v>
      </c>
      <c r="AE27" s="76">
        <f t="shared" si="43"/>
        <v>841.14754098360652</v>
      </c>
      <c r="AF27" s="343">
        <f t="shared" si="44"/>
        <v>862.00800000000004</v>
      </c>
      <c r="AG27" s="344"/>
      <c r="AH27" s="76">
        <f t="shared" si="45"/>
        <v>30.786000000000001</v>
      </c>
      <c r="AI27" s="76">
        <f t="shared" ref="AI27:AI32" si="64">(((F27+G27)*2*I27)/1000)*2*$AI$7</f>
        <v>102.62</v>
      </c>
      <c r="AJ27" s="76">
        <f>J27*Pricing!Q23</f>
        <v>0</v>
      </c>
      <c r="AK27" s="76">
        <f>J27*Pricing!R23</f>
        <v>0</v>
      </c>
      <c r="AL27" s="76">
        <f t="shared" si="16"/>
        <v>5551.3693871999994</v>
      </c>
      <c r="AM27" s="77">
        <f t="shared" si="17"/>
        <v>0</v>
      </c>
      <c r="AN27" s="76">
        <f t="shared" si="18"/>
        <v>4441.095509759999</v>
      </c>
      <c r="AO27" s="72">
        <f t="shared" si="19"/>
        <v>51699.191086252918</v>
      </c>
      <c r="AP27" s="74">
        <f t="shared" si="20"/>
        <v>64623.988857816148</v>
      </c>
      <c r="AQ27" s="74">
        <f t="shared" si="21"/>
        <v>0</v>
      </c>
      <c r="AR27" s="74">
        <f t="shared" si="22"/>
        <v>22554.844067933573</v>
      </c>
      <c r="AS27" s="72">
        <f t="shared" si="23"/>
        <v>141467.93326502907</v>
      </c>
      <c r="AT27" s="72">
        <f t="shared" si="24"/>
        <v>27430.364067933573</v>
      </c>
      <c r="AU27" s="78">
        <f t="shared" si="25"/>
        <v>2548.3430014802652</v>
      </c>
      <c r="AV27" s="79">
        <f t="shared" si="26"/>
        <v>2.7901889466687077E-2</v>
      </c>
      <c r="AW27" s="80">
        <f t="shared" si="27"/>
        <v>898.20413788784151</v>
      </c>
      <c r="AX27" s="81">
        <f t="shared" si="28"/>
        <v>1650.1388635924231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</v>
      </c>
      <c r="D28" s="131" t="str">
        <f>Pricing!B24</f>
        <v>W5</v>
      </c>
      <c r="E28" s="132" t="str">
        <f>Pricing!N24</f>
        <v>24MM</v>
      </c>
      <c r="F28" s="68">
        <f>Pricing!G24</f>
        <v>610</v>
      </c>
      <c r="G28" s="68">
        <f>Pricing!H24</f>
        <v>2134</v>
      </c>
      <c r="H28" s="100">
        <f t="shared" si="0"/>
        <v>1.3017399999999999</v>
      </c>
      <c r="I28" s="70">
        <f>Pricing!I24</f>
        <v>1</v>
      </c>
      <c r="J28" s="69">
        <f t="shared" si="30"/>
        <v>1.3017399999999999</v>
      </c>
      <c r="K28" s="71">
        <f t="shared" si="31"/>
        <v>14.011929359999998</v>
      </c>
      <c r="L28" s="69"/>
      <c r="M28" s="72"/>
      <c r="N28" s="72"/>
      <c r="O28" s="72">
        <f t="shared" si="3"/>
        <v>0</v>
      </c>
      <c r="P28" s="73">
        <f>Pricing!M24</f>
        <v>4106.84</v>
      </c>
      <c r="Q28" s="74">
        <f t="shared" si="4"/>
        <v>410.68400000000003</v>
      </c>
      <c r="R28" s="74">
        <f t="shared" si="5"/>
        <v>496.92764000000005</v>
      </c>
      <c r="S28" s="74">
        <f t="shared" si="6"/>
        <v>25.0722582</v>
      </c>
      <c r="T28" s="74">
        <f t="shared" si="7"/>
        <v>50.395238982000002</v>
      </c>
      <c r="U28" s="72">
        <f t="shared" si="8"/>
        <v>5089.9191371819998</v>
      </c>
      <c r="V28" s="74">
        <f t="shared" si="9"/>
        <v>76.348787057729993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3824.5121199999999</v>
      </c>
      <c r="AE28" s="76">
        <f t="shared" si="43"/>
        <v>449.8360655737705</v>
      </c>
      <c r="AF28" s="343">
        <f t="shared" si="44"/>
        <v>460.99200000000008</v>
      </c>
      <c r="AG28" s="344"/>
      <c r="AH28" s="76">
        <f t="shared" si="45"/>
        <v>16.464000000000002</v>
      </c>
      <c r="AI28" s="76">
        <f t="shared" si="64"/>
        <v>54.88</v>
      </c>
      <c r="AJ28" s="76">
        <f>J28*Pricing!Q24</f>
        <v>0</v>
      </c>
      <c r="AK28" s="76">
        <f>J28*Pricing!R24</f>
        <v>0</v>
      </c>
      <c r="AL28" s="76">
        <f t="shared" si="16"/>
        <v>1401.1929359999997</v>
      </c>
      <c r="AM28" s="77">
        <f t="shared" si="17"/>
        <v>0</v>
      </c>
      <c r="AN28" s="76">
        <f t="shared" si="18"/>
        <v>1120.9543487999997</v>
      </c>
      <c r="AO28" s="72">
        <f t="shared" si="19"/>
        <v>6148.4399898135016</v>
      </c>
      <c r="AP28" s="74">
        <f t="shared" si="20"/>
        <v>7685.549987266877</v>
      </c>
      <c r="AQ28" s="74">
        <f t="shared" si="21"/>
        <v>0</v>
      </c>
      <c r="AR28" s="74">
        <f t="shared" si="22"/>
        <v>10627.306510578441</v>
      </c>
      <c r="AS28" s="72">
        <f t="shared" si="23"/>
        <v>20180.649381880379</v>
      </c>
      <c r="AT28" s="72">
        <f t="shared" si="24"/>
        <v>15502.826510578441</v>
      </c>
      <c r="AU28" s="78">
        <f t="shared" si="25"/>
        <v>1440.2477248772243</v>
      </c>
      <c r="AV28" s="79">
        <f t="shared" si="26"/>
        <v>7.0425741280916538E-3</v>
      </c>
      <c r="AW28" s="80">
        <f t="shared" si="27"/>
        <v>368.70496499846263</v>
      </c>
      <c r="AX28" s="81">
        <f t="shared" si="28"/>
        <v>1071.5427598787617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SLIDING WINDOW</v>
      </c>
      <c r="D29" s="131" t="str">
        <f>Pricing!B25</f>
        <v>CW2-A</v>
      </c>
      <c r="E29" s="132" t="str">
        <f>Pricing!N25</f>
        <v>24MM</v>
      </c>
      <c r="F29" s="68">
        <f>Pricing!G25</f>
        <v>1524</v>
      </c>
      <c r="G29" s="68">
        <f>Pricing!H25</f>
        <v>1678</v>
      </c>
      <c r="H29" s="100">
        <f t="shared" si="0"/>
        <v>2.5572720000000002</v>
      </c>
      <c r="I29" s="70">
        <f>Pricing!I25</f>
        <v>2</v>
      </c>
      <c r="J29" s="69">
        <f t="shared" si="30"/>
        <v>5.1145440000000004</v>
      </c>
      <c r="K29" s="71">
        <f t="shared" si="31"/>
        <v>55.052951616000001</v>
      </c>
      <c r="L29" s="69"/>
      <c r="M29" s="72"/>
      <c r="N29" s="72"/>
      <c r="O29" s="72">
        <f t="shared" si="3"/>
        <v>0</v>
      </c>
      <c r="P29" s="73">
        <f>Pricing!M25</f>
        <v>51700.7</v>
      </c>
      <c r="Q29" s="74">
        <f t="shared" si="4"/>
        <v>5170.07</v>
      </c>
      <c r="R29" s="74">
        <f t="shared" si="5"/>
        <v>6255.7846999999992</v>
      </c>
      <c r="S29" s="74">
        <f t="shared" si="6"/>
        <v>315.63277349999998</v>
      </c>
      <c r="T29" s="74">
        <f t="shared" si="7"/>
        <v>634.42187473499996</v>
      </c>
      <c r="U29" s="72">
        <f t="shared" si="8"/>
        <v>64076.609348234997</v>
      </c>
      <c r="V29" s="74">
        <f t="shared" si="9"/>
        <v>961.14914022352491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15026.530272000002</v>
      </c>
      <c r="AE29" s="76">
        <f t="shared" si="43"/>
        <v>1049.8360655737704</v>
      </c>
      <c r="AF29" s="343">
        <f t="shared" si="44"/>
        <v>1075.8719999999998</v>
      </c>
      <c r="AG29" s="344"/>
      <c r="AH29" s="76">
        <f t="shared" si="45"/>
        <v>38.423999999999999</v>
      </c>
      <c r="AI29" s="76">
        <f t="shared" si="64"/>
        <v>128.07999999999998</v>
      </c>
      <c r="AJ29" s="76">
        <f>J29*Pricing!Q25</f>
        <v>2752.6475808</v>
      </c>
      <c r="AK29" s="76">
        <f>J29*Pricing!R25</f>
        <v>0</v>
      </c>
      <c r="AL29" s="76">
        <f t="shared" si="16"/>
        <v>5505.2951616</v>
      </c>
      <c r="AM29" s="77">
        <f t="shared" si="17"/>
        <v>0</v>
      </c>
      <c r="AN29" s="76">
        <f t="shared" si="18"/>
        <v>4404.2361292799997</v>
      </c>
      <c r="AO29" s="72">
        <f t="shared" si="19"/>
        <v>67329.97055403229</v>
      </c>
      <c r="AP29" s="74">
        <f t="shared" si="20"/>
        <v>84162.463192540366</v>
      </c>
      <c r="AQ29" s="74">
        <f t="shared" si="21"/>
        <v>0</v>
      </c>
      <c r="AR29" s="74">
        <f t="shared" si="22"/>
        <v>29619.929703717989</v>
      </c>
      <c r="AS29" s="72">
        <f t="shared" si="23"/>
        <v>179181.14289025267</v>
      </c>
      <c r="AT29" s="72">
        <f t="shared" si="24"/>
        <v>35033.649703717994</v>
      </c>
      <c r="AU29" s="78">
        <f t="shared" si="25"/>
        <v>3254.7054722889256</v>
      </c>
      <c r="AV29" s="79">
        <f t="shared" si="26"/>
        <v>2.7670314541603087E-2</v>
      </c>
      <c r="AW29" s="80">
        <f t="shared" si="27"/>
        <v>1181.3673305312234</v>
      </c>
      <c r="AX29" s="81">
        <f t="shared" si="28"/>
        <v>2073.3381417577025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 CORNOR WINDOW</v>
      </c>
      <c r="D30" s="131" t="str">
        <f>Pricing!B26</f>
        <v>CW2-B</v>
      </c>
      <c r="E30" s="132" t="str">
        <f>Pricing!N26</f>
        <v>24MM</v>
      </c>
      <c r="F30" s="68">
        <f>Pricing!G26</f>
        <v>2924</v>
      </c>
      <c r="G30" s="68">
        <f>Pricing!H26</f>
        <v>1678</v>
      </c>
      <c r="H30" s="100">
        <f t="shared" si="0"/>
        <v>4.9064719999999999</v>
      </c>
      <c r="I30" s="70">
        <f>Pricing!I26</f>
        <v>2</v>
      </c>
      <c r="J30" s="69">
        <f t="shared" si="30"/>
        <v>9.8129439999999999</v>
      </c>
      <c r="K30" s="71">
        <f t="shared" si="31"/>
        <v>105.62652921599999</v>
      </c>
      <c r="L30" s="69"/>
      <c r="M30" s="72"/>
      <c r="N30" s="72"/>
      <c r="O30" s="72">
        <f t="shared" si="3"/>
        <v>0</v>
      </c>
      <c r="P30" s="73">
        <f>Pricing!M26</f>
        <v>12836.779999999999</v>
      </c>
      <c r="Q30" s="74">
        <f t="shared" si="4"/>
        <v>1283.6779999999999</v>
      </c>
      <c r="R30" s="74">
        <f t="shared" si="5"/>
        <v>1553.25038</v>
      </c>
      <c r="S30" s="74">
        <f t="shared" si="6"/>
        <v>78.368541899999997</v>
      </c>
      <c r="T30" s="74">
        <f t="shared" si="7"/>
        <v>157.52076921899999</v>
      </c>
      <c r="U30" s="72">
        <f t="shared" si="8"/>
        <v>15909.597691118997</v>
      </c>
      <c r="V30" s="74">
        <f t="shared" si="9"/>
        <v>238.64396536678495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28830.429472</v>
      </c>
      <c r="AE30" s="76">
        <f t="shared" si="43"/>
        <v>1508.8524590163936</v>
      </c>
      <c r="AF30" s="343">
        <f t="shared" si="44"/>
        <v>1546.2720000000002</v>
      </c>
      <c r="AG30" s="344"/>
      <c r="AH30" s="76">
        <f t="shared" si="45"/>
        <v>55.224000000000004</v>
      </c>
      <c r="AI30" s="76">
        <f t="shared" si="64"/>
        <v>184.08</v>
      </c>
      <c r="AJ30" s="76">
        <f>J30*Pricing!Q26</f>
        <v>0</v>
      </c>
      <c r="AK30" s="76">
        <f>J30*Pricing!R26</f>
        <v>0</v>
      </c>
      <c r="AL30" s="76">
        <f t="shared" si="16"/>
        <v>10562.652921599998</v>
      </c>
      <c r="AM30" s="77">
        <f t="shared" si="17"/>
        <v>0</v>
      </c>
      <c r="AN30" s="76">
        <f t="shared" si="18"/>
        <v>8450.1223372799996</v>
      </c>
      <c r="AO30" s="72">
        <f t="shared" si="19"/>
        <v>19442.670115502176</v>
      </c>
      <c r="AP30" s="74">
        <f t="shared" si="20"/>
        <v>24303.33764437772</v>
      </c>
      <c r="AQ30" s="74">
        <f t="shared" si="21"/>
        <v>0</v>
      </c>
      <c r="AR30" s="74">
        <f t="shared" si="22"/>
        <v>4457.9901566624549</v>
      </c>
      <c r="AS30" s="72">
        <f t="shared" si="23"/>
        <v>91589.212490759906</v>
      </c>
      <c r="AT30" s="72">
        <f t="shared" si="24"/>
        <v>9333.5101566624562</v>
      </c>
      <c r="AU30" s="78">
        <f t="shared" si="25"/>
        <v>867.10425089766409</v>
      </c>
      <c r="AV30" s="79">
        <f t="shared" si="26"/>
        <v>5.3089238661185971E-2</v>
      </c>
      <c r="AW30" s="80">
        <f t="shared" si="27"/>
        <v>152.88054787319183</v>
      </c>
      <c r="AX30" s="81">
        <f t="shared" si="28"/>
        <v>714.22370302447223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3 TRACK 2 SHUTTER SLIDING WINDOW</v>
      </c>
      <c r="D31" s="131" t="str">
        <f>Pricing!B27</f>
        <v>CW2-C</v>
      </c>
      <c r="E31" s="132" t="str">
        <f>Pricing!N27</f>
        <v>24MM</v>
      </c>
      <c r="F31" s="68">
        <f>Pricing!G27</f>
        <v>1830</v>
      </c>
      <c r="G31" s="68">
        <f>Pricing!H27</f>
        <v>1678</v>
      </c>
      <c r="H31" s="100">
        <f t="shared" si="0"/>
        <v>3.0707399999999998</v>
      </c>
      <c r="I31" s="70">
        <f>Pricing!I27</f>
        <v>2</v>
      </c>
      <c r="J31" s="69">
        <f t="shared" si="30"/>
        <v>6.1414799999999996</v>
      </c>
      <c r="K31" s="71">
        <f t="shared" si="31"/>
        <v>66.106890719999996</v>
      </c>
      <c r="L31" s="69"/>
      <c r="M31" s="72"/>
      <c r="N31" s="72"/>
      <c r="O31" s="72">
        <f t="shared" si="3"/>
        <v>0</v>
      </c>
      <c r="P31" s="73">
        <f>Pricing!M27</f>
        <v>54723.560000000005</v>
      </c>
      <c r="Q31" s="74">
        <f t="shared" si="4"/>
        <v>5472.3560000000007</v>
      </c>
      <c r="R31" s="74">
        <f t="shared" si="5"/>
        <v>6621.550760000001</v>
      </c>
      <c r="S31" s="74">
        <f t="shared" si="6"/>
        <v>334.08733380000007</v>
      </c>
      <c r="T31" s="74">
        <f t="shared" si="7"/>
        <v>671.51554093800007</v>
      </c>
      <c r="U31" s="72">
        <f t="shared" si="8"/>
        <v>67823.069634738</v>
      </c>
      <c r="V31" s="74">
        <f t="shared" si="9"/>
        <v>1017.34604452107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18043.668239999999</v>
      </c>
      <c r="AE31" s="76">
        <f t="shared" si="43"/>
        <v>1150.1639344262296</v>
      </c>
      <c r="AF31" s="343">
        <f t="shared" si="44"/>
        <v>1178.6880000000001</v>
      </c>
      <c r="AG31" s="344"/>
      <c r="AH31" s="76">
        <f t="shared" si="45"/>
        <v>42.096000000000004</v>
      </c>
      <c r="AI31" s="76">
        <f t="shared" si="64"/>
        <v>140.32</v>
      </c>
      <c r="AJ31" s="76">
        <f>J31*Pricing!Q27</f>
        <v>3305.3445359999992</v>
      </c>
      <c r="AK31" s="76">
        <f>J31*Pricing!R27</f>
        <v>0</v>
      </c>
      <c r="AL31" s="76">
        <f t="shared" si="16"/>
        <v>6610.6890719999983</v>
      </c>
      <c r="AM31" s="77">
        <f t="shared" si="17"/>
        <v>0</v>
      </c>
      <c r="AN31" s="76">
        <f t="shared" si="18"/>
        <v>5288.5512575999992</v>
      </c>
      <c r="AO31" s="72">
        <f t="shared" si="19"/>
        <v>71351.683613685294</v>
      </c>
      <c r="AP31" s="74">
        <f t="shared" si="20"/>
        <v>89189.604517106622</v>
      </c>
      <c r="AQ31" s="74">
        <f t="shared" si="21"/>
        <v>0</v>
      </c>
      <c r="AR31" s="74">
        <f t="shared" si="22"/>
        <v>26140.488633162026</v>
      </c>
      <c r="AS31" s="72">
        <f t="shared" si="23"/>
        <v>193789.5412363919</v>
      </c>
      <c r="AT31" s="72">
        <f t="shared" si="24"/>
        <v>31554.208633162027</v>
      </c>
      <c r="AU31" s="78">
        <f t="shared" si="25"/>
        <v>2931.4575095839864</v>
      </c>
      <c r="AV31" s="79">
        <f t="shared" si="26"/>
        <v>3.3226165099169057E-2</v>
      </c>
      <c r="AW31" s="80">
        <f t="shared" si="27"/>
        <v>1041.3500760584413</v>
      </c>
      <c r="AX31" s="81">
        <f t="shared" si="28"/>
        <v>1890.1074335255448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3 TRACK 2 SHUTTER SLIDING WINDOW</v>
      </c>
      <c r="D32" s="131" t="str">
        <f>Pricing!B28</f>
        <v>CW3-A</v>
      </c>
      <c r="E32" s="132" t="str">
        <f>Pricing!N28</f>
        <v>24MM</v>
      </c>
      <c r="F32" s="68">
        <f>Pricing!G28</f>
        <v>1830</v>
      </c>
      <c r="G32" s="68">
        <f>Pricing!H28</f>
        <v>1678</v>
      </c>
      <c r="H32" s="100">
        <f t="shared" si="0"/>
        <v>3.0707399999999998</v>
      </c>
      <c r="I32" s="70">
        <f>Pricing!I28</f>
        <v>2</v>
      </c>
      <c r="J32" s="69">
        <f t="shared" si="30"/>
        <v>6.1414799999999996</v>
      </c>
      <c r="K32" s="71">
        <f t="shared" si="31"/>
        <v>66.106890719999996</v>
      </c>
      <c r="L32" s="69"/>
      <c r="M32" s="72"/>
      <c r="N32" s="72"/>
      <c r="O32" s="72">
        <f t="shared" si="3"/>
        <v>0</v>
      </c>
      <c r="P32" s="73">
        <f>Pricing!M28</f>
        <v>54723.560000000005</v>
      </c>
      <c r="Q32" s="74">
        <f t="shared" si="4"/>
        <v>5472.3560000000007</v>
      </c>
      <c r="R32" s="74">
        <f t="shared" si="5"/>
        <v>6621.550760000001</v>
      </c>
      <c r="S32" s="74">
        <f t="shared" si="6"/>
        <v>334.08733380000007</v>
      </c>
      <c r="T32" s="74">
        <f t="shared" si="7"/>
        <v>671.51554093800007</v>
      </c>
      <c r="U32" s="72">
        <f t="shared" si="8"/>
        <v>67823.069634738</v>
      </c>
      <c r="V32" s="74">
        <f t="shared" si="9"/>
        <v>1017.34604452107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18043.668239999999</v>
      </c>
      <c r="AE32" s="76">
        <f t="shared" si="43"/>
        <v>1150.1639344262296</v>
      </c>
      <c r="AF32" s="343">
        <f t="shared" si="44"/>
        <v>1178.6880000000001</v>
      </c>
      <c r="AG32" s="344"/>
      <c r="AH32" s="76">
        <f t="shared" si="45"/>
        <v>42.096000000000004</v>
      </c>
      <c r="AI32" s="76">
        <f t="shared" si="64"/>
        <v>140.32</v>
      </c>
      <c r="AJ32" s="76">
        <f>J32*Pricing!Q28</f>
        <v>3305.3445359999992</v>
      </c>
      <c r="AK32" s="76">
        <f>J32*Pricing!R28</f>
        <v>0</v>
      </c>
      <c r="AL32" s="76">
        <f t="shared" si="16"/>
        <v>6610.6890719999983</v>
      </c>
      <c r="AM32" s="77">
        <f t="shared" si="17"/>
        <v>0</v>
      </c>
      <c r="AN32" s="76">
        <f t="shared" si="18"/>
        <v>5288.5512575999992</v>
      </c>
      <c r="AO32" s="72">
        <f t="shared" si="19"/>
        <v>71351.683613685294</v>
      </c>
      <c r="AP32" s="74">
        <f t="shared" si="20"/>
        <v>89189.604517106622</v>
      </c>
      <c r="AQ32" s="74">
        <f t="shared" si="21"/>
        <v>0</v>
      </c>
      <c r="AR32" s="74">
        <f t="shared" si="22"/>
        <v>26140.488633162026</v>
      </c>
      <c r="AS32" s="72">
        <f t="shared" si="23"/>
        <v>193789.5412363919</v>
      </c>
      <c r="AT32" s="72">
        <f t="shared" si="24"/>
        <v>31554.208633162027</v>
      </c>
      <c r="AU32" s="78">
        <f t="shared" si="25"/>
        <v>2931.4575095839864</v>
      </c>
      <c r="AV32" s="79">
        <f t="shared" si="26"/>
        <v>3.3226165099169057E-2</v>
      </c>
      <c r="AW32" s="80">
        <f t="shared" si="27"/>
        <v>1041.3500760584413</v>
      </c>
      <c r="AX32" s="81">
        <f t="shared" si="28"/>
        <v>1890.1074335255448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 CORNOR WINDOW</v>
      </c>
      <c r="D33" s="131" t="str">
        <f>Pricing!B29</f>
        <v>CW3-B</v>
      </c>
      <c r="E33" s="132" t="str">
        <f>Pricing!N29</f>
        <v>24MM</v>
      </c>
      <c r="F33" s="68">
        <f>Pricing!G29</f>
        <v>2694</v>
      </c>
      <c r="G33" s="68">
        <f>Pricing!H29</f>
        <v>1678</v>
      </c>
      <c r="H33" s="100">
        <f t="shared" si="0"/>
        <v>4.5205320000000002</v>
      </c>
      <c r="I33" s="70">
        <f>Pricing!I29</f>
        <v>2</v>
      </c>
      <c r="J33" s="69">
        <f t="shared" si="30"/>
        <v>9.0410640000000004</v>
      </c>
      <c r="K33" s="71">
        <f t="shared" si="31"/>
        <v>97.318012895999999</v>
      </c>
      <c r="L33" s="69"/>
      <c r="M33" s="72"/>
      <c r="N33" s="72"/>
      <c r="O33" s="72">
        <f t="shared" si="3"/>
        <v>0</v>
      </c>
      <c r="P33" s="73">
        <f>Pricing!M29</f>
        <v>12265.74</v>
      </c>
      <c r="Q33" s="74">
        <f t="shared" ref="Q33:Q38" si="65">P33*$Q$6</f>
        <v>1226.5740000000001</v>
      </c>
      <c r="R33" s="74">
        <f t="shared" ref="R33:R38" si="66">(P33+Q33)*$R$6</f>
        <v>1484.15454</v>
      </c>
      <c r="S33" s="74">
        <f t="shared" ref="S33:S38" si="67">(P33+Q33+R33)*$S$6</f>
        <v>74.882342699999995</v>
      </c>
      <c r="T33" s="74">
        <f t="shared" ref="T33:T38" si="68">(P33+Q33+R33+S33)*$T$6</f>
        <v>150.51350882700001</v>
      </c>
      <c r="U33" s="72">
        <f t="shared" ref="U33:U38" si="69">SUM(P33:T33)</f>
        <v>15201.864391527</v>
      </c>
      <c r="V33" s="74">
        <f t="shared" ref="V33:V38" si="70">U33*$V$6</f>
        <v>228.02796587290499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26562.646032000001</v>
      </c>
      <c r="AE33" s="76">
        <f t="shared" si="43"/>
        <v>1433.4426229508197</v>
      </c>
      <c r="AF33" s="343">
        <f t="shared" si="44"/>
        <v>1468.992</v>
      </c>
      <c r="AG33" s="344"/>
      <c r="AH33" s="76">
        <f t="shared" si="45"/>
        <v>52.463999999999999</v>
      </c>
      <c r="AI33" s="76">
        <f t="shared" si="15"/>
        <v>174.88</v>
      </c>
      <c r="AJ33" s="76">
        <f>J33*Pricing!Q29</f>
        <v>0</v>
      </c>
      <c r="AK33" s="76">
        <f>J33*Pricing!R29</f>
        <v>0</v>
      </c>
      <c r="AL33" s="76">
        <f t="shared" si="16"/>
        <v>9731.8012896</v>
      </c>
      <c r="AM33" s="77">
        <f t="shared" si="17"/>
        <v>0</v>
      </c>
      <c r="AN33" s="76">
        <f t="shared" si="18"/>
        <v>7785.4410316799995</v>
      </c>
      <c r="AO33" s="72">
        <f t="shared" si="19"/>
        <v>18559.670980350729</v>
      </c>
      <c r="AP33" s="74">
        <f t="shared" si="20"/>
        <v>23199.588725438411</v>
      </c>
      <c r="AQ33" s="74">
        <f t="shared" ref="AQ33:AQ38" si="76">(AO33+AP33)*$AQ$6</f>
        <v>0</v>
      </c>
      <c r="AR33" s="74">
        <f t="shared" si="22"/>
        <v>4618.8435018034534</v>
      </c>
      <c r="AS33" s="72">
        <f t="shared" si="23"/>
        <v>85839.14805906915</v>
      </c>
      <c r="AT33" s="72">
        <f t="shared" si="24"/>
        <v>9494.3635018034547</v>
      </c>
      <c r="AU33" s="78">
        <f t="shared" ref="AU33:AU38" si="77">AT33/10.764</f>
        <v>882.04789128608843</v>
      </c>
      <c r="AV33" s="79">
        <f t="shared" si="26"/>
        <v>4.8913272555825928E-2</v>
      </c>
      <c r="AW33" s="80">
        <f t="shared" si="27"/>
        <v>158.55124758752766</v>
      </c>
      <c r="AX33" s="81">
        <f t="shared" si="28"/>
        <v>723.49664369856055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3 TRACK 2 SHUTTER SLIDING WINDOW</v>
      </c>
      <c r="D34" s="131" t="str">
        <f>Pricing!B30</f>
        <v>CW3-C</v>
      </c>
      <c r="E34" s="132" t="str">
        <f>Pricing!N30</f>
        <v>24MM</v>
      </c>
      <c r="F34" s="68">
        <f>Pricing!G30</f>
        <v>1524</v>
      </c>
      <c r="G34" s="68">
        <f>Pricing!H30</f>
        <v>1678</v>
      </c>
      <c r="H34" s="100">
        <f t="shared" si="0"/>
        <v>2.5572720000000002</v>
      </c>
      <c r="I34" s="70">
        <f>Pricing!I30</f>
        <v>2</v>
      </c>
      <c r="J34" s="69">
        <f t="shared" si="30"/>
        <v>5.1145440000000004</v>
      </c>
      <c r="K34" s="71">
        <f t="shared" si="31"/>
        <v>55.052951616000001</v>
      </c>
      <c r="L34" s="69"/>
      <c r="M34" s="72"/>
      <c r="N34" s="72"/>
      <c r="O34" s="72">
        <f t="shared" si="3"/>
        <v>0</v>
      </c>
      <c r="P34" s="73">
        <f>Pricing!M30</f>
        <v>51788.68</v>
      </c>
      <c r="Q34" s="74">
        <f t="shared" si="65"/>
        <v>5178.8680000000004</v>
      </c>
      <c r="R34" s="74">
        <f t="shared" si="66"/>
        <v>6266.4302800000005</v>
      </c>
      <c r="S34" s="74">
        <f t="shared" si="67"/>
        <v>316.16989140000004</v>
      </c>
      <c r="T34" s="74">
        <f t="shared" si="68"/>
        <v>635.50148171400008</v>
      </c>
      <c r="U34" s="72">
        <f t="shared" si="69"/>
        <v>64185.649653114007</v>
      </c>
      <c r="V34" s="74">
        <f t="shared" si="70"/>
        <v>962.78474479671013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15026.530272000002</v>
      </c>
      <c r="AE34" s="76">
        <f t="shared" si="43"/>
        <v>1049.8360655737704</v>
      </c>
      <c r="AF34" s="343">
        <f t="shared" si="44"/>
        <v>1075.8719999999998</v>
      </c>
      <c r="AG34" s="344"/>
      <c r="AH34" s="76">
        <f t="shared" si="45"/>
        <v>38.423999999999999</v>
      </c>
      <c r="AI34" s="76">
        <f t="shared" si="15"/>
        <v>128.07999999999998</v>
      </c>
      <c r="AJ34" s="76">
        <f>J34*Pricing!Q30</f>
        <v>2752.6475808</v>
      </c>
      <c r="AK34" s="76">
        <f>J34*Pricing!R30</f>
        <v>0</v>
      </c>
      <c r="AL34" s="76">
        <f t="shared" si="16"/>
        <v>5505.2951616</v>
      </c>
      <c r="AM34" s="77">
        <f t="shared" si="17"/>
        <v>0</v>
      </c>
      <c r="AN34" s="76">
        <f t="shared" si="18"/>
        <v>4404.2361292799997</v>
      </c>
      <c r="AO34" s="72">
        <f t="shared" si="19"/>
        <v>67440.646463484489</v>
      </c>
      <c r="AP34" s="74">
        <f t="shared" si="20"/>
        <v>84300.808079355615</v>
      </c>
      <c r="AQ34" s="74">
        <f t="shared" si="76"/>
        <v>0</v>
      </c>
      <c r="AR34" s="74">
        <f t="shared" si="22"/>
        <v>29668.618461946968</v>
      </c>
      <c r="AS34" s="72">
        <f t="shared" si="23"/>
        <v>179430.16368652013</v>
      </c>
      <c r="AT34" s="72">
        <f t="shared" si="24"/>
        <v>35082.338461946973</v>
      </c>
      <c r="AU34" s="78">
        <f t="shared" si="77"/>
        <v>3259.2287682968204</v>
      </c>
      <c r="AV34" s="79">
        <f t="shared" si="26"/>
        <v>2.7670314541603087E-2</v>
      </c>
      <c r="AW34" s="80">
        <f t="shared" si="27"/>
        <v>1183.3776843125097</v>
      </c>
      <c r="AX34" s="81">
        <f t="shared" si="28"/>
        <v>2075.8510839843102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3 TRACK 2 SHUTTER SLIDING WINDOW</v>
      </c>
      <c r="D35" s="131" t="str">
        <f>Pricing!B31</f>
        <v>CW4-A</v>
      </c>
      <c r="E35" s="132" t="str">
        <f>Pricing!N31</f>
        <v>24MM</v>
      </c>
      <c r="F35" s="68">
        <f>Pricing!G31</f>
        <v>2694</v>
      </c>
      <c r="G35" s="68">
        <f>Pricing!H31</f>
        <v>1678</v>
      </c>
      <c r="H35" s="100">
        <f t="shared" si="0"/>
        <v>4.5205320000000002</v>
      </c>
      <c r="I35" s="70">
        <f>Pricing!I31</f>
        <v>1</v>
      </c>
      <c r="J35" s="69">
        <f t="shared" si="30"/>
        <v>4.5205320000000002</v>
      </c>
      <c r="K35" s="71">
        <f t="shared" si="31"/>
        <v>48.659006448</v>
      </c>
      <c r="L35" s="69"/>
      <c r="M35" s="72"/>
      <c r="N35" s="72"/>
      <c r="O35" s="72">
        <f t="shared" si="3"/>
        <v>0</v>
      </c>
      <c r="P35" s="73">
        <f>Pricing!M31</f>
        <v>63314.890000000007</v>
      </c>
      <c r="Q35" s="74">
        <f t="shared" si="65"/>
        <v>6331.4890000000014</v>
      </c>
      <c r="R35" s="74">
        <f t="shared" si="66"/>
        <v>7661.1016900000013</v>
      </c>
      <c r="S35" s="74">
        <f t="shared" si="67"/>
        <v>386.53740345000006</v>
      </c>
      <c r="T35" s="74">
        <f t="shared" si="68"/>
        <v>776.94018093450006</v>
      </c>
      <c r="U35" s="72">
        <f t="shared" si="69"/>
        <v>78470.958274384509</v>
      </c>
      <c r="V35" s="74">
        <f t="shared" si="70"/>
        <v>1177.0643741157676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13281.323016</v>
      </c>
      <c r="AE35" s="76">
        <f t="shared" si="43"/>
        <v>716.72131147540983</v>
      </c>
      <c r="AF35" s="343">
        <f t="shared" si="44"/>
        <v>734.49599999999998</v>
      </c>
      <c r="AG35" s="344"/>
      <c r="AH35" s="76">
        <f t="shared" si="45"/>
        <v>26.231999999999999</v>
      </c>
      <c r="AI35" s="76">
        <f t="shared" si="15"/>
        <v>87.44</v>
      </c>
      <c r="AJ35" s="76">
        <f>J35*Pricing!Q31</f>
        <v>2432.9503224</v>
      </c>
      <c r="AK35" s="76">
        <f>J35*Pricing!R31</f>
        <v>0</v>
      </c>
      <c r="AL35" s="76">
        <f t="shared" si="16"/>
        <v>4865.9006448</v>
      </c>
      <c r="AM35" s="77">
        <f t="shared" si="17"/>
        <v>0</v>
      </c>
      <c r="AN35" s="76">
        <f t="shared" si="18"/>
        <v>3892.7205158399997</v>
      </c>
      <c r="AO35" s="72">
        <f t="shared" si="19"/>
        <v>81212.911959975696</v>
      </c>
      <c r="AP35" s="74">
        <f t="shared" si="20"/>
        <v>101516.13994996963</v>
      </c>
      <c r="AQ35" s="74">
        <f t="shared" si="76"/>
        <v>0</v>
      </c>
      <c r="AR35" s="74">
        <f t="shared" si="22"/>
        <v>40422.023759580799</v>
      </c>
      <c r="AS35" s="72">
        <f t="shared" si="23"/>
        <v>207201.94640898533</v>
      </c>
      <c r="AT35" s="72">
        <f t="shared" si="24"/>
        <v>45835.743759580801</v>
      </c>
      <c r="AU35" s="78">
        <f t="shared" si="77"/>
        <v>4258.2444964307697</v>
      </c>
      <c r="AV35" s="79">
        <f t="shared" si="26"/>
        <v>2.4456636277912964E-2</v>
      </c>
      <c r="AW35" s="80">
        <f t="shared" si="27"/>
        <v>1636.8608498740525</v>
      </c>
      <c r="AX35" s="81">
        <f t="shared" si="28"/>
        <v>2621.3836465567169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FIXED GLASS CORNOR WINDOW</v>
      </c>
      <c r="D36" s="131" t="str">
        <f>Pricing!B32</f>
        <v>CW4-B</v>
      </c>
      <c r="E36" s="132" t="str">
        <f>Pricing!N32</f>
        <v>24MM</v>
      </c>
      <c r="F36" s="68">
        <f>Pricing!G32</f>
        <v>2288</v>
      </c>
      <c r="G36" s="68">
        <f>Pricing!H32</f>
        <v>1678</v>
      </c>
      <c r="H36" s="100">
        <f t="shared" si="0"/>
        <v>3.839264</v>
      </c>
      <c r="I36" s="70">
        <f>Pricing!I32</f>
        <v>1</v>
      </c>
      <c r="J36" s="69">
        <f t="shared" si="30"/>
        <v>3.839264</v>
      </c>
      <c r="K36" s="71">
        <f t="shared" si="31"/>
        <v>41.325837696000001</v>
      </c>
      <c r="L36" s="69"/>
      <c r="M36" s="72"/>
      <c r="N36" s="72"/>
      <c r="O36" s="72">
        <f>N36*M36*L36/1000000</f>
        <v>0</v>
      </c>
      <c r="P36" s="73">
        <f>Pricing!M32</f>
        <v>5629.8899999999994</v>
      </c>
      <c r="Q36" s="74">
        <f t="shared" si="65"/>
        <v>562.98899999999992</v>
      </c>
      <c r="R36" s="74">
        <f t="shared" si="66"/>
        <v>681.21668999999986</v>
      </c>
      <c r="S36" s="74">
        <f t="shared" si="67"/>
        <v>34.37047845</v>
      </c>
      <c r="T36" s="74">
        <f t="shared" si="68"/>
        <v>69.084661684499991</v>
      </c>
      <c r="U36" s="72">
        <f t="shared" si="69"/>
        <v>6977.5508301344989</v>
      </c>
      <c r="V36" s="74">
        <f t="shared" si="70"/>
        <v>104.66326245201748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11279.757632000001</v>
      </c>
      <c r="AE36" s="76">
        <f t="shared" si="43"/>
        <v>650.1639344262295</v>
      </c>
      <c r="AF36" s="343">
        <f t="shared" si="44"/>
        <v>666.28800000000001</v>
      </c>
      <c r="AG36" s="344"/>
      <c r="AH36" s="76">
        <f t="shared" si="45"/>
        <v>23.795999999999999</v>
      </c>
      <c r="AI36" s="76">
        <f t="shared" si="15"/>
        <v>79.320000000000007</v>
      </c>
      <c r="AJ36" s="76">
        <f>J36*Pricing!Q32</f>
        <v>0</v>
      </c>
      <c r="AK36" s="76">
        <f>J36*Pricing!R32</f>
        <v>0</v>
      </c>
      <c r="AL36" s="76">
        <f t="shared" si="16"/>
        <v>4132.5837695999999</v>
      </c>
      <c r="AM36" s="77">
        <f t="shared" si="17"/>
        <v>0</v>
      </c>
      <c r="AN36" s="76">
        <f t="shared" si="18"/>
        <v>3306.0670156799997</v>
      </c>
      <c r="AO36" s="72">
        <f t="shared" si="19"/>
        <v>8501.7820270127449</v>
      </c>
      <c r="AP36" s="74">
        <f t="shared" si="20"/>
        <v>10627.22753376593</v>
      </c>
      <c r="AQ36" s="74">
        <f t="shared" si="76"/>
        <v>0</v>
      </c>
      <c r="AR36" s="74">
        <f t="shared" si="22"/>
        <v>4982.4678794630108</v>
      </c>
      <c r="AS36" s="72">
        <f t="shared" si="23"/>
        <v>37847.417978058671</v>
      </c>
      <c r="AT36" s="72">
        <f t="shared" si="24"/>
        <v>9857.9878794630094</v>
      </c>
      <c r="AU36" s="78">
        <f t="shared" si="77"/>
        <v>915.82942023996748</v>
      </c>
      <c r="AV36" s="79">
        <f t="shared" si="26"/>
        <v>2.0770892280573446E-2</v>
      </c>
      <c r="AW36" s="80">
        <f t="shared" si="27"/>
        <v>171.37496751268554</v>
      </c>
      <c r="AX36" s="81">
        <f t="shared" si="28"/>
        <v>744.45445272728205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3 TRACK 2 SHUTTER SLIDING WINDOW</v>
      </c>
      <c r="D37" s="131" t="str">
        <f>Pricing!B33</f>
        <v>CW4-C</v>
      </c>
      <c r="E37" s="132" t="str">
        <f>Pricing!N33</f>
        <v>24MM</v>
      </c>
      <c r="F37" s="68">
        <f>Pricing!G33</f>
        <v>1830</v>
      </c>
      <c r="G37" s="68">
        <f>Pricing!H33</f>
        <v>1678</v>
      </c>
      <c r="H37" s="100">
        <f t="shared" si="0"/>
        <v>3.0707399999999998</v>
      </c>
      <c r="I37" s="70">
        <f>Pricing!I33</f>
        <v>1</v>
      </c>
      <c r="J37" s="69">
        <f t="shared" si="30"/>
        <v>3.0707399999999998</v>
      </c>
      <c r="K37" s="71">
        <f t="shared" si="31"/>
        <v>33.053445359999998</v>
      </c>
      <c r="L37" s="69"/>
      <c r="M37" s="72"/>
      <c r="N37" s="72"/>
      <c r="O37" s="72">
        <f t="shared" ref="O37:O100" si="79">N37*M37*L37/1000000</f>
        <v>0</v>
      </c>
      <c r="P37" s="73">
        <f>Pricing!M33</f>
        <v>27361.780000000002</v>
      </c>
      <c r="Q37" s="74">
        <f t="shared" si="65"/>
        <v>2736.1780000000003</v>
      </c>
      <c r="R37" s="74">
        <f t="shared" si="66"/>
        <v>3310.7753800000005</v>
      </c>
      <c r="S37" s="74">
        <f t="shared" si="67"/>
        <v>167.04366690000003</v>
      </c>
      <c r="T37" s="74">
        <f t="shared" si="68"/>
        <v>335.75777046900004</v>
      </c>
      <c r="U37" s="72">
        <f t="shared" si="69"/>
        <v>33911.534817369</v>
      </c>
      <c r="V37" s="74">
        <f t="shared" si="70"/>
        <v>508.67302226053499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9021.8341199999995</v>
      </c>
      <c r="AE37" s="76">
        <f t="shared" si="43"/>
        <v>575.08196721311481</v>
      </c>
      <c r="AF37" s="343">
        <f t="shared" si="44"/>
        <v>589.34400000000005</v>
      </c>
      <c r="AG37" s="344"/>
      <c r="AH37" s="76">
        <f t="shared" si="45"/>
        <v>21.048000000000002</v>
      </c>
      <c r="AI37" s="76">
        <f t="shared" si="15"/>
        <v>70.16</v>
      </c>
      <c r="AJ37" s="76">
        <f>J37*Pricing!Q33</f>
        <v>1652.6722679999996</v>
      </c>
      <c r="AK37" s="76">
        <f>J37*Pricing!R33</f>
        <v>0</v>
      </c>
      <c r="AL37" s="76">
        <f t="shared" si="16"/>
        <v>3305.3445359999992</v>
      </c>
      <c r="AM37" s="77">
        <f t="shared" si="17"/>
        <v>0</v>
      </c>
      <c r="AN37" s="76">
        <f t="shared" si="18"/>
        <v>2644.2756287999996</v>
      </c>
      <c r="AO37" s="72">
        <f t="shared" si="19"/>
        <v>35675.841806842647</v>
      </c>
      <c r="AP37" s="74">
        <f t="shared" si="20"/>
        <v>44594.802258553311</v>
      </c>
      <c r="AQ37" s="74">
        <f t="shared" si="76"/>
        <v>0</v>
      </c>
      <c r="AR37" s="74">
        <f t="shared" si="22"/>
        <v>26140.488633162026</v>
      </c>
      <c r="AS37" s="72">
        <f t="shared" si="23"/>
        <v>96894.770618195951</v>
      </c>
      <c r="AT37" s="72">
        <f t="shared" si="24"/>
        <v>31554.208633162027</v>
      </c>
      <c r="AU37" s="78">
        <f t="shared" si="77"/>
        <v>2931.4575095839864</v>
      </c>
      <c r="AV37" s="79">
        <f t="shared" si="26"/>
        <v>1.6613082549584528E-2</v>
      </c>
      <c r="AW37" s="80">
        <f t="shared" si="27"/>
        <v>1041.3500760584413</v>
      </c>
      <c r="AX37" s="81">
        <f t="shared" si="28"/>
        <v>1890.1074335255448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SIDE HUNG WINDOW</v>
      </c>
      <c r="D38" s="131" t="str">
        <f>Pricing!B34</f>
        <v>V1</v>
      </c>
      <c r="E38" s="132" t="str">
        <f>Pricing!N34</f>
        <v>6MM (A)</v>
      </c>
      <c r="F38" s="68">
        <f>Pricing!G34</f>
        <v>610</v>
      </c>
      <c r="G38" s="68">
        <f>Pricing!H34</f>
        <v>610</v>
      </c>
      <c r="H38" s="100">
        <f t="shared" si="0"/>
        <v>0.37209999999999999</v>
      </c>
      <c r="I38" s="70">
        <f>Pricing!I34</f>
        <v>1</v>
      </c>
      <c r="J38" s="69">
        <f t="shared" si="30"/>
        <v>0.37209999999999999</v>
      </c>
      <c r="K38" s="71">
        <f t="shared" si="31"/>
        <v>4.0052843999999999</v>
      </c>
      <c r="L38" s="69"/>
      <c r="M38" s="72"/>
      <c r="N38" s="72"/>
      <c r="O38" s="72">
        <f t="shared" si="79"/>
        <v>0</v>
      </c>
      <c r="P38" s="73">
        <f>Pricing!M34</f>
        <v>7574.5800000000008</v>
      </c>
      <c r="Q38" s="74">
        <f t="shared" si="65"/>
        <v>757.45800000000008</v>
      </c>
      <c r="R38" s="74">
        <f t="shared" si="66"/>
        <v>916.52418</v>
      </c>
      <c r="S38" s="74">
        <f t="shared" si="67"/>
        <v>46.242810900000002</v>
      </c>
      <c r="T38" s="74">
        <f t="shared" si="68"/>
        <v>92.948049909000005</v>
      </c>
      <c r="U38" s="72">
        <f t="shared" si="69"/>
        <v>9387.7530408090006</v>
      </c>
      <c r="V38" s="74">
        <f t="shared" si="70"/>
        <v>140.81629561213501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745.31629999999996</v>
      </c>
      <c r="AE38" s="76">
        <f t="shared" si="43"/>
        <v>200</v>
      </c>
      <c r="AF38" s="343">
        <f t="shared" si="44"/>
        <v>204.96</v>
      </c>
      <c r="AG38" s="344"/>
      <c r="AH38" s="76">
        <f t="shared" si="45"/>
        <v>7.32</v>
      </c>
      <c r="AI38" s="76">
        <f t="shared" si="15"/>
        <v>24.4</v>
      </c>
      <c r="AJ38" s="76">
        <f>J38*Pricing!Q34</f>
        <v>0</v>
      </c>
      <c r="AK38" s="76">
        <f>J38*Pricing!R34</f>
        <v>0</v>
      </c>
      <c r="AL38" s="76">
        <f t="shared" si="16"/>
        <v>400.52843999999993</v>
      </c>
      <c r="AM38" s="77">
        <f t="shared" si="17"/>
        <v>0</v>
      </c>
      <c r="AN38" s="76">
        <f t="shared" si="18"/>
        <v>320.42275199999995</v>
      </c>
      <c r="AO38" s="72">
        <f t="shared" si="19"/>
        <v>9965.249336421135</v>
      </c>
      <c r="AP38" s="74">
        <f t="shared" si="20"/>
        <v>12456.561670526418</v>
      </c>
      <c r="AQ38" s="74">
        <f t="shared" si="76"/>
        <v>0</v>
      </c>
      <c r="AR38" s="74">
        <f t="shared" si="22"/>
        <v>60257.487253285544</v>
      </c>
      <c r="AS38" s="72">
        <f t="shared" si="23"/>
        <v>23888.078498947551</v>
      </c>
      <c r="AT38" s="72">
        <f t="shared" si="24"/>
        <v>64198.007253285548</v>
      </c>
      <c r="AU38" s="78">
        <f t="shared" si="77"/>
        <v>5964.1403988559596</v>
      </c>
      <c r="AV38" s="79">
        <f t="shared" si="26"/>
        <v>2.0131069438312603E-3</v>
      </c>
      <c r="AW38" s="80">
        <f t="shared" si="27"/>
        <v>2378.9994379478107</v>
      </c>
      <c r="AX38" s="81">
        <f t="shared" si="28"/>
        <v>3585.1409609081488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SIDE HUNG WINDOW</v>
      </c>
      <c r="D39" s="131" t="str">
        <f>Pricing!B35</f>
        <v>V2</v>
      </c>
      <c r="E39" s="132" t="str">
        <f>Pricing!N35</f>
        <v>6MM (A)</v>
      </c>
      <c r="F39" s="68">
        <f>Pricing!G35</f>
        <v>916</v>
      </c>
      <c r="G39" s="68">
        <f>Pricing!H35</f>
        <v>916</v>
      </c>
      <c r="H39" s="100">
        <f t="shared" si="0"/>
        <v>0.83905600000000002</v>
      </c>
      <c r="I39" s="70">
        <f>Pricing!I35</f>
        <v>4</v>
      </c>
      <c r="J39" s="69">
        <f t="shared" si="30"/>
        <v>3.3562240000000001</v>
      </c>
      <c r="K39" s="71">
        <f t="shared" si="31"/>
        <v>36.126395135999999</v>
      </c>
      <c r="L39" s="69"/>
      <c r="M39" s="72"/>
      <c r="N39" s="72"/>
      <c r="O39" s="72">
        <f t="shared" si="79"/>
        <v>0</v>
      </c>
      <c r="P39" s="73">
        <f>Pricing!M35</f>
        <v>38618.239999999998</v>
      </c>
      <c r="Q39" s="74">
        <f t="shared" si="4"/>
        <v>3861.8240000000001</v>
      </c>
      <c r="R39" s="74">
        <f t="shared" si="5"/>
        <v>4672.8070399999997</v>
      </c>
      <c r="S39" s="74">
        <f t="shared" si="6"/>
        <v>235.76435519999998</v>
      </c>
      <c r="T39" s="74">
        <f t="shared" si="7"/>
        <v>473.88635395199998</v>
      </c>
      <c r="U39" s="72">
        <f t="shared" si="8"/>
        <v>47862.521749152002</v>
      </c>
      <c r="V39" s="74">
        <f t="shared" si="9"/>
        <v>717.93782623727998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6722.5166719999997</v>
      </c>
      <c r="AE39" s="76">
        <f t="shared" si="43"/>
        <v>1201.311475409836</v>
      </c>
      <c r="AF39" s="343">
        <f t="shared" si="44"/>
        <v>1231.104</v>
      </c>
      <c r="AG39" s="344"/>
      <c r="AH39" s="76">
        <f t="shared" si="45"/>
        <v>43.968000000000004</v>
      </c>
      <c r="AI39" s="76">
        <f t="shared" ref="AI39:AI44" si="80">(((F39+G39)*2*I39)/1000)*2*$AI$7</f>
        <v>146.56</v>
      </c>
      <c r="AJ39" s="76">
        <f>J39*Pricing!Q35</f>
        <v>0</v>
      </c>
      <c r="AK39" s="76">
        <f>J39*Pricing!R35</f>
        <v>0</v>
      </c>
      <c r="AL39" s="76">
        <f t="shared" si="16"/>
        <v>3612.6395135999996</v>
      </c>
      <c r="AM39" s="77">
        <f t="shared" si="17"/>
        <v>0</v>
      </c>
      <c r="AN39" s="76">
        <f t="shared" si="18"/>
        <v>2890.1116108799997</v>
      </c>
      <c r="AO39" s="72">
        <f t="shared" si="19"/>
        <v>51203.403050799119</v>
      </c>
      <c r="AP39" s="74">
        <f t="shared" si="20"/>
        <v>64004.253813498901</v>
      </c>
      <c r="AQ39" s="74">
        <f t="shared" si="21"/>
        <v>0</v>
      </c>
      <c r="AR39" s="74">
        <f t="shared" si="22"/>
        <v>34326.569640255839</v>
      </c>
      <c r="AS39" s="72">
        <f t="shared" si="23"/>
        <v>128432.92466077802</v>
      </c>
      <c r="AT39" s="72">
        <f t="shared" si="24"/>
        <v>38267.089640255843</v>
      </c>
      <c r="AU39" s="78">
        <f t="shared" si="25"/>
        <v>3555.0993720044448</v>
      </c>
      <c r="AV39" s="79">
        <f t="shared" si="26"/>
        <v>1.8157586238788301E-2</v>
      </c>
      <c r="AW39" s="80">
        <f t="shared" si="27"/>
        <v>1344.7358750438621</v>
      </c>
      <c r="AX39" s="81">
        <f t="shared" si="28"/>
        <v>2210.3634969605828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FIXED GLASS 3 NO'S</v>
      </c>
      <c r="D40" s="131" t="str">
        <f>Pricing!B36</f>
        <v>V3</v>
      </c>
      <c r="E40" s="132" t="str">
        <f>Pricing!N36</f>
        <v>24MM</v>
      </c>
      <c r="F40" s="68">
        <f>Pricing!G36</f>
        <v>7722</v>
      </c>
      <c r="G40" s="68">
        <f>Pricing!H36</f>
        <v>610</v>
      </c>
      <c r="H40" s="100">
        <f t="shared" si="0"/>
        <v>4.7104200000000001</v>
      </c>
      <c r="I40" s="70">
        <f>Pricing!I36</f>
        <v>1</v>
      </c>
      <c r="J40" s="69">
        <f t="shared" si="30"/>
        <v>4.7104200000000001</v>
      </c>
      <c r="K40" s="71">
        <f t="shared" si="31"/>
        <v>50.702960879999999</v>
      </c>
      <c r="L40" s="69"/>
      <c r="M40" s="72"/>
      <c r="N40" s="72"/>
      <c r="O40" s="72">
        <f t="shared" si="79"/>
        <v>0</v>
      </c>
      <c r="P40" s="73">
        <f>Pricing!M36</f>
        <v>14661.95</v>
      </c>
      <c r="Q40" s="74">
        <f t="shared" si="4"/>
        <v>1466.1950000000002</v>
      </c>
      <c r="R40" s="74">
        <f t="shared" si="5"/>
        <v>1774.0959500000001</v>
      </c>
      <c r="S40" s="74">
        <f t="shared" si="6"/>
        <v>89.511204750000005</v>
      </c>
      <c r="T40" s="74">
        <f t="shared" si="7"/>
        <v>179.9175215475</v>
      </c>
      <c r="U40" s="72">
        <f t="shared" si="8"/>
        <v>18171.669676297501</v>
      </c>
      <c r="V40" s="74">
        <f t="shared" si="9"/>
        <v>272.57504514446248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13839.213960000001</v>
      </c>
      <c r="AE40" s="76">
        <f t="shared" si="43"/>
        <v>1365.9016393442623</v>
      </c>
      <c r="AF40" s="343">
        <f t="shared" si="44"/>
        <v>1399.7759999999998</v>
      </c>
      <c r="AG40" s="344"/>
      <c r="AH40" s="76">
        <f t="shared" si="45"/>
        <v>49.992000000000004</v>
      </c>
      <c r="AI40" s="76">
        <f t="shared" si="80"/>
        <v>166.64000000000001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5070.2960879999991</v>
      </c>
      <c r="AM40" s="77">
        <f t="shared" ref="AM40:AM89" si="82">$AM$6*J40</f>
        <v>0</v>
      </c>
      <c r="AN40" s="76">
        <f t="shared" ref="AN40:AN89" si="83">$AN$6*J40</f>
        <v>4056.2368703999996</v>
      </c>
      <c r="AO40" s="72">
        <f t="shared" ref="AO40:AO89" si="84">SUM(U40:V40)+SUM(AC40:AI40)-AD40</f>
        <v>21426.554360786227</v>
      </c>
      <c r="AP40" s="74">
        <f t="shared" ref="AP40:AP89" si="85">AO40*$AP$6</f>
        <v>26783.192950982782</v>
      </c>
      <c r="AQ40" s="74">
        <f t="shared" si="21"/>
        <v>0</v>
      </c>
      <c r="AR40" s="74">
        <f t="shared" ref="AR40:AR57" si="86">SUM(AO40:AQ40)/J40</f>
        <v>10234.702491873126</v>
      </c>
      <c r="AS40" s="72">
        <f t="shared" ref="AS40:AS57" si="87">SUM(AJ40:AQ40)+AD40+AB40</f>
        <v>71175.494230169017</v>
      </c>
      <c r="AT40" s="72">
        <f t="shared" ref="AT40:AT89" si="88">AS40/J40</f>
        <v>15110.222491873128</v>
      </c>
      <c r="AU40" s="78">
        <f t="shared" si="25"/>
        <v>1403.7739215787003</v>
      </c>
      <c r="AV40" s="79">
        <f t="shared" ref="AV40:AV71" si="89">K40/$K$109</f>
        <v>2.54839538037131E-2</v>
      </c>
      <c r="AW40" s="80">
        <f t="shared" ref="AW40:AW89" si="90">(U40+V40)/(J40*10.764)</f>
        <v>363.77056490042918</v>
      </c>
      <c r="AX40" s="81">
        <f t="shared" ref="AX40:AX89" si="91">SUM(W40:AN40,AP40)/(J40*10.764)</f>
        <v>1040.0033566782706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FIXED GLASS 2 NO'S</v>
      </c>
      <c r="D41" s="131" t="str">
        <f>Pricing!B37</f>
        <v>V4-A</v>
      </c>
      <c r="E41" s="132" t="str">
        <f>Pricing!N37</f>
        <v>24MM</v>
      </c>
      <c r="F41" s="68">
        <f>Pricing!G37</f>
        <v>3030</v>
      </c>
      <c r="G41" s="68">
        <f>Pricing!H37</f>
        <v>610</v>
      </c>
      <c r="H41" s="100">
        <f t="shared" si="0"/>
        <v>1.8483000000000001</v>
      </c>
      <c r="I41" s="70">
        <f>Pricing!I37</f>
        <v>1</v>
      </c>
      <c r="J41" s="69">
        <f t="shared" si="30"/>
        <v>1.8483000000000001</v>
      </c>
      <c r="K41" s="71">
        <f t="shared" si="31"/>
        <v>19.895101199999999</v>
      </c>
      <c r="L41" s="69"/>
      <c r="M41" s="72"/>
      <c r="N41" s="72"/>
      <c r="O41" s="72">
        <f t="shared" si="79"/>
        <v>0</v>
      </c>
      <c r="P41" s="73">
        <f>Pricing!M37</f>
        <v>7029.2699999999995</v>
      </c>
      <c r="Q41" s="74">
        <f t="shared" si="4"/>
        <v>702.92700000000002</v>
      </c>
      <c r="R41" s="74">
        <f t="shared" si="5"/>
        <v>850.54166999999995</v>
      </c>
      <c r="S41" s="74">
        <f t="shared" si="6"/>
        <v>42.913693349999996</v>
      </c>
      <c r="T41" s="74">
        <f t="shared" si="7"/>
        <v>86.256523633499981</v>
      </c>
      <c r="U41" s="72">
        <f t="shared" si="8"/>
        <v>8711.9088869834977</v>
      </c>
      <c r="V41" s="74">
        <f t="shared" si="9"/>
        <v>130.67863330475245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5430.3054000000002</v>
      </c>
      <c r="AE41" s="76">
        <f t="shared" si="43"/>
        <v>596.72131147540983</v>
      </c>
      <c r="AF41" s="343">
        <f t="shared" si="44"/>
        <v>611.52</v>
      </c>
      <c r="AG41" s="344"/>
      <c r="AH41" s="76">
        <f t="shared" si="45"/>
        <v>21.84</v>
      </c>
      <c r="AI41" s="76">
        <f t="shared" si="80"/>
        <v>72.8</v>
      </c>
      <c r="AJ41" s="76">
        <f>J41*Pricing!Q37</f>
        <v>0</v>
      </c>
      <c r="AK41" s="76">
        <f>J41*Pricing!R37</f>
        <v>0</v>
      </c>
      <c r="AL41" s="76">
        <f t="shared" si="81"/>
        <v>1989.5101199999999</v>
      </c>
      <c r="AM41" s="77">
        <f t="shared" si="82"/>
        <v>0</v>
      </c>
      <c r="AN41" s="76">
        <f t="shared" si="83"/>
        <v>1591.6080959999999</v>
      </c>
      <c r="AO41" s="72">
        <f t="shared" si="84"/>
        <v>10145.468831763661</v>
      </c>
      <c r="AP41" s="74">
        <f t="shared" si="85"/>
        <v>12681.836039704576</v>
      </c>
      <c r="AQ41" s="74">
        <f t="shared" si="21"/>
        <v>0</v>
      </c>
      <c r="AR41" s="74">
        <f t="shared" si="86"/>
        <v>12350.432760627731</v>
      </c>
      <c r="AS41" s="72">
        <f t="shared" si="87"/>
        <v>31838.728487468237</v>
      </c>
      <c r="AT41" s="72">
        <f t="shared" si="88"/>
        <v>17225.952760627733</v>
      </c>
      <c r="AU41" s="78">
        <f t="shared" si="25"/>
        <v>1600.3300595157687</v>
      </c>
      <c r="AV41" s="79">
        <f t="shared" si="89"/>
        <v>9.9995312128011767E-3</v>
      </c>
      <c r="AW41" s="80">
        <f t="shared" si="90"/>
        <v>444.46054490480554</v>
      </c>
      <c r="AX41" s="81">
        <f t="shared" si="91"/>
        <v>1155.8695146109628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FIXED GLASS 2 NO'S</v>
      </c>
      <c r="D42" s="131" t="str">
        <f>Pricing!B38</f>
        <v>V4-B</v>
      </c>
      <c r="E42" s="132" t="str">
        <f>Pricing!N38</f>
        <v>24MM</v>
      </c>
      <c r="F42" s="68">
        <f>Pricing!G38</f>
        <v>3080</v>
      </c>
      <c r="G42" s="68">
        <f>Pricing!H38</f>
        <v>610</v>
      </c>
      <c r="H42" s="100">
        <f t="shared" si="0"/>
        <v>1.8788</v>
      </c>
      <c r="I42" s="70">
        <f>Pricing!I38</f>
        <v>1</v>
      </c>
      <c r="J42" s="69">
        <f t="shared" si="30"/>
        <v>1.8788</v>
      </c>
      <c r="K42" s="71">
        <f t="shared" si="31"/>
        <v>20.2234032</v>
      </c>
      <c r="L42" s="69"/>
      <c r="M42" s="72"/>
      <c r="N42" s="72"/>
      <c r="O42" s="72">
        <f t="shared" si="79"/>
        <v>0</v>
      </c>
      <c r="P42" s="73">
        <f>Pricing!M38</f>
        <v>7091.5199999999995</v>
      </c>
      <c r="Q42" s="74">
        <f t="shared" si="4"/>
        <v>709.15200000000004</v>
      </c>
      <c r="R42" s="74">
        <f t="shared" si="5"/>
        <v>858.07391999999993</v>
      </c>
      <c r="S42" s="74">
        <f t="shared" si="6"/>
        <v>43.293729599999999</v>
      </c>
      <c r="T42" s="74">
        <f t="shared" si="7"/>
        <v>87.020396495999989</v>
      </c>
      <c r="U42" s="72">
        <f t="shared" si="8"/>
        <v>8789.0600460959995</v>
      </c>
      <c r="V42" s="74">
        <f t="shared" si="9"/>
        <v>131.83590069143997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5519.9143999999997</v>
      </c>
      <c r="AE42" s="76">
        <f t="shared" si="43"/>
        <v>604.91803278688531</v>
      </c>
      <c r="AF42" s="343">
        <f t="shared" si="44"/>
        <v>619.92000000000007</v>
      </c>
      <c r="AG42" s="344"/>
      <c r="AH42" s="76">
        <f t="shared" si="45"/>
        <v>22.14</v>
      </c>
      <c r="AI42" s="76">
        <f t="shared" si="80"/>
        <v>73.8</v>
      </c>
      <c r="AJ42" s="76">
        <f>J42*Pricing!Q38</f>
        <v>0</v>
      </c>
      <c r="AK42" s="76">
        <f>J42*Pricing!R38</f>
        <v>0</v>
      </c>
      <c r="AL42" s="76">
        <f t="shared" si="81"/>
        <v>2022.3403199999998</v>
      </c>
      <c r="AM42" s="77">
        <f t="shared" si="82"/>
        <v>0</v>
      </c>
      <c r="AN42" s="76">
        <f t="shared" si="83"/>
        <v>1617.8722559999999</v>
      </c>
      <c r="AO42" s="72">
        <f t="shared" si="84"/>
        <v>10241.673979574325</v>
      </c>
      <c r="AP42" s="74">
        <f t="shared" si="85"/>
        <v>12802.092474467907</v>
      </c>
      <c r="AQ42" s="74">
        <f t="shared" si="21"/>
        <v>0</v>
      </c>
      <c r="AR42" s="74">
        <f t="shared" si="86"/>
        <v>12265.151401981177</v>
      </c>
      <c r="AS42" s="72">
        <f t="shared" si="87"/>
        <v>32203.893430042233</v>
      </c>
      <c r="AT42" s="72">
        <f t="shared" si="88"/>
        <v>17140.671401981177</v>
      </c>
      <c r="AU42" s="78">
        <f t="shared" si="25"/>
        <v>1592.4072279804141</v>
      </c>
      <c r="AV42" s="79">
        <f t="shared" si="89"/>
        <v>1.0164539978688986E-2</v>
      </c>
      <c r="AW42" s="80">
        <f t="shared" si="90"/>
        <v>441.11744490103621</v>
      </c>
      <c r="AX42" s="81">
        <f t="shared" si="91"/>
        <v>1151.2897830793777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3">
        <f t="shared" si="44"/>
        <v>0</v>
      </c>
      <c r="AG43" s="34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5">
        <f t="shared" si="44"/>
        <v>0</v>
      </c>
      <c r="AG57" s="34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5">
        <f t="shared" si="128"/>
        <v>0</v>
      </c>
      <c r="AG107" s="346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1" t="s">
        <v>5</v>
      </c>
      <c r="C109" s="352"/>
      <c r="D109" s="352"/>
      <c r="E109" s="352"/>
      <c r="F109" s="352"/>
      <c r="G109" s="353"/>
      <c r="H109" s="149">
        <f>SUM(H8:H108)</f>
        <v>136.97672499999999</v>
      </c>
      <c r="I109" s="87">
        <f>SUM(I8:I108)</f>
        <v>53</v>
      </c>
      <c r="J109" s="88">
        <f>SUM(J8:J108)</f>
        <v>184.83866499999999</v>
      </c>
      <c r="K109" s="89">
        <f>SUM(K8:K108)</f>
        <v>1989.6033900599994</v>
      </c>
      <c r="L109" s="88">
        <f>SUM(L8:L8)</f>
        <v>0</v>
      </c>
      <c r="M109" s="88"/>
      <c r="N109" s="88"/>
      <c r="O109" s="88"/>
      <c r="P109" s="87">
        <f>SUM(P8:P108)</f>
        <v>1352128.0999999999</v>
      </c>
      <c r="Q109" s="88">
        <f t="shared" ref="Q109:AE109" si="156">SUM(Q8:Q108)</f>
        <v>135212.81000000003</v>
      </c>
      <c r="R109" s="88">
        <f t="shared" si="156"/>
        <v>163607.5001</v>
      </c>
      <c r="S109" s="88">
        <f t="shared" si="156"/>
        <v>8254.7420504999973</v>
      </c>
      <c r="T109" s="88">
        <f t="shared" si="156"/>
        <v>16592.031521505</v>
      </c>
      <c r="U109" s="88">
        <f t="shared" si="156"/>
        <v>1675795.1836720046</v>
      </c>
      <c r="V109" s="88">
        <f t="shared" si="156"/>
        <v>25136.927755080076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527825.78453100007</v>
      </c>
      <c r="AE109" s="88">
        <f t="shared" si="156"/>
        <v>33414.098360655727</v>
      </c>
      <c r="AF109" s="354">
        <f>SUM(AF8:AG108)</f>
        <v>34242.767999999996</v>
      </c>
      <c r="AG109" s="355"/>
      <c r="AH109" s="88">
        <f t="shared" ref="AH109:AQ109" si="157">SUM(AH8:AH108)</f>
        <v>1222.9559999999999</v>
      </c>
      <c r="AI109" s="88">
        <f t="shared" si="157"/>
        <v>4076.5200000000004</v>
      </c>
      <c r="AJ109" s="88">
        <f t="shared" ref="AJ109" si="158">SUM(AJ8:AJ108)</f>
        <v>60278.058781199987</v>
      </c>
      <c r="AK109" s="88">
        <f t="shared" si="157"/>
        <v>0</v>
      </c>
      <c r="AL109" s="88">
        <f t="shared" si="157"/>
        <v>198960.33900599997</v>
      </c>
      <c r="AM109" s="88">
        <f t="shared" si="157"/>
        <v>0</v>
      </c>
      <c r="AN109" s="88">
        <f t="shared" si="157"/>
        <v>159168.2712048</v>
      </c>
      <c r="AO109" s="88">
        <f t="shared" si="157"/>
        <v>1773888.4537877408</v>
      </c>
      <c r="AP109" s="88">
        <f t="shared" si="157"/>
        <v>2217360.5672346763</v>
      </c>
      <c r="AQ109" s="88">
        <f t="shared" si="157"/>
        <v>0</v>
      </c>
      <c r="AR109" s="88"/>
      <c r="AS109" s="87">
        <f>SUM(AS8:AS108)</f>
        <v>4937481.4745454155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34242.767999999996</v>
      </c>
      <c r="AW110" s="84"/>
    </row>
    <row r="111" spans="2:54">
      <c r="AF111" s="174"/>
      <c r="AG111" s="174"/>
      <c r="AH111" s="174">
        <f>SUM(AE109:AI109,AC109)</f>
        <v>72956.342360655734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topLeftCell="A43" zoomScale="55" zoomScaleNormal="60" zoomScaleSheetLayoutView="55" workbookViewId="0">
      <selection activeCell="A51" sqref="A51:XFD5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0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2"/>
    </row>
    <row r="2" spans="2:15" ht="23.25" customHeight="1">
      <c r="B2" s="423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5"/>
    </row>
    <row r="3" spans="2:15" ht="23.25" customHeight="1">
      <c r="B3" s="423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5"/>
    </row>
    <row r="4" spans="2:15" ht="30" customHeight="1">
      <c r="B4" s="423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5"/>
    </row>
    <row r="5" spans="2:15" ht="30" customHeight="1" thickBot="1">
      <c r="B5" s="423"/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5"/>
    </row>
    <row r="6" spans="2:15" ht="24.95" customHeight="1" thickTop="1">
      <c r="B6" s="471"/>
      <c r="C6" s="472"/>
      <c r="D6" s="472"/>
      <c r="E6" s="472"/>
      <c r="F6" s="472"/>
      <c r="G6" s="472"/>
      <c r="H6" s="472"/>
      <c r="I6" s="472"/>
      <c r="J6" s="473"/>
      <c r="K6" s="478" t="s">
        <v>103</v>
      </c>
      <c r="L6" s="479"/>
      <c r="M6" s="474" t="str">
        <f>'BD Team'!J2</f>
        <v>ABPL-DE-19.20-2193-OP-1</v>
      </c>
      <c r="N6" s="475"/>
    </row>
    <row r="7" spans="2:15" ht="24.95" customHeight="1">
      <c r="B7" s="491" t="s">
        <v>126</v>
      </c>
      <c r="C7" s="492"/>
      <c r="D7" s="492"/>
      <c r="E7" s="492"/>
      <c r="F7" s="429" t="str">
        <f>'BD Team'!E2</f>
        <v>Mr. Abhimanyu</v>
      </c>
      <c r="G7" s="429"/>
      <c r="H7" s="429"/>
      <c r="I7" s="429"/>
      <c r="J7" s="430"/>
      <c r="K7" s="499" t="s">
        <v>104</v>
      </c>
      <c r="L7" s="492"/>
      <c r="M7" s="497">
        <f>'BD Team'!J3</f>
        <v>43724</v>
      </c>
      <c r="N7" s="498"/>
    </row>
    <row r="8" spans="2:15" ht="24.95" customHeight="1">
      <c r="B8" s="491" t="s">
        <v>127</v>
      </c>
      <c r="C8" s="492"/>
      <c r="D8" s="492"/>
      <c r="E8" s="492"/>
      <c r="F8" s="215" t="str">
        <f>'BD Team'!E3</f>
        <v>Hyderabad</v>
      </c>
      <c r="G8" s="483" t="s">
        <v>179</v>
      </c>
      <c r="H8" s="484"/>
      <c r="I8" s="429" t="str">
        <f>'BD Team'!G3</f>
        <v>1Kpa</v>
      </c>
      <c r="J8" s="430"/>
      <c r="K8" s="499" t="s">
        <v>105</v>
      </c>
      <c r="L8" s="492"/>
      <c r="M8" s="178" t="s">
        <v>495</v>
      </c>
      <c r="N8" s="179">
        <v>43731</v>
      </c>
    </row>
    <row r="9" spans="2:15" ht="24.95" customHeight="1">
      <c r="B9" s="491" t="s">
        <v>168</v>
      </c>
      <c r="C9" s="492"/>
      <c r="D9" s="492"/>
      <c r="E9" s="492"/>
      <c r="F9" s="429" t="str">
        <f>'BD Team'!E4</f>
        <v>Mr. Anamol Anand : 7702300826</v>
      </c>
      <c r="G9" s="429"/>
      <c r="H9" s="429"/>
      <c r="I9" s="429"/>
      <c r="J9" s="430"/>
      <c r="K9" s="499" t="s">
        <v>178</v>
      </c>
      <c r="L9" s="492"/>
      <c r="M9" s="476" t="str">
        <f>'BD Team'!J4</f>
        <v>Bal Kumari</v>
      </c>
      <c r="N9" s="477"/>
    </row>
    <row r="10" spans="2:15" ht="27.75" customHeight="1" thickBot="1">
      <c r="B10" s="493" t="s">
        <v>176</v>
      </c>
      <c r="C10" s="494"/>
      <c r="D10" s="494"/>
      <c r="E10" s="494"/>
      <c r="F10" s="217" t="str">
        <f>'BD Team'!E5</f>
        <v>Anodized</v>
      </c>
      <c r="G10" s="504" t="s">
        <v>177</v>
      </c>
      <c r="H10" s="505"/>
      <c r="I10" s="502" t="str">
        <f>'BD Team'!G5</f>
        <v>Silver</v>
      </c>
      <c r="J10" s="503"/>
      <c r="K10" s="500" t="s">
        <v>371</v>
      </c>
      <c r="L10" s="501"/>
      <c r="M10" s="495">
        <f>'BD Team'!J5</f>
        <v>0</v>
      </c>
      <c r="N10" s="496"/>
    </row>
    <row r="11" spans="2:15" ht="19.5" thickTop="1">
      <c r="B11" s="426"/>
      <c r="C11" s="427"/>
      <c r="D11" s="427"/>
      <c r="E11" s="427"/>
      <c r="F11" s="427"/>
      <c r="G11" s="427"/>
      <c r="H11" s="427"/>
      <c r="I11" s="427"/>
      <c r="J11" s="427"/>
      <c r="K11" s="427"/>
      <c r="L11" s="427"/>
      <c r="M11" s="427"/>
      <c r="N11" s="428"/>
    </row>
    <row r="12" spans="2:15" s="93" customFormat="1" ht="19.5" thickBot="1">
      <c r="B12" s="426"/>
      <c r="C12" s="427"/>
      <c r="D12" s="427"/>
      <c r="E12" s="427"/>
      <c r="F12" s="427"/>
      <c r="G12" s="427"/>
      <c r="H12" s="427"/>
      <c r="I12" s="427"/>
      <c r="J12" s="427"/>
      <c r="K12" s="427"/>
      <c r="L12" s="427"/>
      <c r="M12" s="427"/>
      <c r="N12" s="428"/>
    </row>
    <row r="13" spans="2:15" s="93" customFormat="1" ht="18" customHeight="1" thickTop="1" thickBot="1">
      <c r="B13" s="485" t="s">
        <v>169</v>
      </c>
      <c r="C13" s="486"/>
      <c r="D13" s="489" t="s">
        <v>170</v>
      </c>
      <c r="E13" s="489" t="s">
        <v>171</v>
      </c>
      <c r="F13" s="489" t="s">
        <v>37</v>
      </c>
      <c r="G13" s="487" t="s">
        <v>63</v>
      </c>
      <c r="H13" s="487" t="s">
        <v>209</v>
      </c>
      <c r="I13" s="487" t="s">
        <v>208</v>
      </c>
      <c r="J13" s="488" t="s">
        <v>172</v>
      </c>
      <c r="K13" s="488" t="s">
        <v>173</v>
      </c>
      <c r="L13" s="486" t="s">
        <v>210</v>
      </c>
      <c r="M13" s="488" t="s">
        <v>174</v>
      </c>
      <c r="N13" s="490" t="s">
        <v>175</v>
      </c>
    </row>
    <row r="14" spans="2:15" s="94" customFormat="1" ht="18" customHeight="1" thickTop="1" thickBot="1">
      <c r="B14" s="485"/>
      <c r="C14" s="486"/>
      <c r="D14" s="489"/>
      <c r="E14" s="489"/>
      <c r="F14" s="489"/>
      <c r="G14" s="487"/>
      <c r="H14" s="487"/>
      <c r="I14" s="487"/>
      <c r="J14" s="488"/>
      <c r="K14" s="488"/>
      <c r="L14" s="486"/>
      <c r="M14" s="488"/>
      <c r="N14" s="490"/>
    </row>
    <row r="15" spans="2:15" s="94" customFormat="1" ht="26.25" customHeight="1" thickTop="1" thickBot="1">
      <c r="B15" s="485"/>
      <c r="C15" s="486"/>
      <c r="D15" s="489"/>
      <c r="E15" s="489"/>
      <c r="F15" s="489"/>
      <c r="G15" s="487"/>
      <c r="H15" s="487"/>
      <c r="I15" s="487"/>
      <c r="J15" s="488"/>
      <c r="K15" s="488"/>
      <c r="L15" s="486"/>
      <c r="M15" s="488"/>
      <c r="N15" s="490"/>
    </row>
    <row r="16" spans="2:15" s="94" customFormat="1" ht="49.9" customHeight="1" thickTop="1" thickBot="1">
      <c r="B16" s="415">
        <f>Pricing!A4</f>
        <v>1</v>
      </c>
      <c r="C16" s="416"/>
      <c r="D16" s="187" t="str">
        <f>Pricing!B4</f>
        <v>SD1</v>
      </c>
      <c r="E16" s="187" t="str">
        <f>Pricing!C4</f>
        <v>M14600</v>
      </c>
      <c r="F16" s="187" t="str">
        <f>Pricing!D4</f>
        <v>3 TRACK 2 SHUTTER SLIDING DOOR</v>
      </c>
      <c r="G16" s="187" t="str">
        <f>Pricing!N4</f>
        <v>24MM</v>
      </c>
      <c r="H16" s="187" t="str">
        <f>Pricing!F4</f>
        <v>GF - STUDY &amp; LIVING</v>
      </c>
      <c r="I16" s="216" t="str">
        <f>Pricing!E4</f>
        <v>SS</v>
      </c>
      <c r="J16" s="216">
        <f>Pricing!G4</f>
        <v>3354</v>
      </c>
      <c r="K16" s="216">
        <f>Pricing!H4</f>
        <v>2438</v>
      </c>
      <c r="L16" s="216">
        <f>Pricing!I4</f>
        <v>1</v>
      </c>
      <c r="M16" s="188">
        <f t="shared" ref="M16:M24" si="0">J16*K16*L16/1000000</f>
        <v>8.1770519999999998</v>
      </c>
      <c r="N16" s="189">
        <f>'Cost Calculation'!AS8</f>
        <v>165056.43705170811</v>
      </c>
      <c r="O16" s="95"/>
    </row>
    <row r="17" spans="2:15" s="94" customFormat="1" ht="49.9" customHeight="1" thickTop="1" thickBot="1">
      <c r="B17" s="415">
        <f>Pricing!A5</f>
        <v>2</v>
      </c>
      <c r="C17" s="416"/>
      <c r="D17" s="187" t="str">
        <f>Pricing!B5</f>
        <v>SD2</v>
      </c>
      <c r="E17" s="187" t="str">
        <f>Pricing!C5</f>
        <v>M14600</v>
      </c>
      <c r="F17" s="187" t="str">
        <f>Pricing!D5</f>
        <v>3 TRACK 2 SHUTTER SLIDING DOOR WITH 2 FIXED</v>
      </c>
      <c r="G17" s="187" t="str">
        <f>Pricing!N5</f>
        <v>24MM</v>
      </c>
      <c r="H17" s="187" t="str">
        <f>Pricing!F5</f>
        <v>GF - GREAT ROOM</v>
      </c>
      <c r="I17" s="216" t="str">
        <f>Pricing!E5</f>
        <v>SS</v>
      </c>
      <c r="J17" s="216">
        <f>Pricing!G5</f>
        <v>5386</v>
      </c>
      <c r="K17" s="216">
        <f>Pricing!H5</f>
        <v>2744</v>
      </c>
      <c r="L17" s="216">
        <f>Pricing!I5</f>
        <v>2</v>
      </c>
      <c r="M17" s="188">
        <f t="shared" si="0"/>
        <v>29.558368000000002</v>
      </c>
      <c r="N17" s="189">
        <f>'Cost Calculation'!AS9</f>
        <v>625614.73684400169</v>
      </c>
      <c r="O17" s="95"/>
    </row>
    <row r="18" spans="2:15" s="94" customFormat="1" ht="49.9" customHeight="1" thickTop="1" thickBot="1">
      <c r="B18" s="415">
        <f>Pricing!A6</f>
        <v>3</v>
      </c>
      <c r="C18" s="416"/>
      <c r="D18" s="187" t="str">
        <f>Pricing!B6</f>
        <v>W1</v>
      </c>
      <c r="E18" s="187" t="str">
        <f>Pricing!C6</f>
        <v>M15000</v>
      </c>
      <c r="F18" s="187" t="str">
        <f>Pricing!D6</f>
        <v>SINGLE DOOR</v>
      </c>
      <c r="G18" s="187" t="str">
        <f>Pricing!N6</f>
        <v>24MM</v>
      </c>
      <c r="H18" s="187" t="str">
        <f>Pricing!F6</f>
        <v>GF / FF - STAIRCASE</v>
      </c>
      <c r="I18" s="216" t="str">
        <f>Pricing!E6</f>
        <v>NO</v>
      </c>
      <c r="J18" s="216">
        <f>Pricing!G6</f>
        <v>712</v>
      </c>
      <c r="K18" s="216">
        <f>Pricing!H6</f>
        <v>2134</v>
      </c>
      <c r="L18" s="216">
        <f>Pricing!I6</f>
        <v>2</v>
      </c>
      <c r="M18" s="188">
        <f t="shared" si="0"/>
        <v>3.0388160000000002</v>
      </c>
      <c r="N18" s="189">
        <f>'Cost Calculation'!AS10</f>
        <v>175404.35548419267</v>
      </c>
      <c r="O18" s="95"/>
    </row>
    <row r="19" spans="2:15" s="94" customFormat="1" ht="49.9" customHeight="1" thickTop="1" thickBot="1">
      <c r="B19" s="415">
        <f>Pricing!A7</f>
        <v>4</v>
      </c>
      <c r="C19" s="416"/>
      <c r="D19" s="187" t="str">
        <f>Pricing!B7</f>
        <v>W2</v>
      </c>
      <c r="E19" s="187" t="str">
        <f>Pricing!C7</f>
        <v>M15000</v>
      </c>
      <c r="F19" s="187" t="str">
        <f>Pricing!D7</f>
        <v>SINGLE DOOR</v>
      </c>
      <c r="G19" s="187" t="str">
        <f>Pricing!N7</f>
        <v>24MM</v>
      </c>
      <c r="H19" s="187" t="str">
        <f>Pricing!F7</f>
        <v>GF - MBR, GBR &amp; FF - BR 1 &amp; BR 2</v>
      </c>
      <c r="I19" s="216" t="str">
        <f>Pricing!E7</f>
        <v>NO</v>
      </c>
      <c r="J19" s="216">
        <f>Pricing!G7</f>
        <v>712</v>
      </c>
      <c r="K19" s="216">
        <f>Pricing!H7</f>
        <v>1678</v>
      </c>
      <c r="L19" s="216">
        <f>Pricing!I7</f>
        <v>8</v>
      </c>
      <c r="M19" s="188">
        <f t="shared" si="0"/>
        <v>9.5578880000000002</v>
      </c>
      <c r="N19" s="189">
        <f>'Cost Calculation'!AS11</f>
        <v>591012.15450194443</v>
      </c>
      <c r="O19" s="95"/>
    </row>
    <row r="20" spans="2:15" s="94" customFormat="1" ht="49.9" customHeight="1" thickTop="1" thickBot="1">
      <c r="B20" s="415">
        <f>Pricing!A8</f>
        <v>5</v>
      </c>
      <c r="C20" s="416"/>
      <c r="D20" s="187" t="str">
        <f>Pricing!B8</f>
        <v>W3</v>
      </c>
      <c r="E20" s="187" t="str">
        <f>Pricing!C8</f>
        <v>M15000</v>
      </c>
      <c r="F20" s="187" t="str">
        <f>Pricing!D8</f>
        <v>FIXED GLASS 3 NO'S</v>
      </c>
      <c r="G20" s="187" t="str">
        <f>Pricing!N8</f>
        <v>24MM</v>
      </c>
      <c r="H20" s="187" t="str">
        <f>Pricing!F8</f>
        <v>FF - BR 1</v>
      </c>
      <c r="I20" s="216" t="str">
        <f>Pricing!E8</f>
        <v>NO</v>
      </c>
      <c r="J20" s="216">
        <f>Pricing!G8</f>
        <v>3864</v>
      </c>
      <c r="K20" s="216">
        <f>Pricing!H8</f>
        <v>1220</v>
      </c>
      <c r="L20" s="216">
        <f>Pricing!I8</f>
        <v>1</v>
      </c>
      <c r="M20" s="188">
        <f t="shared" si="0"/>
        <v>4.71408</v>
      </c>
      <c r="N20" s="189">
        <f>'Cost Calculation'!AS12</f>
        <v>61128.073233616044</v>
      </c>
      <c r="O20" s="95"/>
    </row>
    <row r="21" spans="2:15" s="94" customFormat="1" ht="49.9" customHeight="1" thickTop="1" thickBot="1">
      <c r="B21" s="415">
        <f>Pricing!A9</f>
        <v>6</v>
      </c>
      <c r="C21" s="416"/>
      <c r="D21" s="187" t="str">
        <f>Pricing!B9</f>
        <v>W4-A</v>
      </c>
      <c r="E21" s="187" t="str">
        <f>Pricing!C9</f>
        <v>M15000</v>
      </c>
      <c r="F21" s="187" t="str">
        <f>Pricing!D9</f>
        <v>FIXED GLASS 3 NO'S</v>
      </c>
      <c r="G21" s="187" t="str">
        <f>Pricing!N9</f>
        <v>10MM</v>
      </c>
      <c r="H21" s="187" t="str">
        <f>Pricing!F9</f>
        <v>FF - GREAT ROOM</v>
      </c>
      <c r="I21" s="216" t="str">
        <f>Pricing!E9</f>
        <v>NO</v>
      </c>
      <c r="J21" s="216">
        <f>Pricing!G9</f>
        <v>6808</v>
      </c>
      <c r="K21" s="216">
        <f>Pricing!H9</f>
        <v>306</v>
      </c>
      <c r="L21" s="216">
        <f>Pricing!I9</f>
        <v>1</v>
      </c>
      <c r="M21" s="188">
        <f t="shared" si="0"/>
        <v>2.0832480000000002</v>
      </c>
      <c r="N21" s="189">
        <f>'Cost Calculation'!AS13</f>
        <v>54194.864800860974</v>
      </c>
      <c r="O21" s="95"/>
    </row>
    <row r="22" spans="2:15" s="94" customFormat="1" ht="49.9" customHeight="1" thickTop="1" thickBot="1">
      <c r="B22" s="415">
        <f>Pricing!A10</f>
        <v>7</v>
      </c>
      <c r="C22" s="416"/>
      <c r="D22" s="187" t="str">
        <f>Pricing!B10</f>
        <v>W4-B</v>
      </c>
      <c r="E22" s="187" t="str">
        <f>Pricing!C10</f>
        <v>M15000</v>
      </c>
      <c r="F22" s="187" t="str">
        <f>Pricing!D10</f>
        <v>FIXED GLASS IN SHAPE</v>
      </c>
      <c r="G22" s="187" t="str">
        <f>Pricing!N10</f>
        <v>10MM</v>
      </c>
      <c r="H22" s="187" t="str">
        <f>Pricing!F10</f>
        <v>FF - GREAT ROOM</v>
      </c>
      <c r="I22" s="216" t="str">
        <f>Pricing!E10</f>
        <v>NO</v>
      </c>
      <c r="J22" s="216">
        <f>Pricing!G10</f>
        <v>2807</v>
      </c>
      <c r="K22" s="216">
        <f>Pricing!H10</f>
        <v>629</v>
      </c>
      <c r="L22" s="216">
        <f>Pricing!I10</f>
        <v>1</v>
      </c>
      <c r="M22" s="188">
        <f t="shared" si="0"/>
        <v>1.765603</v>
      </c>
      <c r="N22" s="189">
        <f>'Cost Calculation'!AS14</f>
        <v>32697.586042044386</v>
      </c>
      <c r="O22" s="95"/>
    </row>
    <row r="23" spans="2:15" s="94" customFormat="1" ht="49.9" customHeight="1" thickTop="1" thickBot="1">
      <c r="B23" s="415">
        <f>Pricing!A11</f>
        <v>8</v>
      </c>
      <c r="C23" s="416"/>
      <c r="D23" s="187" t="str">
        <f>Pricing!B11</f>
        <v>W4-C</v>
      </c>
      <c r="E23" s="187" t="str">
        <f>Pricing!C11</f>
        <v>M15000</v>
      </c>
      <c r="F23" s="187" t="str">
        <f>Pricing!D11</f>
        <v>FIXED GLASS IN SHAPE</v>
      </c>
      <c r="G23" s="187" t="str">
        <f>Pricing!N11</f>
        <v>10MM</v>
      </c>
      <c r="H23" s="187" t="str">
        <f>Pricing!F11</f>
        <v>FF - GREAT ROOM</v>
      </c>
      <c r="I23" s="216" t="str">
        <f>Pricing!E11</f>
        <v>NO</v>
      </c>
      <c r="J23" s="216">
        <f>Pricing!G11</f>
        <v>610</v>
      </c>
      <c r="K23" s="216">
        <f>Pricing!H11</f>
        <v>3270</v>
      </c>
      <c r="L23" s="216">
        <f>Pricing!I11</f>
        <v>1</v>
      </c>
      <c r="M23" s="188">
        <f t="shared" si="0"/>
        <v>1.9946999999999999</v>
      </c>
      <c r="N23" s="189">
        <f>'Cost Calculation'!AS15</f>
        <v>31180.230994425503</v>
      </c>
      <c r="O23" s="95"/>
    </row>
    <row r="24" spans="2:15" s="94" customFormat="1" ht="49.9" customHeight="1" thickTop="1" thickBot="1">
      <c r="B24" s="415">
        <f>Pricing!A12</f>
        <v>9</v>
      </c>
      <c r="C24" s="416"/>
      <c r="D24" s="187" t="str">
        <f>Pricing!B12</f>
        <v>SW1</v>
      </c>
      <c r="E24" s="187" t="str">
        <f>Pricing!C12</f>
        <v>M900</v>
      </c>
      <c r="F24" s="187" t="str">
        <f>Pricing!D12</f>
        <v>3 TRACK 2 SHUTTER SLIDING WINDOW</v>
      </c>
      <c r="G24" s="187" t="str">
        <f>Pricing!N12</f>
        <v>20MM</v>
      </c>
      <c r="H24" s="187" t="str">
        <f>Pricing!F12</f>
        <v>GF - STAFF RECEPTION ROOM</v>
      </c>
      <c r="I24" s="216" t="str">
        <f>Pricing!E12</f>
        <v>SS</v>
      </c>
      <c r="J24" s="216">
        <f>Pricing!G12</f>
        <v>1170</v>
      </c>
      <c r="K24" s="216">
        <f>Pricing!H12</f>
        <v>1372</v>
      </c>
      <c r="L24" s="216">
        <f>Pricing!I12</f>
        <v>1</v>
      </c>
      <c r="M24" s="188">
        <f t="shared" si="0"/>
        <v>1.60524</v>
      </c>
      <c r="N24" s="189">
        <f>'Cost Calculation'!AS16</f>
        <v>46015.505078796967</v>
      </c>
      <c r="O24" s="95"/>
    </row>
    <row r="25" spans="2:15" s="94" customFormat="1" ht="49.9" customHeight="1" thickTop="1" thickBot="1">
      <c r="B25" s="415">
        <f>Pricing!A13</f>
        <v>10</v>
      </c>
      <c r="C25" s="416"/>
      <c r="D25" s="187" t="str">
        <f>Pricing!B13</f>
        <v>SW3</v>
      </c>
      <c r="E25" s="187" t="str">
        <f>Pricing!C13</f>
        <v>M900</v>
      </c>
      <c r="F25" s="187" t="str">
        <f>Pricing!D13</f>
        <v>3 TRACK 2 SHUTTER SLIDING WINDOW</v>
      </c>
      <c r="G25" s="187" t="str">
        <f>Pricing!N13</f>
        <v>20MM</v>
      </c>
      <c r="H25" s="187" t="str">
        <f>Pricing!F13</f>
        <v>GF - STUDY &amp; LIVING</v>
      </c>
      <c r="I25" s="216" t="str">
        <f>Pricing!E13</f>
        <v>SS</v>
      </c>
      <c r="J25" s="216">
        <f>Pricing!G13</f>
        <v>2490</v>
      </c>
      <c r="K25" s="216">
        <f>Pricing!H13</f>
        <v>1524</v>
      </c>
      <c r="L25" s="216">
        <f>Pricing!I13</f>
        <v>1</v>
      </c>
      <c r="M25" s="188">
        <f t="shared" ref="M25:M42" si="1">J25*K25*L25/1000000</f>
        <v>3.7947600000000001</v>
      </c>
      <c r="N25" s="189">
        <f>'Cost Calculation'!AS17</f>
        <v>70885.732480892286</v>
      </c>
      <c r="O25" s="95"/>
    </row>
    <row r="26" spans="2:15" s="94" customFormat="1" ht="49.9" customHeight="1" thickTop="1" thickBot="1">
      <c r="B26" s="415">
        <f>Pricing!A14</f>
        <v>11</v>
      </c>
      <c r="C26" s="416"/>
      <c r="D26" s="187" t="str">
        <f>Pricing!B14</f>
        <v>SW4</v>
      </c>
      <c r="E26" s="187" t="str">
        <f>Pricing!C14</f>
        <v>M14600</v>
      </c>
      <c r="F26" s="187" t="str">
        <f>Pricing!D14</f>
        <v>3 TRACK 2 SHUTTER SLIDING DOOR</v>
      </c>
      <c r="G26" s="187" t="str">
        <f>Pricing!N14</f>
        <v>24MM</v>
      </c>
      <c r="H26" s="187" t="str">
        <f>Pricing!F14</f>
        <v>GF - FAMILY AREA</v>
      </c>
      <c r="I26" s="216" t="str">
        <f>Pricing!E14</f>
        <v>SS</v>
      </c>
      <c r="J26" s="216">
        <f>Pricing!G14</f>
        <v>2946</v>
      </c>
      <c r="K26" s="216">
        <f>Pricing!H14</f>
        <v>2134</v>
      </c>
      <c r="L26" s="216">
        <f>Pricing!I14</f>
        <v>1</v>
      </c>
      <c r="M26" s="188">
        <f t="shared" si="1"/>
        <v>6.2867639999999998</v>
      </c>
      <c r="N26" s="189">
        <f>'Cost Calculation'!AS18</f>
        <v>142902.64514979615</v>
      </c>
      <c r="O26" s="95"/>
    </row>
    <row r="27" spans="2:15" s="94" customFormat="1" ht="49.9" customHeight="1" thickTop="1" thickBot="1">
      <c r="B27" s="415">
        <f>Pricing!A15</f>
        <v>12</v>
      </c>
      <c r="C27" s="416"/>
      <c r="D27" s="187" t="str">
        <f>Pricing!B15</f>
        <v>SW5</v>
      </c>
      <c r="E27" s="187" t="str">
        <f>Pricing!C15</f>
        <v>M14600</v>
      </c>
      <c r="F27" s="187" t="str">
        <f>Pricing!D15</f>
        <v>3 TRACK 2 SHUTTER SLIDING WINDOW</v>
      </c>
      <c r="G27" s="187" t="str">
        <f>Pricing!N15</f>
        <v>24MM</v>
      </c>
      <c r="H27" s="187" t="str">
        <f>Pricing!F15</f>
        <v>GF - STUDY ROOM</v>
      </c>
      <c r="I27" s="216" t="str">
        <f>Pricing!E15</f>
        <v>SS</v>
      </c>
      <c r="J27" s="216">
        <f>Pricing!G15</f>
        <v>3302</v>
      </c>
      <c r="K27" s="216">
        <f>Pricing!H15</f>
        <v>1372</v>
      </c>
      <c r="L27" s="216">
        <f>Pricing!I15</f>
        <v>1</v>
      </c>
      <c r="M27" s="188">
        <f t="shared" si="1"/>
        <v>4.5303440000000004</v>
      </c>
      <c r="N27" s="189">
        <f>'Cost Calculation'!AS19</f>
        <v>120547.73782461036</v>
      </c>
      <c r="O27" s="95"/>
    </row>
    <row r="28" spans="2:15" s="94" customFormat="1" ht="49.9" customHeight="1" thickTop="1" thickBot="1">
      <c r="B28" s="415">
        <f>Pricing!A16</f>
        <v>13</v>
      </c>
      <c r="C28" s="416"/>
      <c r="D28" s="187" t="str">
        <f>Pricing!B16</f>
        <v>SW6</v>
      </c>
      <c r="E28" s="187" t="str">
        <f>Pricing!C16</f>
        <v>M900</v>
      </c>
      <c r="F28" s="187" t="str">
        <f>Pricing!D16</f>
        <v>3 TRACK 2 SHUTTER SLIDING WINDOW</v>
      </c>
      <c r="G28" s="187" t="str">
        <f>Pricing!N16</f>
        <v>20MM</v>
      </c>
      <c r="H28" s="187" t="str">
        <f>Pricing!F16</f>
        <v>GF - STAFF RECEPTION ROOM</v>
      </c>
      <c r="I28" s="216" t="str">
        <f>Pricing!E16</f>
        <v>SS</v>
      </c>
      <c r="J28" s="216">
        <f>Pricing!G16</f>
        <v>1322</v>
      </c>
      <c r="K28" s="216">
        <f>Pricing!H16</f>
        <v>1372</v>
      </c>
      <c r="L28" s="216">
        <f>Pricing!I16</f>
        <v>1</v>
      </c>
      <c r="M28" s="188">
        <f t="shared" si="1"/>
        <v>1.8137840000000001</v>
      </c>
      <c r="N28" s="189">
        <f>'Cost Calculation'!AS20</f>
        <v>48405.111329634783</v>
      </c>
      <c r="O28" s="95"/>
    </row>
    <row r="29" spans="2:15" s="94" customFormat="1" ht="49.9" customHeight="1" thickTop="1" thickBot="1">
      <c r="B29" s="415">
        <f>Pricing!A17</f>
        <v>14</v>
      </c>
      <c r="C29" s="416"/>
      <c r="D29" s="187" t="str">
        <f>Pricing!B17</f>
        <v>SW7</v>
      </c>
      <c r="E29" s="187" t="str">
        <f>Pricing!C17</f>
        <v>M14600</v>
      </c>
      <c r="F29" s="187" t="str">
        <f>Pricing!D17</f>
        <v>3 TRACK 2 SHUTTER SLIDING DOOR</v>
      </c>
      <c r="G29" s="187" t="str">
        <f>Pricing!N17</f>
        <v>24MM</v>
      </c>
      <c r="H29" s="187" t="str">
        <f>Pricing!F17</f>
        <v>GF - DINING</v>
      </c>
      <c r="I29" s="216" t="str">
        <f>Pricing!E17</f>
        <v>SS</v>
      </c>
      <c r="J29" s="216">
        <f>Pricing!G17</f>
        <v>3861</v>
      </c>
      <c r="K29" s="216">
        <f>Pricing!H17</f>
        <v>2134</v>
      </c>
      <c r="L29" s="216">
        <f>Pricing!I17</f>
        <v>1</v>
      </c>
      <c r="M29" s="188">
        <f t="shared" si="1"/>
        <v>8.2393739999999998</v>
      </c>
      <c r="N29" s="189">
        <f>'Cost Calculation'!AS21</f>
        <v>295276.00903889752</v>
      </c>
      <c r="O29" s="95"/>
    </row>
    <row r="30" spans="2:15" s="94" customFormat="1" ht="49.9" customHeight="1" thickTop="1" thickBot="1">
      <c r="B30" s="415">
        <f>Pricing!A18</f>
        <v>15</v>
      </c>
      <c r="C30" s="416"/>
      <c r="D30" s="187" t="str">
        <f>Pricing!B18</f>
        <v>SW8</v>
      </c>
      <c r="E30" s="187" t="str">
        <f>Pricing!C18</f>
        <v>M14600</v>
      </c>
      <c r="F30" s="187" t="str">
        <f>Pricing!D18</f>
        <v>3 TRACK 2 SHUTTER SLIDING DOOR</v>
      </c>
      <c r="G30" s="187" t="str">
        <f>Pricing!N18</f>
        <v>24MM</v>
      </c>
      <c r="H30" s="187" t="str">
        <f>Pricing!F18</f>
        <v>GF - POOJA ROOM</v>
      </c>
      <c r="I30" s="216" t="str">
        <f>Pricing!E18</f>
        <v>SS</v>
      </c>
      <c r="J30" s="216">
        <f>Pricing!G18</f>
        <v>1372</v>
      </c>
      <c r="K30" s="216">
        <f>Pricing!H18</f>
        <v>2134</v>
      </c>
      <c r="L30" s="216">
        <f>Pricing!I18</f>
        <v>1</v>
      </c>
      <c r="M30" s="188">
        <f t="shared" si="1"/>
        <v>2.927848</v>
      </c>
      <c r="N30" s="189">
        <f>'Cost Calculation'!AS22</f>
        <v>101506.41929391706</v>
      </c>
      <c r="O30" s="95"/>
    </row>
    <row r="31" spans="2:15" s="94" customFormat="1" ht="49.9" customHeight="1" thickTop="1" thickBot="1">
      <c r="B31" s="415">
        <f>Pricing!A19</f>
        <v>16</v>
      </c>
      <c r="C31" s="416"/>
      <c r="D31" s="187" t="str">
        <f>Pricing!B19</f>
        <v>SW9</v>
      </c>
      <c r="E31" s="187" t="str">
        <f>Pricing!C19</f>
        <v>M900</v>
      </c>
      <c r="F31" s="187" t="str">
        <f>Pricing!D19</f>
        <v>3 TRACK 2 SHUTTER SLIDING WINDOW</v>
      </c>
      <c r="G31" s="187" t="str">
        <f>Pricing!N19</f>
        <v>20MM</v>
      </c>
      <c r="H31" s="187" t="str">
        <f>Pricing!F19</f>
        <v>GF - KITCHEN</v>
      </c>
      <c r="I31" s="216" t="str">
        <f>Pricing!E19</f>
        <v>SS</v>
      </c>
      <c r="J31" s="216">
        <f>Pricing!G19</f>
        <v>1778</v>
      </c>
      <c r="K31" s="216">
        <f>Pricing!H19</f>
        <v>1372</v>
      </c>
      <c r="L31" s="216">
        <f>Pricing!I19</f>
        <v>1</v>
      </c>
      <c r="M31" s="188">
        <f t="shared" si="1"/>
        <v>2.439416</v>
      </c>
      <c r="N31" s="189">
        <f>'Cost Calculation'!AS23</f>
        <v>55573.930082148225</v>
      </c>
      <c r="O31" s="95"/>
    </row>
    <row r="32" spans="2:15" s="94" customFormat="1" ht="49.9" customHeight="1" thickTop="1" thickBot="1">
      <c r="B32" s="415">
        <f>Pricing!A20</f>
        <v>17</v>
      </c>
      <c r="C32" s="416"/>
      <c r="D32" s="187" t="str">
        <f>Pricing!B20</f>
        <v>SW10</v>
      </c>
      <c r="E32" s="187" t="str">
        <f>Pricing!C20</f>
        <v>M14600</v>
      </c>
      <c r="F32" s="187" t="str">
        <f>Pricing!D20</f>
        <v>3 TRACK 2 SHUTTER SLIDING WINDOW</v>
      </c>
      <c r="G32" s="187" t="str">
        <f>Pricing!N20</f>
        <v>24MM</v>
      </c>
      <c r="H32" s="187" t="str">
        <f>Pricing!F20</f>
        <v>FF - FAMILY ROOM</v>
      </c>
      <c r="I32" s="216" t="str">
        <f>Pricing!E20</f>
        <v>SS</v>
      </c>
      <c r="J32" s="216">
        <f>Pricing!G20</f>
        <v>3862</v>
      </c>
      <c r="K32" s="216">
        <f>Pricing!H20</f>
        <v>1678</v>
      </c>
      <c r="L32" s="216">
        <f>Pricing!I20</f>
        <v>1</v>
      </c>
      <c r="M32" s="188">
        <f t="shared" si="1"/>
        <v>6.4804360000000001</v>
      </c>
      <c r="N32" s="189">
        <f>'Cost Calculation'!AS24</f>
        <v>145132.08547505026</v>
      </c>
      <c r="O32" s="95"/>
    </row>
    <row r="33" spans="2:15" s="94" customFormat="1" ht="49.9" customHeight="1" thickTop="1" thickBot="1">
      <c r="B33" s="415">
        <f>Pricing!A21</f>
        <v>18</v>
      </c>
      <c r="C33" s="416"/>
      <c r="D33" s="187" t="str">
        <f>Pricing!B21</f>
        <v>SW11</v>
      </c>
      <c r="E33" s="187" t="str">
        <f>Pricing!C21</f>
        <v>M14600</v>
      </c>
      <c r="F33" s="187" t="str">
        <f>Pricing!D21</f>
        <v>3 TRACK 2 SHUTTER SLIDING WINDOW</v>
      </c>
      <c r="G33" s="187" t="str">
        <f>Pricing!N21</f>
        <v>24MM</v>
      </c>
      <c r="H33" s="187" t="str">
        <f>Pricing!F21</f>
        <v>FF - BAR</v>
      </c>
      <c r="I33" s="216" t="str">
        <f>Pricing!E21</f>
        <v>SS</v>
      </c>
      <c r="J33" s="216">
        <f>Pricing!G21</f>
        <v>3302</v>
      </c>
      <c r="K33" s="216">
        <f>Pricing!H21</f>
        <v>1830</v>
      </c>
      <c r="L33" s="216">
        <f>Pricing!I21</f>
        <v>1</v>
      </c>
      <c r="M33" s="188">
        <f t="shared" si="1"/>
        <v>6.0426599999999997</v>
      </c>
      <c r="N33" s="189">
        <f>'Cost Calculation'!AS25</f>
        <v>137631.63227212141</v>
      </c>
      <c r="O33" s="95"/>
    </row>
    <row r="34" spans="2:15" s="94" customFormat="1" ht="49.9" customHeight="1" thickTop="1" thickBot="1">
      <c r="B34" s="415">
        <f>Pricing!A22</f>
        <v>19</v>
      </c>
      <c r="C34" s="416"/>
      <c r="D34" s="187" t="str">
        <f>Pricing!B22</f>
        <v>SFW1</v>
      </c>
      <c r="E34" s="187" t="str">
        <f>Pricing!C22</f>
        <v>M9800</v>
      </c>
      <c r="F34" s="187" t="str">
        <f>Pricing!D22</f>
        <v>5 LEAF SLIDING FOLDING WINDOW</v>
      </c>
      <c r="G34" s="187" t="str">
        <f>Pricing!N22</f>
        <v>24MM</v>
      </c>
      <c r="H34" s="187" t="str">
        <f>Pricing!F22</f>
        <v>FF - FAMILY ROOM</v>
      </c>
      <c r="I34" s="216" t="str">
        <f>Pricing!E22</f>
        <v>NO</v>
      </c>
      <c r="J34" s="216">
        <f>Pricing!G22</f>
        <v>4572</v>
      </c>
      <c r="K34" s="216">
        <f>Pricing!H22</f>
        <v>1830</v>
      </c>
      <c r="L34" s="216">
        <f>Pricing!I22</f>
        <v>1</v>
      </c>
      <c r="M34" s="188">
        <f t="shared" si="1"/>
        <v>8.3667599999999993</v>
      </c>
      <c r="N34" s="189">
        <f>'Cost Calculation'!AS26</f>
        <v>322565.64100781793</v>
      </c>
      <c r="O34" s="95"/>
    </row>
    <row r="35" spans="2:15" s="94" customFormat="1" ht="49.9" customHeight="1" thickTop="1" thickBot="1">
      <c r="B35" s="415">
        <f>Pricing!A23</f>
        <v>20</v>
      </c>
      <c r="C35" s="416"/>
      <c r="D35" s="187" t="str">
        <f>Pricing!B23</f>
        <v>CW1-A</v>
      </c>
      <c r="E35" s="187" t="str">
        <f>Pricing!C23</f>
        <v>M15000</v>
      </c>
      <c r="F35" s="187" t="str">
        <f>Pricing!D23</f>
        <v>SIDE HUNG WITH FIXED GLASS</v>
      </c>
      <c r="G35" s="187" t="str">
        <f>Pricing!N23</f>
        <v>24MM</v>
      </c>
      <c r="H35" s="187" t="str">
        <f>Pricing!F23</f>
        <v>GF - KITCHEN</v>
      </c>
      <c r="I35" s="216" t="str">
        <f>Pricing!E23</f>
        <v>NO</v>
      </c>
      <c r="J35" s="216">
        <f>Pricing!G23</f>
        <v>3759</v>
      </c>
      <c r="K35" s="216">
        <f>Pricing!H23</f>
        <v>1372</v>
      </c>
      <c r="L35" s="216">
        <f>Pricing!I23</f>
        <v>1</v>
      </c>
      <c r="M35" s="188">
        <f t="shared" si="1"/>
        <v>5.1573479999999998</v>
      </c>
      <c r="N35" s="189">
        <f>'Cost Calculation'!AS27</f>
        <v>141467.93326502907</v>
      </c>
      <c r="O35" s="95"/>
    </row>
    <row r="36" spans="2:15" s="94" customFormat="1" ht="49.9" customHeight="1" thickTop="1" thickBot="1">
      <c r="B36" s="415">
        <f>Pricing!A24</f>
        <v>21</v>
      </c>
      <c r="C36" s="416"/>
      <c r="D36" s="187" t="str">
        <f>Pricing!B24</f>
        <v>W5</v>
      </c>
      <c r="E36" s="187" t="str">
        <f>Pricing!C24</f>
        <v>M15000</v>
      </c>
      <c r="F36" s="187" t="str">
        <f>Pricing!D24</f>
        <v>FIXED GLASS</v>
      </c>
      <c r="G36" s="187" t="str">
        <f>Pricing!N24</f>
        <v>24MM</v>
      </c>
      <c r="H36" s="187" t="str">
        <f>Pricing!F24</f>
        <v>COURT - 4</v>
      </c>
      <c r="I36" s="216" t="str">
        <f>Pricing!E24</f>
        <v>NO</v>
      </c>
      <c r="J36" s="216">
        <f>Pricing!G24</f>
        <v>610</v>
      </c>
      <c r="K36" s="216">
        <f>Pricing!H24</f>
        <v>2134</v>
      </c>
      <c r="L36" s="216">
        <f>Pricing!I24</f>
        <v>1</v>
      </c>
      <c r="M36" s="188">
        <f t="shared" si="1"/>
        <v>1.3017399999999999</v>
      </c>
      <c r="N36" s="189">
        <f>'Cost Calculation'!AS28</f>
        <v>20180.649381880379</v>
      </c>
      <c r="O36" s="95"/>
    </row>
    <row r="37" spans="2:15" s="94" customFormat="1" ht="49.9" customHeight="1" thickTop="1" thickBot="1">
      <c r="B37" s="415">
        <f>Pricing!A25</f>
        <v>22</v>
      </c>
      <c r="C37" s="416"/>
      <c r="D37" s="187" t="str">
        <f>Pricing!B25</f>
        <v>CW2-A</v>
      </c>
      <c r="E37" s="187" t="str">
        <f>Pricing!C25</f>
        <v>M14600</v>
      </c>
      <c r="F37" s="187" t="str">
        <f>Pricing!D25</f>
        <v>3 TRACK 2 SHUTTER SLIDING WINDOW</v>
      </c>
      <c r="G37" s="187" t="str">
        <f>Pricing!N25</f>
        <v>24MM</v>
      </c>
      <c r="H37" s="187" t="str">
        <f>Pricing!F25</f>
        <v>GF - MBR &amp; FF - BR 1</v>
      </c>
      <c r="I37" s="216" t="str">
        <f>Pricing!E25</f>
        <v>SS</v>
      </c>
      <c r="J37" s="216">
        <f>Pricing!G25</f>
        <v>1524</v>
      </c>
      <c r="K37" s="216">
        <f>Pricing!H25</f>
        <v>1678</v>
      </c>
      <c r="L37" s="216">
        <f>Pricing!I25</f>
        <v>2</v>
      </c>
      <c r="M37" s="188">
        <f t="shared" si="1"/>
        <v>5.1145440000000004</v>
      </c>
      <c r="N37" s="189">
        <f>'Cost Calculation'!AS29</f>
        <v>179181.14289025267</v>
      </c>
      <c r="O37" s="95"/>
    </row>
    <row r="38" spans="2:15" s="94" customFormat="1" ht="49.9" customHeight="1" thickTop="1" thickBot="1">
      <c r="B38" s="415">
        <f>Pricing!A26</f>
        <v>23</v>
      </c>
      <c r="C38" s="416"/>
      <c r="D38" s="187" t="str">
        <f>Pricing!B26</f>
        <v>CW2-B</v>
      </c>
      <c r="E38" s="187" t="str">
        <f>Pricing!C26</f>
        <v>M15000</v>
      </c>
      <c r="F38" s="187" t="str">
        <f>Pricing!D26</f>
        <v>FIXED GLASS CORNOR WINDOW</v>
      </c>
      <c r="G38" s="187" t="str">
        <f>Pricing!N26</f>
        <v>24MM</v>
      </c>
      <c r="H38" s="187" t="str">
        <f>Pricing!F26</f>
        <v>GF - MBR &amp; FF - BR 1</v>
      </c>
      <c r="I38" s="216" t="str">
        <f>Pricing!E26</f>
        <v>NO</v>
      </c>
      <c r="J38" s="216">
        <f>Pricing!G26</f>
        <v>2924</v>
      </c>
      <c r="K38" s="216">
        <f>Pricing!H26</f>
        <v>1678</v>
      </c>
      <c r="L38" s="216">
        <f>Pricing!I26</f>
        <v>2</v>
      </c>
      <c r="M38" s="188">
        <f t="shared" si="1"/>
        <v>9.8129439999999999</v>
      </c>
      <c r="N38" s="189">
        <f>'Cost Calculation'!AS30</f>
        <v>91589.212490759906</v>
      </c>
      <c r="O38" s="95"/>
    </row>
    <row r="39" spans="2:15" s="94" customFormat="1" ht="49.9" customHeight="1" thickTop="1" thickBot="1">
      <c r="B39" s="415">
        <f>Pricing!A27</f>
        <v>24</v>
      </c>
      <c r="C39" s="416"/>
      <c r="D39" s="187" t="str">
        <f>Pricing!B27</f>
        <v>CW2-C</v>
      </c>
      <c r="E39" s="187" t="str">
        <f>Pricing!C27</f>
        <v>M14600</v>
      </c>
      <c r="F39" s="187" t="str">
        <f>Pricing!D27</f>
        <v>3 TRACK 2 SHUTTER SLIDING WINDOW</v>
      </c>
      <c r="G39" s="187" t="str">
        <f>Pricing!N27</f>
        <v>24MM</v>
      </c>
      <c r="H39" s="187" t="str">
        <f>Pricing!F27</f>
        <v>GF - MBR &amp; FF - BR 1</v>
      </c>
      <c r="I39" s="216" t="str">
        <f>Pricing!E27</f>
        <v>SS</v>
      </c>
      <c r="J39" s="216">
        <f>Pricing!G27</f>
        <v>1830</v>
      </c>
      <c r="K39" s="216">
        <f>Pricing!H27</f>
        <v>1678</v>
      </c>
      <c r="L39" s="216">
        <f>Pricing!I27</f>
        <v>2</v>
      </c>
      <c r="M39" s="188">
        <f t="shared" si="1"/>
        <v>6.1414799999999996</v>
      </c>
      <c r="N39" s="189">
        <f>'Cost Calculation'!AS31</f>
        <v>193789.5412363919</v>
      </c>
      <c r="O39" s="95"/>
    </row>
    <row r="40" spans="2:15" s="94" customFormat="1" ht="49.9" customHeight="1" thickTop="1" thickBot="1">
      <c r="B40" s="415">
        <f>Pricing!A28</f>
        <v>25</v>
      </c>
      <c r="C40" s="416"/>
      <c r="D40" s="187" t="str">
        <f>Pricing!B28</f>
        <v>CW3-A</v>
      </c>
      <c r="E40" s="187" t="str">
        <f>Pricing!C28</f>
        <v>M14600</v>
      </c>
      <c r="F40" s="187" t="str">
        <f>Pricing!D28</f>
        <v>3 TRACK 2 SHUTTER SLIDING WINDOW</v>
      </c>
      <c r="G40" s="187" t="str">
        <f>Pricing!N28</f>
        <v>24MM</v>
      </c>
      <c r="H40" s="187" t="str">
        <f>Pricing!F28</f>
        <v>GF - GBR &amp; FF - BR 2</v>
      </c>
      <c r="I40" s="216" t="str">
        <f>Pricing!E28</f>
        <v>SS</v>
      </c>
      <c r="J40" s="216">
        <f>Pricing!G28</f>
        <v>1830</v>
      </c>
      <c r="K40" s="216">
        <f>Pricing!H28</f>
        <v>1678</v>
      </c>
      <c r="L40" s="216">
        <f>Pricing!I28</f>
        <v>2</v>
      </c>
      <c r="M40" s="188">
        <f t="shared" si="1"/>
        <v>6.1414799999999996</v>
      </c>
      <c r="N40" s="189">
        <f>'Cost Calculation'!AS32</f>
        <v>193789.5412363919</v>
      </c>
      <c r="O40" s="95"/>
    </row>
    <row r="41" spans="2:15" s="94" customFormat="1" ht="49.9" customHeight="1" thickTop="1" thickBot="1">
      <c r="B41" s="415">
        <f>Pricing!A29</f>
        <v>26</v>
      </c>
      <c r="C41" s="416"/>
      <c r="D41" s="187" t="str">
        <f>Pricing!B29</f>
        <v>CW3-B</v>
      </c>
      <c r="E41" s="187" t="str">
        <f>Pricing!C29</f>
        <v>M15000</v>
      </c>
      <c r="F41" s="187" t="str">
        <f>Pricing!D29</f>
        <v>FIXED GLASS CORNOR WINDOW</v>
      </c>
      <c r="G41" s="187" t="str">
        <f>Pricing!N29</f>
        <v>24MM</v>
      </c>
      <c r="H41" s="187" t="str">
        <f>Pricing!F29</f>
        <v>GF - GBR &amp; FF - BR 2</v>
      </c>
      <c r="I41" s="216" t="str">
        <f>Pricing!E29</f>
        <v>NO</v>
      </c>
      <c r="J41" s="216">
        <f>Pricing!G29</f>
        <v>2694</v>
      </c>
      <c r="K41" s="216">
        <f>Pricing!H29</f>
        <v>1678</v>
      </c>
      <c r="L41" s="216">
        <f>Pricing!I29</f>
        <v>2</v>
      </c>
      <c r="M41" s="188">
        <f t="shared" si="1"/>
        <v>9.0410640000000004</v>
      </c>
      <c r="N41" s="189">
        <f>'Cost Calculation'!AS33</f>
        <v>85839.14805906915</v>
      </c>
      <c r="O41" s="95"/>
    </row>
    <row r="42" spans="2:15" s="94" customFormat="1" ht="49.9" customHeight="1" thickTop="1" thickBot="1">
      <c r="B42" s="415">
        <f>Pricing!A30</f>
        <v>27</v>
      </c>
      <c r="C42" s="416"/>
      <c r="D42" s="187" t="str">
        <f>Pricing!B30</f>
        <v>CW3-C</v>
      </c>
      <c r="E42" s="187" t="str">
        <f>Pricing!C30</f>
        <v>M14600</v>
      </c>
      <c r="F42" s="187" t="str">
        <f>Pricing!D30</f>
        <v>3 TRACK 2 SHUTTER SLIDING WINDOW</v>
      </c>
      <c r="G42" s="187" t="str">
        <f>Pricing!N30</f>
        <v>24MM</v>
      </c>
      <c r="H42" s="187" t="str">
        <f>Pricing!F30</f>
        <v>GF - GBR &amp; FF - BR 2</v>
      </c>
      <c r="I42" s="216" t="str">
        <f>Pricing!E30</f>
        <v>SS</v>
      </c>
      <c r="J42" s="216">
        <f>Pricing!G30</f>
        <v>1524</v>
      </c>
      <c r="K42" s="216">
        <f>Pricing!H30</f>
        <v>1678</v>
      </c>
      <c r="L42" s="216">
        <f>Pricing!I30</f>
        <v>2</v>
      </c>
      <c r="M42" s="188">
        <f t="shared" si="1"/>
        <v>5.1145440000000004</v>
      </c>
      <c r="N42" s="189">
        <f>'Cost Calculation'!AS34</f>
        <v>179430.16368652013</v>
      </c>
      <c r="O42" s="95"/>
    </row>
    <row r="43" spans="2:15" s="94" customFormat="1" ht="49.9" customHeight="1" thickTop="1" thickBot="1">
      <c r="B43" s="415">
        <f>Pricing!A31</f>
        <v>28</v>
      </c>
      <c r="C43" s="416"/>
      <c r="D43" s="187" t="str">
        <f>Pricing!B31</f>
        <v>CW4-A</v>
      </c>
      <c r="E43" s="187" t="str">
        <f>Pricing!C31</f>
        <v>M14600</v>
      </c>
      <c r="F43" s="187" t="str">
        <f>Pricing!D31</f>
        <v>3 TRACK 2 SHUTTER SLIDING WINDOW</v>
      </c>
      <c r="G43" s="187" t="str">
        <f>Pricing!N31</f>
        <v>24MM</v>
      </c>
      <c r="H43" s="187" t="str">
        <f>Pricing!F31</f>
        <v>GF - DINING</v>
      </c>
      <c r="I43" s="216" t="str">
        <f>Pricing!E31</f>
        <v>SS</v>
      </c>
      <c r="J43" s="216">
        <f>Pricing!G31</f>
        <v>2694</v>
      </c>
      <c r="K43" s="216">
        <f>Pricing!H31</f>
        <v>1678</v>
      </c>
      <c r="L43" s="216">
        <f>Pricing!I31</f>
        <v>1</v>
      </c>
      <c r="M43" s="188">
        <f t="shared" ref="M43:M92" si="2">J43*K43*L43/1000000</f>
        <v>4.5205320000000002</v>
      </c>
      <c r="N43" s="189">
        <f>'Cost Calculation'!AS35</f>
        <v>207201.94640898533</v>
      </c>
      <c r="O43" s="95"/>
    </row>
    <row r="44" spans="2:15" s="94" customFormat="1" ht="49.9" customHeight="1" thickTop="1" thickBot="1">
      <c r="B44" s="415">
        <f>Pricing!A32</f>
        <v>29</v>
      </c>
      <c r="C44" s="416"/>
      <c r="D44" s="187" t="str">
        <f>Pricing!B32</f>
        <v>CW4-B</v>
      </c>
      <c r="E44" s="187" t="str">
        <f>Pricing!C32</f>
        <v>M15000</v>
      </c>
      <c r="F44" s="187" t="str">
        <f>Pricing!D32</f>
        <v>FIXED GLASS CORNOR WINDOW</v>
      </c>
      <c r="G44" s="187" t="str">
        <f>Pricing!N32</f>
        <v>24MM</v>
      </c>
      <c r="H44" s="187" t="str">
        <f>Pricing!F32</f>
        <v>GF - DINING</v>
      </c>
      <c r="I44" s="216" t="str">
        <f>Pricing!E32</f>
        <v>NO</v>
      </c>
      <c r="J44" s="216">
        <f>Pricing!G32</f>
        <v>2288</v>
      </c>
      <c r="K44" s="216">
        <f>Pricing!H32</f>
        <v>1678</v>
      </c>
      <c r="L44" s="216">
        <f>Pricing!I32</f>
        <v>1</v>
      </c>
      <c r="M44" s="188">
        <f t="shared" si="2"/>
        <v>3.839264</v>
      </c>
      <c r="N44" s="189">
        <f>'Cost Calculation'!AS36</f>
        <v>37847.417978058671</v>
      </c>
      <c r="O44" s="95"/>
    </row>
    <row r="45" spans="2:15" s="94" customFormat="1" ht="49.9" customHeight="1" thickTop="1" thickBot="1">
      <c r="B45" s="415">
        <f>Pricing!A33</f>
        <v>30</v>
      </c>
      <c r="C45" s="416"/>
      <c r="D45" s="187" t="str">
        <f>Pricing!B33</f>
        <v>CW4-C</v>
      </c>
      <c r="E45" s="187" t="str">
        <f>Pricing!C33</f>
        <v>M14600</v>
      </c>
      <c r="F45" s="187" t="str">
        <f>Pricing!D33</f>
        <v>3 TRACK 2 SHUTTER SLIDING WINDOW</v>
      </c>
      <c r="G45" s="187" t="str">
        <f>Pricing!N33</f>
        <v>24MM</v>
      </c>
      <c r="H45" s="187" t="str">
        <f>Pricing!F33</f>
        <v>GF - DINING</v>
      </c>
      <c r="I45" s="216" t="str">
        <f>Pricing!E33</f>
        <v>SS</v>
      </c>
      <c r="J45" s="216">
        <f>Pricing!G33</f>
        <v>1830</v>
      </c>
      <c r="K45" s="216">
        <f>Pricing!H33</f>
        <v>1678</v>
      </c>
      <c r="L45" s="216">
        <f>Pricing!I33</f>
        <v>1</v>
      </c>
      <c r="M45" s="188">
        <f t="shared" si="2"/>
        <v>3.0707399999999998</v>
      </c>
      <c r="N45" s="189">
        <f>'Cost Calculation'!AS37</f>
        <v>96894.770618195951</v>
      </c>
      <c r="O45" s="95"/>
    </row>
    <row r="46" spans="2:15" s="94" customFormat="1" ht="49.9" customHeight="1" thickTop="1" thickBot="1">
      <c r="B46" s="415">
        <f>Pricing!A34</f>
        <v>31</v>
      </c>
      <c r="C46" s="416"/>
      <c r="D46" s="187" t="str">
        <f>Pricing!B34</f>
        <v>V1</v>
      </c>
      <c r="E46" s="187" t="str">
        <f>Pricing!C34</f>
        <v>M15000</v>
      </c>
      <c r="F46" s="187" t="str">
        <f>Pricing!D34</f>
        <v>SIDE HUNG WINDOW</v>
      </c>
      <c r="G46" s="187" t="str">
        <f>Pricing!N34</f>
        <v>6MM (A)</v>
      </c>
      <c r="H46" s="187" t="str">
        <f>Pricing!F34</f>
        <v>GF - POWDER ROOM TOILET</v>
      </c>
      <c r="I46" s="216" t="str">
        <f>Pricing!E34</f>
        <v>NO</v>
      </c>
      <c r="J46" s="216">
        <f>Pricing!G34</f>
        <v>610</v>
      </c>
      <c r="K46" s="216">
        <f>Pricing!H34</f>
        <v>610</v>
      </c>
      <c r="L46" s="216">
        <f>Pricing!I34</f>
        <v>1</v>
      </c>
      <c r="M46" s="188">
        <f t="shared" si="2"/>
        <v>0.37209999999999999</v>
      </c>
      <c r="N46" s="189">
        <f>'Cost Calculation'!AS38</f>
        <v>23888.078498947551</v>
      </c>
      <c r="O46" s="95"/>
    </row>
    <row r="47" spans="2:15" s="94" customFormat="1" ht="49.9" customHeight="1" thickTop="1" thickBot="1">
      <c r="B47" s="415">
        <f>Pricing!A35</f>
        <v>32</v>
      </c>
      <c r="C47" s="416"/>
      <c r="D47" s="187" t="str">
        <f>Pricing!B35</f>
        <v>V2</v>
      </c>
      <c r="E47" s="187" t="str">
        <f>Pricing!C35</f>
        <v>M15000</v>
      </c>
      <c r="F47" s="187" t="str">
        <f>Pricing!D35</f>
        <v>SIDE HUNG WINDOW</v>
      </c>
      <c r="G47" s="187" t="str">
        <f>Pricing!N35</f>
        <v>6MM (A)</v>
      </c>
      <c r="H47" s="187" t="str">
        <f>Pricing!F35</f>
        <v>GF - MBR, GBR &amp; FF - BR 1 &amp; BR 2</v>
      </c>
      <c r="I47" s="216" t="str">
        <f>Pricing!E35</f>
        <v>NO</v>
      </c>
      <c r="J47" s="216">
        <f>Pricing!G35</f>
        <v>916</v>
      </c>
      <c r="K47" s="216">
        <f>Pricing!H35</f>
        <v>916</v>
      </c>
      <c r="L47" s="216">
        <f>Pricing!I35</f>
        <v>4</v>
      </c>
      <c r="M47" s="188">
        <f t="shared" si="2"/>
        <v>3.3562240000000001</v>
      </c>
      <c r="N47" s="189">
        <f>'Cost Calculation'!AS39</f>
        <v>128432.92466077802</v>
      </c>
      <c r="O47" s="95"/>
    </row>
    <row r="48" spans="2:15" s="94" customFormat="1" ht="49.9" customHeight="1" thickTop="1" thickBot="1">
      <c r="B48" s="415">
        <f>Pricing!A36</f>
        <v>33</v>
      </c>
      <c r="C48" s="416"/>
      <c r="D48" s="187" t="str">
        <f>Pricing!B36</f>
        <v>V3</v>
      </c>
      <c r="E48" s="187" t="str">
        <f>Pricing!C36</f>
        <v>M15000</v>
      </c>
      <c r="F48" s="187" t="str">
        <f>Pricing!D36</f>
        <v>FIXED GLASS 3 NO'S</v>
      </c>
      <c r="G48" s="187" t="str">
        <f>Pricing!N36</f>
        <v>24MM</v>
      </c>
      <c r="H48" s="187" t="str">
        <f>Pricing!F36</f>
        <v>GF - CAR PARKING</v>
      </c>
      <c r="I48" s="216" t="str">
        <f>Pricing!E36</f>
        <v>NO</v>
      </c>
      <c r="J48" s="216">
        <f>Pricing!G36</f>
        <v>7722</v>
      </c>
      <c r="K48" s="216">
        <f>Pricing!H36</f>
        <v>610</v>
      </c>
      <c r="L48" s="216">
        <f>Pricing!I36</f>
        <v>1</v>
      </c>
      <c r="M48" s="188">
        <f t="shared" si="2"/>
        <v>4.7104200000000001</v>
      </c>
      <c r="N48" s="189">
        <f>'Cost Calculation'!AS40</f>
        <v>71175.494230169017</v>
      </c>
      <c r="O48" s="95"/>
    </row>
    <row r="49" spans="2:15" s="94" customFormat="1" ht="49.9" customHeight="1" thickTop="1" thickBot="1">
      <c r="B49" s="415">
        <f>Pricing!A37</f>
        <v>34</v>
      </c>
      <c r="C49" s="416"/>
      <c r="D49" s="187" t="str">
        <f>Pricing!B37</f>
        <v>V4-A</v>
      </c>
      <c r="E49" s="187" t="str">
        <f>Pricing!C37</f>
        <v>M15000</v>
      </c>
      <c r="F49" s="187" t="str">
        <f>Pricing!D37</f>
        <v>FIXED GLASS 2 NO'S</v>
      </c>
      <c r="G49" s="187" t="str">
        <f>Pricing!N37</f>
        <v>24MM</v>
      </c>
      <c r="H49" s="187" t="str">
        <f>Pricing!F37</f>
        <v>GF - CAR PARKING</v>
      </c>
      <c r="I49" s="216" t="str">
        <f>Pricing!E37</f>
        <v>NO</v>
      </c>
      <c r="J49" s="216">
        <f>Pricing!G37</f>
        <v>3030</v>
      </c>
      <c r="K49" s="216">
        <f>Pricing!H37</f>
        <v>610</v>
      </c>
      <c r="L49" s="216">
        <f>Pricing!I37</f>
        <v>1</v>
      </c>
      <c r="M49" s="188">
        <f t="shared" si="2"/>
        <v>1.8483000000000001</v>
      </c>
      <c r="N49" s="189">
        <f>'Cost Calculation'!AS41</f>
        <v>31838.728487468237</v>
      </c>
      <c r="O49" s="95"/>
    </row>
    <row r="50" spans="2:15" s="94" customFormat="1" ht="49.9" customHeight="1" thickTop="1" thickBot="1">
      <c r="B50" s="415">
        <f>Pricing!A38</f>
        <v>35</v>
      </c>
      <c r="C50" s="416"/>
      <c r="D50" s="187" t="str">
        <f>Pricing!B38</f>
        <v>V4-B</v>
      </c>
      <c r="E50" s="187" t="str">
        <f>Pricing!C38</f>
        <v>M15000</v>
      </c>
      <c r="F50" s="187" t="str">
        <f>Pricing!D38</f>
        <v>FIXED GLASS 2 NO'S</v>
      </c>
      <c r="G50" s="187" t="str">
        <f>Pricing!N38</f>
        <v>24MM</v>
      </c>
      <c r="H50" s="187" t="str">
        <f>Pricing!F38</f>
        <v>GF - CAR PARKING</v>
      </c>
      <c r="I50" s="216" t="str">
        <f>Pricing!E38</f>
        <v>NO</v>
      </c>
      <c r="J50" s="216">
        <f>Pricing!G38</f>
        <v>3080</v>
      </c>
      <c r="K50" s="216">
        <f>Pricing!H38</f>
        <v>610</v>
      </c>
      <c r="L50" s="216">
        <f>Pricing!I38</f>
        <v>1</v>
      </c>
      <c r="M50" s="188">
        <f t="shared" si="2"/>
        <v>1.8788</v>
      </c>
      <c r="N50" s="189">
        <f>'Cost Calculation'!AS42</f>
        <v>32203.893430042233</v>
      </c>
      <c r="O50" s="95"/>
    </row>
    <row r="51" spans="2:15" s="94" customFormat="1" ht="49.9" hidden="1" customHeight="1" thickTop="1" thickBot="1">
      <c r="B51" s="415">
        <f>Pricing!A39</f>
        <v>36</v>
      </c>
      <c r="C51" s="416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5">
        <f>Pricing!A40</f>
        <v>37</v>
      </c>
      <c r="C52" s="416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5">
        <f>Pricing!A41</f>
        <v>38</v>
      </c>
      <c r="C53" s="416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5">
        <f>Pricing!A42</f>
        <v>39</v>
      </c>
      <c r="C54" s="416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5">
        <f>Pricing!A43</f>
        <v>40</v>
      </c>
      <c r="C55" s="416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5">
        <f>Pricing!A44</f>
        <v>41</v>
      </c>
      <c r="C56" s="416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5">
        <f>Pricing!A45</f>
        <v>42</v>
      </c>
      <c r="C57" s="416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5">
        <f>Pricing!A46</f>
        <v>43</v>
      </c>
      <c r="C58" s="416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5">
        <f>Pricing!A47</f>
        <v>44</v>
      </c>
      <c r="C59" s="416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5">
        <f>Pricing!A48</f>
        <v>45</v>
      </c>
      <c r="C60" s="416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5">
        <f>Pricing!A49</f>
        <v>46</v>
      </c>
      <c r="C61" s="416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5">
        <f>Pricing!A50</f>
        <v>47</v>
      </c>
      <c r="C62" s="416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5">
        <f>Pricing!A51</f>
        <v>48</v>
      </c>
      <c r="C63" s="416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5">
        <f>Pricing!A52</f>
        <v>49</v>
      </c>
      <c r="C64" s="416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5">
        <f>Pricing!A53</f>
        <v>50</v>
      </c>
      <c r="C65" s="416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5">
        <f>Pricing!A54</f>
        <v>51</v>
      </c>
      <c r="C66" s="416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5">
        <f>Pricing!A55</f>
        <v>52</v>
      </c>
      <c r="C67" s="416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5">
        <f>Pricing!A56</f>
        <v>53</v>
      </c>
      <c r="C68" s="416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5">
        <f>Pricing!A57</f>
        <v>54</v>
      </c>
      <c r="C69" s="416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5">
        <f>Pricing!A58</f>
        <v>55</v>
      </c>
      <c r="C70" s="416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5">
        <f>Pricing!A59</f>
        <v>56</v>
      </c>
      <c r="C71" s="416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5">
        <f>Pricing!A60</f>
        <v>57</v>
      </c>
      <c r="C72" s="416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5">
        <f>Pricing!A61</f>
        <v>58</v>
      </c>
      <c r="C73" s="416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5">
        <f>Pricing!A62</f>
        <v>59</v>
      </c>
      <c r="C74" s="416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5">
        <f>Pricing!A63</f>
        <v>60</v>
      </c>
      <c r="C75" s="416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5">
        <f>Pricing!A64</f>
        <v>61</v>
      </c>
      <c r="C76" s="416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5">
        <f>Pricing!A65</f>
        <v>62</v>
      </c>
      <c r="C77" s="416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5">
        <f>Pricing!A66</f>
        <v>63</v>
      </c>
      <c r="C78" s="416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5">
        <f>Pricing!A67</f>
        <v>64</v>
      </c>
      <c r="C79" s="416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5">
        <f>Pricing!A68</f>
        <v>65</v>
      </c>
      <c r="C80" s="416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5">
        <f>Pricing!A69</f>
        <v>66</v>
      </c>
      <c r="C81" s="416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5">
        <f>Pricing!A70</f>
        <v>67</v>
      </c>
      <c r="C82" s="416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5">
        <f>Pricing!A71</f>
        <v>68</v>
      </c>
      <c r="C83" s="416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5">
        <f>Pricing!A72</f>
        <v>69</v>
      </c>
      <c r="C84" s="416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5">
        <f>Pricing!A73</f>
        <v>70</v>
      </c>
      <c r="C85" s="416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5">
        <f>Pricing!A74</f>
        <v>71</v>
      </c>
      <c r="C86" s="416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5">
        <f>Pricing!A75</f>
        <v>72</v>
      </c>
      <c r="C87" s="416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5">
        <f>Pricing!A76</f>
        <v>73</v>
      </c>
      <c r="C88" s="416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5">
        <f>Pricing!A77</f>
        <v>74</v>
      </c>
      <c r="C89" s="416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5">
        <f>Pricing!A78</f>
        <v>75</v>
      </c>
      <c r="C90" s="416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5">
        <f>Pricing!A79</f>
        <v>76</v>
      </c>
      <c r="C91" s="416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5">
        <f>Pricing!A80</f>
        <v>77</v>
      </c>
      <c r="C92" s="416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5">
        <f>Pricing!A81</f>
        <v>78</v>
      </c>
      <c r="C93" s="416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5">
        <f>Pricing!A82</f>
        <v>79</v>
      </c>
      <c r="C94" s="416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5">
        <f>Pricing!A83</f>
        <v>80</v>
      </c>
      <c r="C95" s="416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5">
        <f>Pricing!A84</f>
        <v>81</v>
      </c>
      <c r="C96" s="416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5">
        <f>Pricing!A85</f>
        <v>82</v>
      </c>
      <c r="C97" s="416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5">
        <f>Pricing!A86</f>
        <v>83</v>
      </c>
      <c r="C98" s="416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5">
        <f>Pricing!A87</f>
        <v>84</v>
      </c>
      <c r="C99" s="416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5">
        <f>Pricing!A88</f>
        <v>85</v>
      </c>
      <c r="C100" s="416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5">
        <f>Pricing!A89</f>
        <v>86</v>
      </c>
      <c r="C101" s="416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5">
        <f>Pricing!A90</f>
        <v>87</v>
      </c>
      <c r="C102" s="416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5">
        <f>Pricing!A91</f>
        <v>88</v>
      </c>
      <c r="C103" s="416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5">
        <f>Pricing!A92</f>
        <v>89</v>
      </c>
      <c r="C104" s="416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5">
        <f>Pricing!A93</f>
        <v>90</v>
      </c>
      <c r="C105" s="416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5">
        <f>Pricing!A94</f>
        <v>91</v>
      </c>
      <c r="C106" s="416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5">
        <f>Pricing!A95</f>
        <v>92</v>
      </c>
      <c r="C107" s="416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5">
        <f>Pricing!A96</f>
        <v>93</v>
      </c>
      <c r="C108" s="416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5">
        <f>Pricing!A97</f>
        <v>94</v>
      </c>
      <c r="C109" s="416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5">
        <f>Pricing!A98</f>
        <v>95</v>
      </c>
      <c r="C110" s="416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5">
        <f>Pricing!A99</f>
        <v>96</v>
      </c>
      <c r="C111" s="416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5">
        <f>Pricing!A100</f>
        <v>97</v>
      </c>
      <c r="C112" s="416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5">
        <f>Pricing!A101</f>
        <v>98</v>
      </c>
      <c r="C113" s="416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5">
        <f>Pricing!A102</f>
        <v>99</v>
      </c>
      <c r="C114" s="416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5">
        <f>Pricing!A103</f>
        <v>100</v>
      </c>
      <c r="C115" s="416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6"/>
      <c r="C116" s="507"/>
      <c r="D116" s="507"/>
      <c r="E116" s="507"/>
      <c r="F116" s="507"/>
      <c r="G116" s="507"/>
      <c r="H116" s="507"/>
      <c r="I116" s="507"/>
      <c r="J116" s="507"/>
      <c r="K116" s="508"/>
      <c r="L116" s="190">
        <f>SUM(L16:L115)</f>
        <v>53</v>
      </c>
      <c r="M116" s="191">
        <f>SUM(M16:M115)</f>
        <v>184.83866499999999</v>
      </c>
      <c r="N116" s="186"/>
      <c r="O116" s="95"/>
    </row>
    <row r="117" spans="2:15" s="94" customFormat="1" ht="30" customHeight="1" thickTop="1" thickBot="1">
      <c r="B117" s="509" t="s">
        <v>180</v>
      </c>
      <c r="C117" s="510"/>
      <c r="D117" s="510"/>
      <c r="E117" s="510"/>
      <c r="F117" s="510"/>
      <c r="G117" s="510"/>
      <c r="H117" s="510"/>
      <c r="I117" s="510"/>
      <c r="J117" s="510"/>
      <c r="K117" s="510"/>
      <c r="L117" s="510"/>
      <c r="M117" s="511"/>
      <c r="N117" s="192">
        <f>ROUND(SUM(N16:N115),0.1)</f>
        <v>4937481</v>
      </c>
      <c r="O117" s="95">
        <f>N117/SUM(M116)</f>
        <v>26712.3818493279</v>
      </c>
    </row>
    <row r="118" spans="2:15" s="94" customFormat="1" ht="30" customHeight="1" thickTop="1" thickBot="1">
      <c r="B118" s="509" t="s">
        <v>111</v>
      </c>
      <c r="C118" s="510"/>
      <c r="D118" s="510"/>
      <c r="E118" s="510"/>
      <c r="F118" s="510"/>
      <c r="G118" s="510"/>
      <c r="H118" s="510"/>
      <c r="I118" s="510"/>
      <c r="J118" s="510"/>
      <c r="K118" s="510"/>
      <c r="L118" s="510"/>
      <c r="M118" s="511"/>
      <c r="N118" s="192">
        <f>ROUND(N117*18%,0.1)</f>
        <v>888747</v>
      </c>
      <c r="O118" s="95">
        <f>N118/SUM(M116)</f>
        <v>4808.2310051308805</v>
      </c>
    </row>
    <row r="119" spans="2:15" s="94" customFormat="1" ht="30" customHeight="1" thickTop="1" thickBot="1">
      <c r="B119" s="509" t="s">
        <v>181</v>
      </c>
      <c r="C119" s="510"/>
      <c r="D119" s="510"/>
      <c r="E119" s="510"/>
      <c r="F119" s="510"/>
      <c r="G119" s="510"/>
      <c r="H119" s="510"/>
      <c r="I119" s="510"/>
      <c r="J119" s="510"/>
      <c r="K119" s="510"/>
      <c r="L119" s="510"/>
      <c r="M119" s="511"/>
      <c r="N119" s="192">
        <f>ROUND(SUM(N117:N118),0.1)</f>
        <v>5826228</v>
      </c>
      <c r="O119" s="95">
        <f>N119/SUM(M116)</f>
        <v>31520.612854458781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2481.6408258387123</v>
      </c>
    </row>
    <row r="121" spans="2:15" s="139" customFormat="1" ht="30" customHeight="1" thickTop="1">
      <c r="B121" s="480" t="s">
        <v>236</v>
      </c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2"/>
      <c r="O121" s="138"/>
    </row>
    <row r="122" spans="2:15" s="93" customFormat="1" ht="24.95" customHeight="1">
      <c r="B122" s="411">
        <v>1</v>
      </c>
      <c r="C122" s="412"/>
      <c r="D122" s="413"/>
      <c r="E122" s="413"/>
      <c r="F122" s="413"/>
      <c r="G122" s="413"/>
      <c r="H122" s="413"/>
      <c r="I122" s="413"/>
      <c r="J122" s="413"/>
      <c r="K122" s="413"/>
      <c r="L122" s="413"/>
      <c r="M122" s="413"/>
      <c r="N122" s="414"/>
    </row>
    <row r="123" spans="2:15" s="139" customFormat="1" ht="30" customHeight="1">
      <c r="B123" s="447" t="s">
        <v>206</v>
      </c>
      <c r="C123" s="448"/>
      <c r="D123" s="448"/>
      <c r="E123" s="448"/>
      <c r="F123" s="448"/>
      <c r="G123" s="448"/>
      <c r="H123" s="448"/>
      <c r="I123" s="448"/>
      <c r="J123" s="448"/>
      <c r="K123" s="448"/>
      <c r="L123" s="448"/>
      <c r="M123" s="448"/>
      <c r="N123" s="449"/>
      <c r="O123" s="138"/>
    </row>
    <row r="124" spans="2:15" s="93" customFormat="1" ht="24.95" customHeight="1">
      <c r="B124" s="411">
        <v>1</v>
      </c>
      <c r="C124" s="412"/>
      <c r="D124" s="413" t="s">
        <v>491</v>
      </c>
      <c r="E124" s="413"/>
      <c r="F124" s="413"/>
      <c r="G124" s="413"/>
      <c r="H124" s="413"/>
      <c r="I124" s="413"/>
      <c r="J124" s="413"/>
      <c r="K124" s="413"/>
      <c r="L124" s="413"/>
      <c r="M124" s="413"/>
      <c r="N124" s="414"/>
    </row>
    <row r="125" spans="2:15" s="93" customFormat="1" ht="24.95" customHeight="1">
      <c r="B125" s="411">
        <v>2</v>
      </c>
      <c r="C125" s="412"/>
      <c r="D125" s="413" t="s">
        <v>494</v>
      </c>
      <c r="E125" s="413"/>
      <c r="F125" s="413"/>
      <c r="G125" s="413"/>
      <c r="H125" s="413"/>
      <c r="I125" s="413"/>
      <c r="J125" s="413"/>
      <c r="K125" s="413"/>
      <c r="L125" s="413"/>
      <c r="M125" s="413"/>
      <c r="N125" s="414"/>
    </row>
    <row r="126" spans="2:15" s="93" customFormat="1" ht="24.95" customHeight="1">
      <c r="B126" s="411">
        <v>3</v>
      </c>
      <c r="C126" s="412"/>
      <c r="D126" s="413" t="s">
        <v>492</v>
      </c>
      <c r="E126" s="413"/>
      <c r="F126" s="413"/>
      <c r="G126" s="413"/>
      <c r="H126" s="413"/>
      <c r="I126" s="413"/>
      <c r="J126" s="413"/>
      <c r="K126" s="413"/>
      <c r="L126" s="413"/>
      <c r="M126" s="413"/>
      <c r="N126" s="414"/>
    </row>
    <row r="127" spans="2:15" s="93" customFormat="1" ht="24.95" customHeight="1">
      <c r="B127" s="411">
        <v>4</v>
      </c>
      <c r="C127" s="412"/>
      <c r="D127" s="413" t="s">
        <v>493</v>
      </c>
      <c r="E127" s="413"/>
      <c r="F127" s="413"/>
      <c r="G127" s="413"/>
      <c r="H127" s="413"/>
      <c r="I127" s="413"/>
      <c r="J127" s="413"/>
      <c r="K127" s="413"/>
      <c r="L127" s="413"/>
      <c r="M127" s="413"/>
      <c r="N127" s="414"/>
    </row>
    <row r="128" spans="2:15" s="139" customFormat="1" ht="30" customHeight="1">
      <c r="B128" s="447" t="s">
        <v>140</v>
      </c>
      <c r="C128" s="448"/>
      <c r="D128" s="448"/>
      <c r="E128" s="448"/>
      <c r="F128" s="448"/>
      <c r="G128" s="448"/>
      <c r="H128" s="448"/>
      <c r="I128" s="448"/>
      <c r="J128" s="448"/>
      <c r="K128" s="448"/>
      <c r="L128" s="448"/>
      <c r="M128" s="448"/>
      <c r="N128" s="449"/>
      <c r="O128" s="138"/>
    </row>
    <row r="129" spans="2:14" s="93" customFormat="1" ht="24.95" customHeight="1">
      <c r="B129" s="411">
        <v>1</v>
      </c>
      <c r="C129" s="412"/>
      <c r="D129" s="413" t="s">
        <v>362</v>
      </c>
      <c r="E129" s="413"/>
      <c r="F129" s="413"/>
      <c r="G129" s="413"/>
      <c r="H129" s="413"/>
      <c r="I129" s="413"/>
      <c r="J129" s="413"/>
      <c r="K129" s="413"/>
      <c r="L129" s="413"/>
      <c r="M129" s="413"/>
      <c r="N129" s="414"/>
    </row>
    <row r="130" spans="2:14" s="93" customFormat="1" ht="24.95" customHeight="1">
      <c r="B130" s="411">
        <v>2</v>
      </c>
      <c r="C130" s="412"/>
      <c r="D130" s="413" t="s">
        <v>386</v>
      </c>
      <c r="E130" s="413"/>
      <c r="F130" s="413"/>
      <c r="G130" s="413"/>
      <c r="H130" s="413"/>
      <c r="I130" s="413"/>
      <c r="J130" s="413"/>
      <c r="K130" s="413"/>
      <c r="L130" s="413"/>
      <c r="M130" s="413"/>
      <c r="N130" s="414"/>
    </row>
    <row r="131" spans="2:14" s="93" customFormat="1" ht="24.95" customHeight="1">
      <c r="B131" s="411">
        <v>3</v>
      </c>
      <c r="C131" s="412"/>
      <c r="D131" s="437" t="s">
        <v>402</v>
      </c>
      <c r="E131" s="437"/>
      <c r="F131" s="437"/>
      <c r="G131" s="437"/>
      <c r="H131" s="437"/>
      <c r="I131" s="437"/>
      <c r="J131" s="437"/>
      <c r="K131" s="437"/>
      <c r="L131" s="437"/>
      <c r="M131" s="437"/>
      <c r="N131" s="438"/>
    </row>
    <row r="132" spans="2:14" s="139" customFormat="1" ht="30" customHeight="1">
      <c r="B132" s="431" t="s">
        <v>141</v>
      </c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3"/>
    </row>
    <row r="133" spans="2:14" s="93" customFormat="1" ht="24.95" customHeight="1">
      <c r="B133" s="411">
        <v>1</v>
      </c>
      <c r="C133" s="412"/>
      <c r="D133" s="413" t="s">
        <v>142</v>
      </c>
      <c r="E133" s="413"/>
      <c r="F133" s="413"/>
      <c r="G133" s="413"/>
      <c r="H133" s="413"/>
      <c r="I133" s="413"/>
      <c r="J133" s="413"/>
      <c r="K133" s="413"/>
      <c r="L133" s="413"/>
      <c r="M133" s="413"/>
      <c r="N133" s="414"/>
    </row>
    <row r="134" spans="2:14" s="93" customFormat="1" ht="24.95" customHeight="1">
      <c r="B134" s="411">
        <v>2</v>
      </c>
      <c r="C134" s="412"/>
      <c r="D134" s="413" t="s">
        <v>143</v>
      </c>
      <c r="E134" s="413"/>
      <c r="F134" s="413"/>
      <c r="G134" s="413"/>
      <c r="H134" s="413"/>
      <c r="I134" s="413"/>
      <c r="J134" s="413"/>
      <c r="K134" s="413"/>
      <c r="L134" s="413"/>
      <c r="M134" s="413"/>
      <c r="N134" s="414"/>
    </row>
    <row r="135" spans="2:14" s="93" customFormat="1" ht="24.95" customHeight="1">
      <c r="B135" s="411">
        <v>3</v>
      </c>
      <c r="C135" s="412"/>
      <c r="D135" s="413" t="s">
        <v>144</v>
      </c>
      <c r="E135" s="413"/>
      <c r="F135" s="413"/>
      <c r="G135" s="413"/>
      <c r="H135" s="413"/>
      <c r="I135" s="413"/>
      <c r="J135" s="413"/>
      <c r="K135" s="413"/>
      <c r="L135" s="413"/>
      <c r="M135" s="413"/>
      <c r="N135" s="414"/>
    </row>
    <row r="136" spans="2:14" s="139" customFormat="1" ht="30" customHeight="1">
      <c r="B136" s="431" t="s">
        <v>145</v>
      </c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3"/>
    </row>
    <row r="137" spans="2:14" s="139" customFormat="1" ht="30" customHeight="1">
      <c r="B137" s="434" t="s">
        <v>146</v>
      </c>
      <c r="C137" s="435"/>
      <c r="D137" s="435"/>
      <c r="E137" s="435"/>
      <c r="F137" s="435"/>
      <c r="G137" s="435"/>
      <c r="H137" s="435"/>
      <c r="I137" s="435"/>
      <c r="J137" s="435"/>
      <c r="K137" s="435"/>
      <c r="L137" s="435"/>
      <c r="M137" s="435"/>
      <c r="N137" s="436"/>
    </row>
    <row r="138" spans="2:14" s="93" customFormat="1" ht="24.95" customHeight="1">
      <c r="B138" s="411">
        <v>1</v>
      </c>
      <c r="C138" s="412"/>
      <c r="D138" s="413" t="s">
        <v>147</v>
      </c>
      <c r="E138" s="413"/>
      <c r="F138" s="413"/>
      <c r="G138" s="413"/>
      <c r="H138" s="413"/>
      <c r="I138" s="413"/>
      <c r="J138" s="413"/>
      <c r="K138" s="413"/>
      <c r="L138" s="413"/>
      <c r="M138" s="413"/>
      <c r="N138" s="414"/>
    </row>
    <row r="139" spans="2:14" s="93" customFormat="1" ht="24.95" customHeight="1">
      <c r="B139" s="411">
        <v>2</v>
      </c>
      <c r="C139" s="412"/>
      <c r="D139" s="413" t="s">
        <v>399</v>
      </c>
      <c r="E139" s="413"/>
      <c r="F139" s="413"/>
      <c r="G139" s="413"/>
      <c r="H139" s="413"/>
      <c r="I139" s="413"/>
      <c r="J139" s="413"/>
      <c r="K139" s="413"/>
      <c r="L139" s="413"/>
      <c r="M139" s="413"/>
      <c r="N139" s="414"/>
    </row>
    <row r="140" spans="2:14" s="93" customFormat="1" ht="24.95" customHeight="1">
      <c r="B140" s="411">
        <v>3</v>
      </c>
      <c r="C140" s="412"/>
      <c r="D140" s="413" t="s">
        <v>148</v>
      </c>
      <c r="E140" s="413"/>
      <c r="F140" s="413"/>
      <c r="G140" s="413"/>
      <c r="H140" s="413"/>
      <c r="I140" s="413"/>
      <c r="J140" s="413"/>
      <c r="K140" s="413"/>
      <c r="L140" s="413"/>
      <c r="M140" s="413"/>
      <c r="N140" s="414"/>
    </row>
    <row r="141" spans="2:14" s="93" customFormat="1" ht="24.95" customHeight="1">
      <c r="B141" s="411">
        <v>4</v>
      </c>
      <c r="C141" s="412"/>
      <c r="D141" s="413" t="s">
        <v>149</v>
      </c>
      <c r="E141" s="413"/>
      <c r="F141" s="413"/>
      <c r="G141" s="413"/>
      <c r="H141" s="413"/>
      <c r="I141" s="413"/>
      <c r="J141" s="413"/>
      <c r="K141" s="413"/>
      <c r="L141" s="413"/>
      <c r="M141" s="413"/>
      <c r="N141" s="414"/>
    </row>
    <row r="142" spans="2:14" s="93" customFormat="1" ht="24.95" customHeight="1">
      <c r="B142" s="411">
        <v>5</v>
      </c>
      <c r="C142" s="412"/>
      <c r="D142" s="413" t="s">
        <v>150</v>
      </c>
      <c r="E142" s="413"/>
      <c r="F142" s="413"/>
      <c r="G142" s="413"/>
      <c r="H142" s="413"/>
      <c r="I142" s="413"/>
      <c r="J142" s="413"/>
      <c r="K142" s="413"/>
      <c r="L142" s="413"/>
      <c r="M142" s="413"/>
      <c r="N142" s="414"/>
    </row>
    <row r="143" spans="2:14" s="93" customFormat="1" ht="24.95" customHeight="1">
      <c r="B143" s="411">
        <v>6</v>
      </c>
      <c r="C143" s="412"/>
      <c r="D143" s="413" t="s">
        <v>151</v>
      </c>
      <c r="E143" s="413"/>
      <c r="F143" s="413"/>
      <c r="G143" s="413"/>
      <c r="H143" s="413"/>
      <c r="I143" s="413"/>
      <c r="J143" s="413"/>
      <c r="K143" s="413"/>
      <c r="L143" s="413"/>
      <c r="M143" s="413"/>
      <c r="N143" s="414"/>
    </row>
    <row r="144" spans="2:14" s="140" customFormat="1" ht="30" customHeight="1">
      <c r="B144" s="431" t="s">
        <v>152</v>
      </c>
      <c r="C144" s="432"/>
      <c r="D144" s="432"/>
      <c r="E144" s="432"/>
      <c r="F144" s="432"/>
      <c r="G144" s="432"/>
      <c r="H144" s="432"/>
      <c r="I144" s="432"/>
      <c r="J144" s="432"/>
      <c r="K144" s="432"/>
      <c r="L144" s="432"/>
      <c r="M144" s="432"/>
      <c r="N144" s="433"/>
    </row>
    <row r="145" spans="2:14" s="93" customFormat="1" ht="24.95" customHeight="1">
      <c r="B145" s="411">
        <v>1</v>
      </c>
      <c r="C145" s="412"/>
      <c r="D145" s="413" t="s">
        <v>153</v>
      </c>
      <c r="E145" s="413"/>
      <c r="F145" s="413"/>
      <c r="G145" s="413"/>
      <c r="H145" s="413"/>
      <c r="I145" s="413"/>
      <c r="J145" s="413"/>
      <c r="K145" s="413"/>
      <c r="L145" s="413"/>
      <c r="M145" s="413"/>
      <c r="N145" s="414"/>
    </row>
    <row r="146" spans="2:14" s="93" customFormat="1" ht="135" customHeight="1">
      <c r="B146" s="411">
        <v>2</v>
      </c>
      <c r="C146" s="412"/>
      <c r="D146" s="417" t="s">
        <v>418</v>
      </c>
      <c r="E146" s="418"/>
      <c r="F146" s="418"/>
      <c r="G146" s="418"/>
      <c r="H146" s="418"/>
      <c r="I146" s="418"/>
      <c r="J146" s="418"/>
      <c r="K146" s="418"/>
      <c r="L146" s="418"/>
      <c r="M146" s="418"/>
      <c r="N146" s="419"/>
    </row>
    <row r="147" spans="2:14" s="93" customFormat="1" ht="24.95" customHeight="1">
      <c r="B147" s="411">
        <v>3</v>
      </c>
      <c r="C147" s="412"/>
      <c r="D147" s="413" t="s">
        <v>154</v>
      </c>
      <c r="E147" s="413"/>
      <c r="F147" s="413"/>
      <c r="G147" s="413"/>
      <c r="H147" s="413"/>
      <c r="I147" s="413"/>
      <c r="J147" s="413"/>
      <c r="K147" s="413"/>
      <c r="L147" s="413"/>
      <c r="M147" s="413"/>
      <c r="N147" s="414"/>
    </row>
    <row r="148" spans="2:14" s="93" customFormat="1" ht="24.95" customHeight="1">
      <c r="B148" s="411">
        <v>4</v>
      </c>
      <c r="C148" s="412"/>
      <c r="D148" s="413" t="s">
        <v>155</v>
      </c>
      <c r="E148" s="413"/>
      <c r="F148" s="413"/>
      <c r="G148" s="413"/>
      <c r="H148" s="413"/>
      <c r="I148" s="413"/>
      <c r="J148" s="413"/>
      <c r="K148" s="413"/>
      <c r="L148" s="413"/>
      <c r="M148" s="413"/>
      <c r="N148" s="414"/>
    </row>
    <row r="149" spans="2:14" s="140" customFormat="1" ht="30" customHeight="1">
      <c r="B149" s="431" t="s">
        <v>156</v>
      </c>
      <c r="C149" s="432"/>
      <c r="D149" s="432"/>
      <c r="E149" s="432"/>
      <c r="F149" s="432"/>
      <c r="G149" s="432"/>
      <c r="H149" s="432"/>
      <c r="I149" s="432"/>
      <c r="J149" s="432"/>
      <c r="K149" s="432"/>
      <c r="L149" s="432"/>
      <c r="M149" s="432"/>
      <c r="N149" s="433"/>
    </row>
    <row r="150" spans="2:14" s="93" customFormat="1" ht="24.95" customHeight="1">
      <c r="B150" s="411">
        <v>1</v>
      </c>
      <c r="C150" s="412"/>
      <c r="D150" s="413" t="s">
        <v>157</v>
      </c>
      <c r="E150" s="413"/>
      <c r="F150" s="413"/>
      <c r="G150" s="413"/>
      <c r="H150" s="413"/>
      <c r="I150" s="413"/>
      <c r="J150" s="413"/>
      <c r="K150" s="413"/>
      <c r="L150" s="413"/>
      <c r="M150" s="413"/>
      <c r="N150" s="414"/>
    </row>
    <row r="151" spans="2:14" s="93" customFormat="1" ht="55.9" customHeight="1">
      <c r="B151" s="411">
        <v>2</v>
      </c>
      <c r="C151" s="412"/>
      <c r="D151" s="417" t="s">
        <v>158</v>
      </c>
      <c r="E151" s="418"/>
      <c r="F151" s="418"/>
      <c r="G151" s="418"/>
      <c r="H151" s="418"/>
      <c r="I151" s="418"/>
      <c r="J151" s="418"/>
      <c r="K151" s="418"/>
      <c r="L151" s="418"/>
      <c r="M151" s="418"/>
      <c r="N151" s="419"/>
    </row>
    <row r="152" spans="2:14" s="140" customFormat="1" ht="30" customHeight="1">
      <c r="B152" s="431" t="s">
        <v>159</v>
      </c>
      <c r="C152" s="432"/>
      <c r="D152" s="432"/>
      <c r="E152" s="432"/>
      <c r="F152" s="432"/>
      <c r="G152" s="432"/>
      <c r="H152" s="432"/>
      <c r="I152" s="432"/>
      <c r="J152" s="432"/>
      <c r="K152" s="432"/>
      <c r="L152" s="432"/>
      <c r="M152" s="432"/>
      <c r="N152" s="433"/>
    </row>
    <row r="153" spans="2:14" s="93" customFormat="1" ht="24.95" customHeight="1">
      <c r="B153" s="411">
        <v>1</v>
      </c>
      <c r="C153" s="412"/>
      <c r="D153" s="439" t="s">
        <v>160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</row>
    <row r="154" spans="2:14" s="93" customFormat="1" ht="24.95" customHeight="1">
      <c r="B154" s="411">
        <v>2</v>
      </c>
      <c r="C154" s="412"/>
      <c r="D154" s="439" t="s">
        <v>161</v>
      </c>
      <c r="E154" s="439"/>
      <c r="F154" s="439"/>
      <c r="G154" s="439"/>
      <c r="H154" s="439"/>
      <c r="I154" s="439"/>
      <c r="J154" s="439"/>
      <c r="K154" s="439"/>
      <c r="L154" s="439"/>
      <c r="M154" s="439"/>
      <c r="N154" s="440"/>
    </row>
    <row r="155" spans="2:14" s="93" customFormat="1" ht="49.9" customHeight="1">
      <c r="B155" s="411">
        <v>3</v>
      </c>
      <c r="C155" s="412"/>
      <c r="D155" s="444" t="s">
        <v>162</v>
      </c>
      <c r="E155" s="445"/>
      <c r="F155" s="445"/>
      <c r="G155" s="445"/>
      <c r="H155" s="445"/>
      <c r="I155" s="445"/>
      <c r="J155" s="445"/>
      <c r="K155" s="445"/>
      <c r="L155" s="445"/>
      <c r="M155" s="445"/>
      <c r="N155" s="446"/>
    </row>
    <row r="156" spans="2:14" s="93" customFormat="1" ht="24.95" customHeight="1">
      <c r="B156" s="411">
        <v>4</v>
      </c>
      <c r="C156" s="412"/>
      <c r="D156" s="439" t="s">
        <v>163</v>
      </c>
      <c r="E156" s="439"/>
      <c r="F156" s="439"/>
      <c r="G156" s="439"/>
      <c r="H156" s="439"/>
      <c r="I156" s="439"/>
      <c r="J156" s="439"/>
      <c r="K156" s="439"/>
      <c r="L156" s="439"/>
      <c r="M156" s="439"/>
      <c r="N156" s="440"/>
    </row>
    <row r="157" spans="2:14" s="140" customFormat="1" ht="30" customHeight="1">
      <c r="B157" s="431" t="s">
        <v>164</v>
      </c>
      <c r="C157" s="432"/>
      <c r="D157" s="432"/>
      <c r="E157" s="432"/>
      <c r="F157" s="432"/>
      <c r="G157" s="432"/>
      <c r="H157" s="432"/>
      <c r="I157" s="432"/>
      <c r="J157" s="432"/>
      <c r="K157" s="432"/>
      <c r="L157" s="432"/>
      <c r="M157" s="432"/>
      <c r="N157" s="433"/>
    </row>
    <row r="158" spans="2:14" s="93" customFormat="1" ht="24.95" customHeight="1">
      <c r="B158" s="411">
        <v>1</v>
      </c>
      <c r="C158" s="412"/>
      <c r="D158" s="439" t="s">
        <v>165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24.95" customHeight="1">
      <c r="B159" s="411">
        <v>2</v>
      </c>
      <c r="C159" s="412"/>
      <c r="D159" s="439" t="s">
        <v>166</v>
      </c>
      <c r="E159" s="439"/>
      <c r="F159" s="439"/>
      <c r="G159" s="439"/>
      <c r="H159" s="439"/>
      <c r="I159" s="439"/>
      <c r="J159" s="439"/>
      <c r="K159" s="439"/>
      <c r="L159" s="439"/>
      <c r="M159" s="439"/>
      <c r="N159" s="440"/>
    </row>
    <row r="160" spans="2:14" s="93" customFormat="1" ht="24.95" customHeight="1">
      <c r="B160" s="411">
        <v>3</v>
      </c>
      <c r="C160" s="412"/>
      <c r="D160" s="439" t="s">
        <v>167</v>
      </c>
      <c r="E160" s="439"/>
      <c r="F160" s="439"/>
      <c r="G160" s="439"/>
      <c r="H160" s="439"/>
      <c r="I160" s="439"/>
      <c r="J160" s="439"/>
      <c r="K160" s="439"/>
      <c r="L160" s="439"/>
      <c r="M160" s="439"/>
      <c r="N160" s="440"/>
    </row>
    <row r="161" spans="2:14" s="93" customFormat="1" ht="24.95" customHeight="1">
      <c r="B161" s="411">
        <v>4</v>
      </c>
      <c r="C161" s="412"/>
      <c r="D161" s="439" t="s">
        <v>398</v>
      </c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</row>
    <row r="162" spans="2:14" s="93" customFormat="1" ht="24.95" customHeight="1">
      <c r="B162" s="441" t="s">
        <v>239</v>
      </c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</row>
    <row r="163" spans="2:14" s="93" customFormat="1" ht="24.95" customHeight="1">
      <c r="B163" s="441" t="s">
        <v>240</v>
      </c>
      <c r="C163" s="442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  <c r="N163" s="443"/>
    </row>
    <row r="164" spans="2:14" s="93" customFormat="1" ht="41.25" customHeight="1">
      <c r="B164" s="462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</row>
    <row r="165" spans="2:14" s="93" customFormat="1" ht="39.950000000000003" customHeight="1">
      <c r="B165" s="465"/>
      <c r="C165" s="466"/>
      <c r="D165" s="466"/>
      <c r="E165" s="466"/>
      <c r="F165" s="466"/>
      <c r="G165" s="466"/>
      <c r="H165" s="466"/>
      <c r="I165" s="466"/>
      <c r="J165" s="466"/>
      <c r="K165" s="466"/>
      <c r="L165" s="466"/>
      <c r="M165" s="466"/>
      <c r="N165" s="467"/>
    </row>
    <row r="166" spans="2:14" s="93" customFormat="1" ht="41.25" customHeight="1">
      <c r="B166" s="465"/>
      <c r="C166" s="466"/>
      <c r="D166" s="466"/>
      <c r="E166" s="466"/>
      <c r="F166" s="466"/>
      <c r="G166" s="466"/>
      <c r="H166" s="466"/>
      <c r="I166" s="466"/>
      <c r="J166" s="466"/>
      <c r="K166" s="466"/>
      <c r="L166" s="466"/>
      <c r="M166" s="466"/>
      <c r="N166" s="467"/>
    </row>
    <row r="167" spans="2:14" s="93" customFormat="1" ht="39.950000000000003" customHeight="1" thickBot="1">
      <c r="B167" s="468"/>
      <c r="C167" s="469"/>
      <c r="D167" s="469"/>
      <c r="E167" s="469"/>
      <c r="F167" s="469"/>
      <c r="G167" s="469"/>
      <c r="H167" s="469"/>
      <c r="I167" s="469"/>
      <c r="J167" s="469"/>
      <c r="K167" s="469"/>
      <c r="L167" s="469"/>
      <c r="M167" s="469"/>
      <c r="N167" s="470"/>
    </row>
    <row r="168" spans="2:14" s="93" customFormat="1" ht="30" customHeight="1" thickTop="1">
      <c r="B168" s="452" t="s">
        <v>110</v>
      </c>
      <c r="C168" s="453"/>
      <c r="D168" s="453"/>
      <c r="E168" s="456"/>
      <c r="F168" s="457"/>
      <c r="G168" s="457"/>
      <c r="H168" s="457"/>
      <c r="I168" s="457"/>
      <c r="J168" s="457"/>
      <c r="K168" s="457"/>
      <c r="L168" s="458"/>
      <c r="M168" s="453" t="s">
        <v>204</v>
      </c>
      <c r="N168" s="454"/>
    </row>
    <row r="169" spans="2:14" s="93" customFormat="1" ht="33" customHeight="1" thickBot="1">
      <c r="B169" s="455" t="s">
        <v>107</v>
      </c>
      <c r="C169" s="450"/>
      <c r="D169" s="450"/>
      <c r="E169" s="459"/>
      <c r="F169" s="460"/>
      <c r="G169" s="460"/>
      <c r="H169" s="460"/>
      <c r="I169" s="460"/>
      <c r="J169" s="460"/>
      <c r="K169" s="460"/>
      <c r="L169" s="461"/>
      <c r="M169" s="450" t="s">
        <v>108</v>
      </c>
      <c r="N169" s="451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35:C35"/>
    <mergeCell ref="B36:C36"/>
    <mergeCell ref="B37:C37"/>
    <mergeCell ref="B38:C38"/>
    <mergeCell ref="B39:C39"/>
    <mergeCell ref="B40:C40"/>
    <mergeCell ref="B41:C41"/>
    <mergeCell ref="B42:C42"/>
    <mergeCell ref="B134:C134"/>
    <mergeCell ref="B132:N132"/>
    <mergeCell ref="B128:N128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9:C129"/>
    <mergeCell ref="D129:N129"/>
    <mergeCell ref="B131:C131"/>
    <mergeCell ref="D131:N131"/>
    <mergeCell ref="B135:C135"/>
    <mergeCell ref="D135:N135"/>
    <mergeCell ref="B133:C133"/>
    <mergeCell ref="D133:N133"/>
    <mergeCell ref="B43:C43"/>
    <mergeCell ref="B44:C44"/>
    <mergeCell ref="B45:C45"/>
    <mergeCell ref="B46:C46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124:C124"/>
    <mergeCell ref="D124:N124"/>
    <mergeCell ref="B114:C114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374</v>
      </c>
      <c r="D2" s="306" t="str">
        <f>QUOTATION!M8</f>
        <v>R1</v>
      </c>
      <c r="E2" s="307">
        <f>QUOTATION!N8</f>
        <v>43731</v>
      </c>
      <c r="F2" s="516" t="s">
        <v>244</v>
      </c>
      <c r="G2" s="516"/>
    </row>
    <row r="3" spans="3:13">
      <c r="C3" s="297" t="s">
        <v>126</v>
      </c>
      <c r="D3" s="517" t="str">
        <f>QUOTATION!F7</f>
        <v>Mr. Abhimanyu</v>
      </c>
      <c r="E3" s="517"/>
      <c r="F3" s="520" t="s">
        <v>245</v>
      </c>
      <c r="G3" s="521">
        <f>QUOTATION!N8</f>
        <v>43731</v>
      </c>
    </row>
    <row r="4" spans="3:13">
      <c r="C4" s="297" t="s">
        <v>242</v>
      </c>
      <c r="D4" s="518" t="str">
        <f>QUOTATION!M6</f>
        <v>ABPL-DE-19.20-2193-OP-1</v>
      </c>
      <c r="E4" s="518"/>
      <c r="F4" s="520"/>
      <c r="G4" s="522"/>
    </row>
    <row r="5" spans="3:13">
      <c r="C5" s="297" t="s">
        <v>127</v>
      </c>
      <c r="D5" s="517" t="str">
        <f>QUOTATION!F8</f>
        <v>Hyderabad</v>
      </c>
      <c r="E5" s="517"/>
      <c r="F5" s="520"/>
      <c r="G5" s="522"/>
    </row>
    <row r="6" spans="3:13">
      <c r="C6" s="297" t="s">
        <v>168</v>
      </c>
      <c r="D6" s="517" t="str">
        <f>QUOTATION!F9</f>
        <v>Mr. Anamol Anand : 7702300826</v>
      </c>
      <c r="E6" s="517"/>
      <c r="F6" s="520"/>
      <c r="G6" s="522"/>
    </row>
    <row r="7" spans="3:13">
      <c r="C7" s="297" t="s">
        <v>373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Anodized</v>
      </c>
      <c r="E8" s="517"/>
      <c r="F8" s="520"/>
      <c r="G8" s="522"/>
    </row>
    <row r="9" spans="3:13">
      <c r="C9" s="297" t="s">
        <v>177</v>
      </c>
      <c r="D9" s="517" t="str">
        <f>QUOTATION!I10</f>
        <v>Silver</v>
      </c>
      <c r="E9" s="517"/>
      <c r="F9" s="520"/>
      <c r="G9" s="522"/>
    </row>
    <row r="10" spans="3:13">
      <c r="C10" s="297" t="s">
        <v>179</v>
      </c>
      <c r="D10" s="517" t="str">
        <f>QUOTATION!I8</f>
        <v>1Kpa</v>
      </c>
      <c r="E10" s="517"/>
      <c r="F10" s="520"/>
      <c r="G10" s="522"/>
    </row>
    <row r="11" spans="3:13">
      <c r="C11" s="297" t="s">
        <v>241</v>
      </c>
      <c r="D11" s="517" t="str">
        <f>QUOTATION!M9</f>
        <v>Bal Kumari</v>
      </c>
      <c r="E11" s="517"/>
      <c r="F11" s="520"/>
      <c r="G11" s="522"/>
    </row>
    <row r="12" spans="3:13">
      <c r="C12" s="297" t="s">
        <v>243</v>
      </c>
      <c r="D12" s="519">
        <f>QUOTATION!M7</f>
        <v>43724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16290.699999999999</v>
      </c>
      <c r="F14" s="205"/>
      <c r="G14" s="206">
        <f>E14</f>
        <v>16290.699999999999</v>
      </c>
    </row>
    <row r="15" spans="3:13">
      <c r="C15" s="194" t="s">
        <v>234</v>
      </c>
      <c r="D15" s="296">
        <f>'Changable Values'!D4</f>
        <v>83</v>
      </c>
      <c r="E15" s="199">
        <f>E14*D15</f>
        <v>1352128.0999999999</v>
      </c>
      <c r="F15" s="205"/>
      <c r="G15" s="207">
        <f>E15</f>
        <v>1352128.0999999999</v>
      </c>
    </row>
    <row r="16" spans="3:13">
      <c r="C16" s="195" t="s">
        <v>97</v>
      </c>
      <c r="D16" s="200">
        <f>'Changable Values'!D5</f>
        <v>0.1</v>
      </c>
      <c r="E16" s="199">
        <f>E15*D16</f>
        <v>135212.81</v>
      </c>
      <c r="F16" s="208">
        <f>'Changable Values'!D5</f>
        <v>0.1</v>
      </c>
      <c r="G16" s="207">
        <f>G15*F16</f>
        <v>135212.81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163607.5001</v>
      </c>
      <c r="F17" s="208">
        <f>'Changable Values'!D6</f>
        <v>0.11</v>
      </c>
      <c r="G17" s="207">
        <f>SUM(G15:G16)*F17</f>
        <v>163607.5001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8254.7420505000009</v>
      </c>
      <c r="F18" s="208">
        <f>'Changable Values'!D7</f>
        <v>5.0000000000000001E-3</v>
      </c>
      <c r="G18" s="207">
        <f>SUM(G15:G17)*F18</f>
        <v>8254.7420505000009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16592.031521505</v>
      </c>
      <c r="F19" s="208">
        <f>'Changable Values'!D8</f>
        <v>0.01</v>
      </c>
      <c r="G19" s="207">
        <f>SUM(G15:G18)*F19</f>
        <v>16592.031521505</v>
      </c>
    </row>
    <row r="20" spans="3:7">
      <c r="C20" s="195" t="s">
        <v>99</v>
      </c>
      <c r="D20" s="201"/>
      <c r="E20" s="199">
        <f>SUM(E15:E19)</f>
        <v>1675795.1836720048</v>
      </c>
      <c r="F20" s="208"/>
      <c r="G20" s="207">
        <f>SUM(G15:G19)</f>
        <v>1675795.1836720048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25136.927755080073</v>
      </c>
      <c r="F21" s="208">
        <f>'Changable Values'!D9</f>
        <v>1.4999999999999999E-2</v>
      </c>
      <c r="G21" s="207">
        <f>G20*F21</f>
        <v>25136.927755080073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527825.78453100007</v>
      </c>
      <c r="F23" s="209"/>
      <c r="G23" s="207">
        <f t="shared" si="0"/>
        <v>527825.78453100007</v>
      </c>
    </row>
    <row r="24" spans="3:7">
      <c r="C24" s="195" t="s">
        <v>229</v>
      </c>
      <c r="D24" s="198"/>
      <c r="E24" s="199">
        <f>'Cost Calculation'!AH111</f>
        <v>72956.342360655734</v>
      </c>
      <c r="F24" s="209"/>
      <c r="G24" s="207">
        <f t="shared" si="0"/>
        <v>72956.342360655734</v>
      </c>
    </row>
    <row r="25" spans="3:7">
      <c r="C25" s="196" t="s">
        <v>237</v>
      </c>
      <c r="D25" s="198"/>
      <c r="E25" s="199">
        <f>'Cost Calculation'!AJ109</f>
        <v>60278.058781199987</v>
      </c>
      <c r="F25" s="209"/>
      <c r="G25" s="207">
        <f t="shared" si="0"/>
        <v>60278.058781199987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198960.33900599997</v>
      </c>
      <c r="F27" s="209"/>
      <c r="G27" s="207">
        <f t="shared" si="0"/>
        <v>198960.33900599997</v>
      </c>
    </row>
    <row r="28" spans="3:7">
      <c r="C28" s="195" t="s">
        <v>88</v>
      </c>
      <c r="D28" s="198"/>
      <c r="E28" s="199">
        <f>'Cost Calculation'!AN109</f>
        <v>159168.2712048</v>
      </c>
      <c r="F28" s="209"/>
      <c r="G28" s="207">
        <f t="shared" si="0"/>
        <v>159168.2712048</v>
      </c>
    </row>
    <row r="29" spans="3:7">
      <c r="C29" s="293" t="s">
        <v>376</v>
      </c>
      <c r="D29" s="294"/>
      <c r="E29" s="295">
        <f>SUM(E20:E28)</f>
        <v>2720120.9073107406</v>
      </c>
      <c r="F29" s="209"/>
      <c r="G29" s="207">
        <f>SUM(G20:G21,G24)</f>
        <v>1773888.4537877408</v>
      </c>
    </row>
    <row r="30" spans="3:7">
      <c r="C30" s="293" t="s">
        <v>377</v>
      </c>
      <c r="D30" s="294"/>
      <c r="E30" s="295">
        <f>E29/E33</f>
        <v>1367.1674067808617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2217360.5672346759</v>
      </c>
      <c r="F31" s="214">
        <f>'Changable Values'!D23</f>
        <v>1.25</v>
      </c>
      <c r="G31" s="207">
        <f>G29*F31</f>
        <v>2217360.5672346759</v>
      </c>
    </row>
    <row r="32" spans="3:7">
      <c r="C32" s="290" t="s">
        <v>5</v>
      </c>
      <c r="D32" s="291"/>
      <c r="E32" s="292">
        <f>E31+E29</f>
        <v>4937481.4745454164</v>
      </c>
      <c r="F32" s="205"/>
      <c r="G32" s="207">
        <f>SUM(G25:G31,G22:G23)</f>
        <v>4937481.4745454164</v>
      </c>
    </row>
    <row r="33" spans="3:7">
      <c r="C33" s="300" t="s">
        <v>230</v>
      </c>
      <c r="D33" s="301"/>
      <c r="E33" s="308">
        <f>'Cost Calculation'!K109</f>
        <v>1989.6033900599994</v>
      </c>
      <c r="F33" s="210"/>
      <c r="G33" s="211">
        <f>E33</f>
        <v>1989.6033900599994</v>
      </c>
    </row>
    <row r="34" spans="3:7">
      <c r="C34" s="302" t="s">
        <v>9</v>
      </c>
      <c r="D34" s="303"/>
      <c r="E34" s="304">
        <f>QUOTATION!L116</f>
        <v>53</v>
      </c>
      <c r="F34" s="298"/>
      <c r="G34" s="299"/>
    </row>
    <row r="35" spans="3:7" ht="13.5" thickBot="1">
      <c r="C35" s="197" t="s">
        <v>375</v>
      </c>
      <c r="D35" s="203"/>
      <c r="E35" s="204">
        <f>E32/(E33)</f>
        <v>2481.6410643512822</v>
      </c>
      <c r="F35" s="212"/>
      <c r="G35" s="213">
        <f>G32/(G33)</f>
        <v>2481.6410643512822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2019-09-24T12:36:23Z</cp:lastPrinted>
  <dcterms:created xsi:type="dcterms:W3CDTF">2010-12-18T06:34:46Z</dcterms:created>
  <dcterms:modified xsi:type="dcterms:W3CDTF">2019-09-30T06:55:53Z</dcterms:modified>
</cp:coreProperties>
</file>