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Drawings!$C$2:$O$326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32" i="158" l="1"/>
  <c r="Q30" i="158"/>
  <c r="Q28" i="158"/>
  <c r="Q26" i="158"/>
  <c r="Q23" i="158"/>
  <c r="Q22" i="158"/>
  <c r="Q16" i="158"/>
  <c r="Q15" i="158"/>
  <c r="Q13" i="158"/>
  <c r="Q11" i="158"/>
  <c r="Q7" i="158"/>
  <c r="Q6" i="158"/>
  <c r="K27" i="161"/>
  <c r="K20" i="161"/>
  <c r="K16" i="161"/>
  <c r="K12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7" i="160" l="1"/>
  <c r="AH10" i="159"/>
  <c r="M52" i="160"/>
  <c r="M49" i="160"/>
  <c r="M43" i="160"/>
  <c r="AH56" i="159"/>
  <c r="M45" i="160"/>
  <c r="AH19" i="159"/>
  <c r="AH30" i="159"/>
  <c r="AH38" i="159"/>
  <c r="AH43" i="159"/>
  <c r="AH46" i="159"/>
  <c r="AH54" i="159"/>
  <c r="M40" i="160"/>
  <c r="M34" i="160"/>
  <c r="AH42" i="159"/>
  <c r="AH24" i="159"/>
  <c r="AH32" i="159"/>
  <c r="AH40" i="159"/>
  <c r="AH45" i="159"/>
  <c r="AH50" i="159"/>
  <c r="AH53" i="159"/>
  <c r="M50" i="160"/>
  <c r="M36" i="160"/>
  <c r="AH37" i="159"/>
  <c r="AH47" i="159"/>
  <c r="AH57" i="159"/>
  <c r="AH51" i="159"/>
  <c r="AH48" i="159"/>
  <c r="AH20" i="159"/>
  <c r="AH33" i="159"/>
  <c r="AH41" i="159"/>
  <c r="AH44" i="159"/>
  <c r="M51" i="160"/>
  <c r="AH52" i="159"/>
  <c r="AH55" i="159"/>
  <c r="AH49" i="159"/>
  <c r="AH39" i="159"/>
  <c r="AH36" i="159"/>
  <c r="AH35" i="159"/>
  <c r="AH34" i="159"/>
  <c r="M42" i="160"/>
  <c r="M41" i="160"/>
  <c r="AH31" i="159"/>
  <c r="M38" i="160"/>
  <c r="AH29" i="159"/>
  <c r="M37" i="160"/>
  <c r="AH28" i="159"/>
  <c r="AH27" i="159"/>
  <c r="M35" i="160"/>
  <c r="AH26" i="159"/>
  <c r="AH25" i="159"/>
  <c r="AH23" i="159"/>
  <c r="M31" i="160"/>
  <c r="AH22" i="159"/>
  <c r="M30" i="160"/>
  <c r="AH21" i="159"/>
  <c r="AH18" i="159"/>
  <c r="M26" i="160"/>
  <c r="AH17" i="159"/>
  <c r="M25" i="160"/>
  <c r="AH16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<sst xmlns="http://schemas.openxmlformats.org/spreadsheetml/2006/main" count="2093" uniqueCount="477">
  <si>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</si>
  <si>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</si>
  <si>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</si>
  <si>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</si>
  <si>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</si>
  <si>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</si>
  <si>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</si>
  <si>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</si>
  <si>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</si>
  <si>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</si>
  <si>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</si>
  <si>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</si>
  <si>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</si>
  <si>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</si>
  <si>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</si>
  <si>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</si>
  <si>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</si>
  <si>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</si>
  <si>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</si>
  <si>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</si>
  <si>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</si>
  <si>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</si>
  <si>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</si>
  <si>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</si>
  <si>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</si>
  <si>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</si>
  <si>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</si>
  <si>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</si>
  <si>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</si>
  <si>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</si>
  <si>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</si>
  <si>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</si>
  <si>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</si>
  <si>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</si>
  <si>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</si>
  <si>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</si>
  <si>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</si>
  <si>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</si>
  <si>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</si>
  <si>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</si>
  <si>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</si>
  <si>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</si>
  <si>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</si>
  <si>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</si>
  <si>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</si>
  <si>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</si>
  <si>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</si>
  <si>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</si>
  <si>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</si>
  <si>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</si>
  <si>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</si>
  <si>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</si>
  <si>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</si>
  <si>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</si>
  <si>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</si>
  <si>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</si>
  <si>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</si>
  <si>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</si>
  <si>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</si>
  <si>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</si>
  <si>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</si>
  <si>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</si>
  <si>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</si>
  <si>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</si>
  <si>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</si>
  <si>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</si>
  <si>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</si>
  <si>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</si>
  <si>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</si>
  <si>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</si>
  <si>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</si>
  <si>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</si>
  <si>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</si>
  <si>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</si>
  <si>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</si>
  <si>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</si>
  <si>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</si>
  <si>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</si>
  <si>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</si>
  <si>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</si>
  <si>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</si>
  <si>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</si>
  <si>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</si>
  <si>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</si>
  <si>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</si>
  <si>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</si>
  <si>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</si>
  <si>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</si>
  <si>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</si>
  <si>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</si>
  <si>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</si>
  <si>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</si>
  <si>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</si>
  <si>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</si>
  <si>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</si>
  <si>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</si>
  <si>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</si>
  <si>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</si>
  <si>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</si>
  <si>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</si>
  <si>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</si>
  <si>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</si>
  <si>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</si>
  <si>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</si>
  <si>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</si>
  <si>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</si>
  <si>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</si>
  <si>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</si>
  <si>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</si>
  <si>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</si>
  <si>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</si>
  <si>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</si>
  <si>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</si>
  <si>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</si>
  <si>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</si>
  <si>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</si>
  <si>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</si>
  <si>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</si>
  <si>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</si>
  <si>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</si>
  <si>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</si>
  <si>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</si>
  <si>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</si>
  <si>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</si>
  <si>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</si>
  <si>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</si>
  <si>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</si>
  <si>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</si>
  <si>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</si>
  <si>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</si>
  <si>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</si>
  <si>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</si>
  <si>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</si>
  <si>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</si>
  <si>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</si>
  <si>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</si>
  <si>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</si>
  <si>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</si>
  <si>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</si>
  <si>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</si>
  <si>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</si>
  <si>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</si>
  <si>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</si>
  <si>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</si>
  <si>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</si>
  <si>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</si>
  <si>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</si>
  <si>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</si>
  <si>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</si>
  <si>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</si>
  <si>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</si>
  <si>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</si>
  <si>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</si>
  <si>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</si>
  <si>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</si>
  <si>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</si>
  <si>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</si>
  <si>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</si>
  <si>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</si>
  <si>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</si>
  <si>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</si>
  <si>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</si>
  <si>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</si>
  <si>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</si>
  <si>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</si>
  <si>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</si>
  <si>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</si>
  <si>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</si>
  <si>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</si>
  <si>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</si>
  <si>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</si>
  <si>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</si>
  <si>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</si>
  <si>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</si>
  <si>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</si>
  <si>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</si>
  <si>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</si>
  <si>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</si>
  <si>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</si>
  <si>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</si>
  <si>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</si>
  <si>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</si>
  <si>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</si>
  <si>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</si>
  <si>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</si>
  <si>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</si>
  <si>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</si>
  <si>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</si>
  <si>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</si>
  <si>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</si>
  <si>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</si>
  <si>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</si>
  <si>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</si>
  <si>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</si>
  <si>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</si>
  <si>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</si>
  <si>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</si>
  <si>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</si>
  <si>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</si>
  <si>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</si>
  <si>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</si>
  <si>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</si>
  <si>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</si>
  <si>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</si>
  <si>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</si>
  <si>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</si>
  <si>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</si>
  <si>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</si>
  <si>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</si>
  <si>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</si>
  <si>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</si>
  <si>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</si>
  <si>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</si>
  <si>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</si>
  <si>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</si>
  <si>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</si>
  <si>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</si>
  <si>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</si>
  <si>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</si>
  <si>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</si>
  <si>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</si>
  <si>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</si>
  <si>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</si>
  <si>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</si>
  <si>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</si>
  <si>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</si>
  <si>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</si>
  <si>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</si>
  <si>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</si>
  <si>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</si>
  <si>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</si>
  <si>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</si>
  <si>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</si>
  <si>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</si>
  <si>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</si>
  <si>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</si>
  <si>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</si>
  <si>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</si>
  <si>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</si>
  <si>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</si>
  <si>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</si>
  <si>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</si>
  <si>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</si>
  <si>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</si>
  <si>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</si>
  <si>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</si>
  <si>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</si>
  <si>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</si>
  <si>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</si>
  <si>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</si>
  <si>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</si>
  <si>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</si>
  <si>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</si>
  <si>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</si>
  <si>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</si>
  <si>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</si>
  <si>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</si>
  <si>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</si>
  <si>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</si>
  <si>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</si>
  <si>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</si>
  <si>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</si>
  <si>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</si>
  <si>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</si>
  <si>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</si>
  <si>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</si>
  <si>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</si>
  <si>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</si>
  <si>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</si>
  <si>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</si>
  <si>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</si>
  <si>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</si>
  <si>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</si>
  <si>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</si>
  <si>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</si>
  <si>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</si>
  <si>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</si>
  <si>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</si>
  <si>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</si>
  <si>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</si>
  <si>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</si>
  <si>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</si>
  <si>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</si>
  <si>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</si>
  <si>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</si>
  <si>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</si>
  <si>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</si>
  <si>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</si>
  <si>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</si>
  <si>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</si>
  <si>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</si>
  <si>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</si>
  <si>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</si>
  <si>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</si>
  <si>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</si>
  <si>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</si>
  <si>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</si>
  <si>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</si>
  <si>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</si>
  <si>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</si>
  <si>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</si>
  <si>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</si>
  <si>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</si>
  <si>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</si>
  <si>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</si>
  <si>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</si>
  <si>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</si>
  <si>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</si>
  <si>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</si>
  <si>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</si>
  <si>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</si>
  <si>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</si>
  <si>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</si>
  <si>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</si>
  <si>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</si>
  <si>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</si>
  <si>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</si>
  <si>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</si>
  <si>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</si>
  <si>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</si>
  <si>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</si>
  <si>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</si>
  <si>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</si>
  <si>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</si>
  <si>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</si>
  <si>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</si>
  <si>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</si>
  <si>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</si>
  <si>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</si>
  <si>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</si>
  <si>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</si>
  <si>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</si>
  <si>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</si>
  <si>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</si>
  <si>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</si>
  <si>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</si>
  <si>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</si>
  <si>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</si>
  <si>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</si>
  <si>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</si>
  <si>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</si>
  <si>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</si>
  <si>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</si>
  <si>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</si>
  <si>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</si>
  <si>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</si>
  <si>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</si>
  <si>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</si>
  <si>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</si>
  <si>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</si>
  <si>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</si>
  <si>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</si>
  <si>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</si>
  <si>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</si>
  <si>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</si>
  <si>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</si>
  <si>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</si>
  <si>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</si>
  <si>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</si>
  <si>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</si>
  <si>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</si>
  <si>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</si>
  <si>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</si>
  <si>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</si>
  <si>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</si>
  <si>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</si>
  <si>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</si>
  <si>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</si>
  <si>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</si>
  <si>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</si>
  <si>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</si>
  <si>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</si>
  <si>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</si>
  <si>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</si>
  <si>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</si>
  <si>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</si>
  <si>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</si>
  <si>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</si>
  <si>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</si>
  <si>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</si>
  <si>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</si>
  <si>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</si>
  <si>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</si>
  <si>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</si>
  <si>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</si>
  <si>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</si>
  <si>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</si>
  <si>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</si>
  <si>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</si>
  <si>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</si>
  <si>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</si>
  <si>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</si>
  <si>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</si>
  <si>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</si>
  <si>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</si>
  <si>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</si>
  <si>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</si>
  <si>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</si>
  <si>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</si>
  <si>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</si>
  <si>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</si>
  <si>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</si>
  <si>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</si>
  <si>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</si>
  <si>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</si>
  <si>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</si>
  <si>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</si>
  <si>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</si>
  <si>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</si>
  <si>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</si>
  <si>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</si>
  <si>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</si>
  <si>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</si>
  <si>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</si>
  <si>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</si>
  <si>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</si>
  <si>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</si>
  <si>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</si>
  <si>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</si>
  <si>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</si>
  <si>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</si>
  <si>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Venkatesh Residence</t>
  </si>
  <si>
    <t>Anodized</t>
  </si>
  <si>
    <t>1Kpa</t>
  </si>
  <si>
    <t>ABPL-DE-19.20-2197</t>
  </si>
  <si>
    <t>FW1</t>
  </si>
  <si>
    <t>M15000</t>
  </si>
  <si>
    <t>FIXED GLASS WITH SILICON JOINT</t>
  </si>
  <si>
    <t>NO</t>
  </si>
  <si>
    <t>GROUND FLOOR</t>
  </si>
  <si>
    <t>M940</t>
  </si>
  <si>
    <t>FIXED GLASS TOP &amp; BOTTOM</t>
  </si>
  <si>
    <t>W4</t>
  </si>
  <si>
    <t>M14600 &amp; M940</t>
  </si>
  <si>
    <t>3 TRACK 2 SHUTTER SLIDING DOOR WITH 2 FIXED</t>
  </si>
  <si>
    <t>12MM &amp; 8MM</t>
  </si>
  <si>
    <t>SS</t>
  </si>
  <si>
    <t>W1</t>
  </si>
  <si>
    <t>M900</t>
  </si>
  <si>
    <t>3 TRACK 2 SHUTTER SLIDING WINDOW</t>
  </si>
  <si>
    <t>8MM</t>
  </si>
  <si>
    <t>W3</t>
  </si>
  <si>
    <t>2 SIDE HUNG DOORS WITH CENTER FIXED WITH SILICON JOINT</t>
  </si>
  <si>
    <t>FIRST FLOOR</t>
  </si>
  <si>
    <t>W10</t>
  </si>
  <si>
    <t>FIXED GLASS</t>
  </si>
  <si>
    <t>W7</t>
  </si>
  <si>
    <t>W5</t>
  </si>
  <si>
    <t>FD1</t>
  </si>
  <si>
    <t>M9800</t>
  </si>
  <si>
    <t>4 LEAF SLIDE &amp; FOLD DOOR</t>
  </si>
  <si>
    <t>M14600</t>
  </si>
  <si>
    <t>W8</t>
  </si>
  <si>
    <t>W5 GR</t>
  </si>
  <si>
    <t>W9A</t>
  </si>
  <si>
    <t>W9B</t>
  </si>
  <si>
    <t>FIXED GLASS CORNOR WINDOW</t>
  </si>
  <si>
    <t>FIXED GLASS 3 NO'S</t>
  </si>
  <si>
    <t>SECOND FLOOR</t>
  </si>
  <si>
    <t>FD1 TOP</t>
  </si>
  <si>
    <t>6 LEAF SLIDE &amp; FOLD DOOR</t>
  </si>
  <si>
    <t>FD2</t>
  </si>
  <si>
    <t>W2A</t>
  </si>
  <si>
    <t>W2B</t>
  </si>
  <si>
    <t>FIXED GLASS WITH EXHAUST FAN PROVISION</t>
  </si>
  <si>
    <t>12MM (F)</t>
  </si>
  <si>
    <t>W6</t>
  </si>
  <si>
    <t>3 TRACK 2 SHUTTER SLIDING WITH CENTER FIXED WITH SILICON JOINT</t>
  </si>
  <si>
    <t>FRENCH CASEMENT DOOR</t>
  </si>
  <si>
    <t>THIRD FLOOR</t>
  </si>
  <si>
    <t>M14600 &amp; M15000</t>
  </si>
  <si>
    <t>3 TRACK 2 SHUTTER SLIDING DOOR WITH TOP FIXED AND FIXED GLASS WITH SILICON JOINT</t>
  </si>
  <si>
    <t>W2</t>
  </si>
  <si>
    <t>FIXED GLASS TOP &amp; BOTTOM WITH SILICON JOINT</t>
  </si>
  <si>
    <t>12mm :- 12mm Clear Toughened Glass</t>
  </si>
  <si>
    <t>8mm :- 8mm Clear Toughened Glass</t>
  </si>
  <si>
    <t>12mm (F) :- 12mm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</si>
</sst>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1461655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8281</xdr:colOff>
      <xdr:row>9</xdr:row>
      <xdr:rowOff>66261</xdr:rowOff>
    </xdr:from>
    <xdr:to>
      <xdr:col>9</xdr:col>
      <xdr:colOff>555041</xdr:colOff>
      <xdr:row>15</xdr:row>
      <xdr:rowOff>149087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477" y="1855304"/>
          <a:ext cx="5052499" cy="1971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140804</xdr:colOff>
      <xdr:row>9</xdr:row>
      <xdr:rowOff>149087</xdr:rowOff>
    </xdr:from>
    <xdr:to>
      <xdr:col>5</xdr:col>
      <xdr:colOff>140804</xdr:colOff>
      <xdr:row>14</xdr:row>
      <xdr:rowOff>240195</xdr:rowOff>
    </xdr:to>
    <xdr:cxnSp macro="">
      <xdr:nvCxnSpPr>
        <xdr:cNvPr id="4" name="Straight Connector 3"/>
        <xdr:cNvCxnSpPr/>
      </xdr:nvCxnSpPr>
      <xdr:spPr>
        <a:xfrm>
          <a:off x="3188804" y="1938130"/>
          <a:ext cx="0" cy="1664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57979</xdr:colOff>
      <xdr:row>9</xdr:row>
      <xdr:rowOff>149087</xdr:rowOff>
    </xdr:from>
    <xdr:to>
      <xdr:col>6</xdr:col>
      <xdr:colOff>57979</xdr:colOff>
      <xdr:row>14</xdr:row>
      <xdr:rowOff>240195</xdr:rowOff>
    </xdr:to>
    <xdr:cxnSp macro="">
      <xdr:nvCxnSpPr>
        <xdr:cNvPr id="5" name="Straight Connector 4"/>
        <xdr:cNvCxnSpPr/>
      </xdr:nvCxnSpPr>
      <xdr:spPr>
        <a:xfrm>
          <a:off x="5085522" y="1938130"/>
          <a:ext cx="0" cy="1664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173935</xdr:colOff>
      <xdr:row>20</xdr:row>
      <xdr:rowOff>140805</xdr:rowOff>
    </xdr:from>
    <xdr:to>
      <xdr:col>5</xdr:col>
      <xdr:colOff>1885276</xdr:colOff>
      <xdr:row>26</xdr:row>
      <xdr:rowOff>99392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5242892"/>
          <a:ext cx="1711341" cy="1847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455543</xdr:colOff>
      <xdr:row>30</xdr:row>
      <xdr:rowOff>66261</xdr:rowOff>
    </xdr:from>
    <xdr:to>
      <xdr:col>9</xdr:col>
      <xdr:colOff>240196</xdr:colOff>
      <xdr:row>38</xdr:row>
      <xdr:rowOff>249182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9" y="8166652"/>
          <a:ext cx="4290392" cy="2700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42</xdr:row>
      <xdr:rowOff>41413</xdr:rowOff>
    </xdr:from>
    <xdr:to>
      <xdr:col>5</xdr:col>
      <xdr:colOff>1954696</xdr:colOff>
      <xdr:row>49</xdr:row>
      <xdr:rowOff>50327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11769587"/>
          <a:ext cx="1871870" cy="2212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231911</xdr:colOff>
      <xdr:row>52</xdr:row>
      <xdr:rowOff>107673</xdr:rowOff>
    </xdr:from>
    <xdr:to>
      <xdr:col>10</xdr:col>
      <xdr:colOff>99390</xdr:colOff>
      <xdr:row>60</xdr:row>
      <xdr:rowOff>219543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07" y="14834151"/>
          <a:ext cx="4961283" cy="2629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687455</xdr:colOff>
      <xdr:row>52</xdr:row>
      <xdr:rowOff>198782</xdr:rowOff>
    </xdr:from>
    <xdr:to>
      <xdr:col>5</xdr:col>
      <xdr:colOff>687455</xdr:colOff>
      <xdr:row>59</xdr:row>
      <xdr:rowOff>16565</xdr:rowOff>
    </xdr:to>
    <xdr:cxnSp macro="">
      <xdr:nvCxnSpPr>
        <xdr:cNvPr id="10" name="Straight Connector 9"/>
        <xdr:cNvCxnSpPr/>
      </xdr:nvCxnSpPr>
      <xdr:spPr>
        <a:xfrm>
          <a:off x="3735455" y="14925260"/>
          <a:ext cx="0" cy="20209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1747629</xdr:colOff>
      <xdr:row>52</xdr:row>
      <xdr:rowOff>198782</xdr:rowOff>
    </xdr:from>
    <xdr:to>
      <xdr:col>5</xdr:col>
      <xdr:colOff>1747629</xdr:colOff>
      <xdr:row>59</xdr:row>
      <xdr:rowOff>16565</xdr:rowOff>
    </xdr:to>
    <xdr:cxnSp macro="">
      <xdr:nvCxnSpPr>
        <xdr:cNvPr id="12" name="Straight Connector 11"/>
        <xdr:cNvCxnSpPr/>
      </xdr:nvCxnSpPr>
      <xdr:spPr>
        <a:xfrm>
          <a:off x="4795629" y="14925260"/>
          <a:ext cx="0" cy="20209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323021</xdr:colOff>
      <xdr:row>64</xdr:row>
      <xdr:rowOff>33129</xdr:rowOff>
    </xdr:from>
    <xdr:to>
      <xdr:col>8</xdr:col>
      <xdr:colOff>16565</xdr:colOff>
      <xdr:row>70</xdr:row>
      <xdr:rowOff>44043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18387390"/>
          <a:ext cx="3023153" cy="1899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496955</xdr:colOff>
      <xdr:row>77</xdr:row>
      <xdr:rowOff>57978</xdr:rowOff>
    </xdr:from>
    <xdr:to>
      <xdr:col>8</xdr:col>
      <xdr:colOff>397104</xdr:colOff>
      <xdr:row>79</xdr:row>
      <xdr:rowOff>298174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151" y="22354761"/>
          <a:ext cx="3817823" cy="869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1043607</xdr:colOff>
      <xdr:row>77</xdr:row>
      <xdr:rowOff>157369</xdr:rowOff>
    </xdr:from>
    <xdr:to>
      <xdr:col>5</xdr:col>
      <xdr:colOff>1043607</xdr:colOff>
      <xdr:row>79</xdr:row>
      <xdr:rowOff>41413</xdr:rowOff>
    </xdr:to>
    <xdr:cxnSp macro="">
      <xdr:nvCxnSpPr>
        <xdr:cNvPr id="15" name="Straight Connector 14"/>
        <xdr:cNvCxnSpPr/>
      </xdr:nvCxnSpPr>
      <xdr:spPr>
        <a:xfrm>
          <a:off x="4091607" y="22454152"/>
          <a:ext cx="0" cy="5135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323021</xdr:colOff>
      <xdr:row>85</xdr:row>
      <xdr:rowOff>190500</xdr:rowOff>
    </xdr:from>
    <xdr:to>
      <xdr:col>5</xdr:col>
      <xdr:colOff>1855304</xdr:colOff>
      <xdr:row>93</xdr:row>
      <xdr:rowOff>154521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021" y="24856109"/>
          <a:ext cx="1532283" cy="2481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687456</xdr:colOff>
      <xdr:row>96</xdr:row>
      <xdr:rowOff>74543</xdr:rowOff>
    </xdr:from>
    <xdr:to>
      <xdr:col>6</xdr:col>
      <xdr:colOff>364435</xdr:colOff>
      <xdr:row>104</xdr:row>
      <xdr:rowOff>254553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7" y="28053195"/>
          <a:ext cx="2352261" cy="2697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579781</xdr:colOff>
      <xdr:row>107</xdr:row>
      <xdr:rowOff>115955</xdr:rowOff>
    </xdr:from>
    <xdr:to>
      <xdr:col>5</xdr:col>
      <xdr:colOff>1573694</xdr:colOff>
      <xdr:row>115</xdr:row>
      <xdr:rowOff>266481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1" y="31407651"/>
          <a:ext cx="993913" cy="26684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629477</xdr:colOff>
      <xdr:row>118</xdr:row>
      <xdr:rowOff>82826</xdr:rowOff>
    </xdr:from>
    <xdr:to>
      <xdr:col>5</xdr:col>
      <xdr:colOff>1449456</xdr:colOff>
      <xdr:row>126</xdr:row>
      <xdr:rowOff>274411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7477" y="34687565"/>
          <a:ext cx="819979" cy="2709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129</xdr:row>
      <xdr:rowOff>207066</xdr:rowOff>
    </xdr:from>
    <xdr:to>
      <xdr:col>5</xdr:col>
      <xdr:colOff>1822174</xdr:colOff>
      <xdr:row>137</xdr:row>
      <xdr:rowOff>144256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38124849"/>
          <a:ext cx="1515718" cy="2455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455542</xdr:colOff>
      <xdr:row>140</xdr:row>
      <xdr:rowOff>66260</xdr:rowOff>
    </xdr:from>
    <xdr:to>
      <xdr:col>5</xdr:col>
      <xdr:colOff>1474303</xdr:colOff>
      <xdr:row>148</xdr:row>
      <xdr:rowOff>283498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2" y="41297086"/>
          <a:ext cx="1018761" cy="2735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314739</xdr:colOff>
      <xdr:row>151</xdr:row>
      <xdr:rowOff>74544</xdr:rowOff>
    </xdr:from>
    <xdr:to>
      <xdr:col>5</xdr:col>
      <xdr:colOff>1532283</xdr:colOff>
      <xdr:row>159</xdr:row>
      <xdr:rowOff>233566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9" y="44618414"/>
          <a:ext cx="1217544" cy="2676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91107</xdr:colOff>
      <xdr:row>164</xdr:row>
      <xdr:rowOff>107674</xdr:rowOff>
    </xdr:from>
    <xdr:to>
      <xdr:col>8</xdr:col>
      <xdr:colOff>203837</xdr:colOff>
      <xdr:row>168</xdr:row>
      <xdr:rowOff>165652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8" y="48594065"/>
          <a:ext cx="3442339" cy="1316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579783</xdr:colOff>
      <xdr:row>174</xdr:row>
      <xdr:rowOff>289892</xdr:rowOff>
    </xdr:from>
    <xdr:to>
      <xdr:col>8</xdr:col>
      <xdr:colOff>585713</xdr:colOff>
      <xdr:row>178</xdr:row>
      <xdr:rowOff>16566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913" y="51774588"/>
          <a:ext cx="4511670" cy="985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33129</xdr:colOff>
      <xdr:row>184</xdr:row>
      <xdr:rowOff>74544</xdr:rowOff>
    </xdr:from>
    <xdr:to>
      <xdr:col>7</xdr:col>
      <xdr:colOff>265043</xdr:colOff>
      <xdr:row>192</xdr:row>
      <xdr:rowOff>260153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0" y="54557544"/>
          <a:ext cx="3296479" cy="2703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480391</xdr:colOff>
      <xdr:row>195</xdr:row>
      <xdr:rowOff>57978</xdr:rowOff>
    </xdr:from>
    <xdr:to>
      <xdr:col>6</xdr:col>
      <xdr:colOff>69389</xdr:colOff>
      <xdr:row>203</xdr:row>
      <xdr:rowOff>240195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2" y="57854021"/>
          <a:ext cx="2264280" cy="2700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207</xdr:row>
      <xdr:rowOff>24848</xdr:rowOff>
    </xdr:from>
    <xdr:to>
      <xdr:col>6</xdr:col>
      <xdr:colOff>13941</xdr:colOff>
      <xdr:row>213</xdr:row>
      <xdr:rowOff>91109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61448674"/>
          <a:ext cx="2026615" cy="1954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356151</xdr:colOff>
      <xdr:row>217</xdr:row>
      <xdr:rowOff>82825</xdr:rowOff>
    </xdr:from>
    <xdr:to>
      <xdr:col>5</xdr:col>
      <xdr:colOff>1689651</xdr:colOff>
      <xdr:row>225</xdr:row>
      <xdr:rowOff>262678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1" y="64504955"/>
          <a:ext cx="1333500" cy="2697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339585</xdr:colOff>
      <xdr:row>228</xdr:row>
      <xdr:rowOff>91108</xdr:rowOff>
    </xdr:from>
    <xdr:to>
      <xdr:col>7</xdr:col>
      <xdr:colOff>82826</xdr:colOff>
      <xdr:row>236</xdr:row>
      <xdr:rowOff>273888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6" y="67826282"/>
          <a:ext cx="2807806" cy="270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438978</xdr:colOff>
      <xdr:row>239</xdr:row>
      <xdr:rowOff>132522</xdr:rowOff>
    </xdr:from>
    <xdr:to>
      <xdr:col>5</xdr:col>
      <xdr:colOff>1490870</xdr:colOff>
      <xdr:row>247</xdr:row>
      <xdr:rowOff>247391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8" y="71180739"/>
          <a:ext cx="1051892" cy="2632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289889</xdr:colOff>
      <xdr:row>250</xdr:row>
      <xdr:rowOff>57978</xdr:rowOff>
    </xdr:from>
    <xdr:to>
      <xdr:col>9</xdr:col>
      <xdr:colOff>339585</xdr:colOff>
      <xdr:row>258</xdr:row>
      <xdr:rowOff>266382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85" y="74419239"/>
          <a:ext cx="4555435" cy="2726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579783</xdr:colOff>
      <xdr:row>250</xdr:row>
      <xdr:rowOff>165652</xdr:rowOff>
    </xdr:from>
    <xdr:to>
      <xdr:col>5</xdr:col>
      <xdr:colOff>579783</xdr:colOff>
      <xdr:row>256</xdr:row>
      <xdr:rowOff>231913</xdr:rowOff>
    </xdr:to>
    <xdr:cxnSp macro="">
      <xdr:nvCxnSpPr>
        <xdr:cNvPr id="35" name="Straight Connector 34"/>
        <xdr:cNvCxnSpPr/>
      </xdr:nvCxnSpPr>
      <xdr:spPr>
        <a:xfrm>
          <a:off x="3627783" y="74526913"/>
          <a:ext cx="0" cy="1954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1615109</xdr:colOff>
      <xdr:row>250</xdr:row>
      <xdr:rowOff>165652</xdr:rowOff>
    </xdr:from>
    <xdr:to>
      <xdr:col>5</xdr:col>
      <xdr:colOff>1615109</xdr:colOff>
      <xdr:row>256</xdr:row>
      <xdr:rowOff>231913</xdr:rowOff>
    </xdr:to>
    <xdr:cxnSp macro="">
      <xdr:nvCxnSpPr>
        <xdr:cNvPr id="36" name="Straight Connector 35"/>
        <xdr:cNvCxnSpPr/>
      </xdr:nvCxnSpPr>
      <xdr:spPr>
        <a:xfrm>
          <a:off x="4663109" y="74526913"/>
          <a:ext cx="0" cy="1954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314739</xdr:colOff>
      <xdr:row>261</xdr:row>
      <xdr:rowOff>99391</xdr:rowOff>
    </xdr:from>
    <xdr:to>
      <xdr:col>5</xdr:col>
      <xdr:colOff>1938131</xdr:colOff>
      <xdr:row>269</xdr:row>
      <xdr:rowOff>262548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9" y="77773695"/>
          <a:ext cx="1623392" cy="2681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66259</xdr:colOff>
      <xdr:row>272</xdr:row>
      <xdr:rowOff>49694</xdr:rowOff>
    </xdr:from>
    <xdr:to>
      <xdr:col>9</xdr:col>
      <xdr:colOff>339585</xdr:colOff>
      <xdr:row>280</xdr:row>
      <xdr:rowOff>271794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0" y="81037042"/>
          <a:ext cx="4191000" cy="274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745435</xdr:colOff>
      <xdr:row>272</xdr:row>
      <xdr:rowOff>256761</xdr:rowOff>
    </xdr:from>
    <xdr:to>
      <xdr:col>5</xdr:col>
      <xdr:colOff>745435</xdr:colOff>
      <xdr:row>273</xdr:row>
      <xdr:rowOff>207065</xdr:rowOff>
    </xdr:to>
    <xdr:cxnSp macro="">
      <xdr:nvCxnSpPr>
        <xdr:cNvPr id="40" name="Straight Connector 39"/>
        <xdr:cNvCxnSpPr/>
      </xdr:nvCxnSpPr>
      <xdr:spPr>
        <a:xfrm>
          <a:off x="3793435" y="81244109"/>
          <a:ext cx="0" cy="2650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1747632</xdr:colOff>
      <xdr:row>273</xdr:row>
      <xdr:rowOff>281609</xdr:rowOff>
    </xdr:from>
    <xdr:to>
      <xdr:col>5</xdr:col>
      <xdr:colOff>1747632</xdr:colOff>
      <xdr:row>279</xdr:row>
      <xdr:rowOff>281608</xdr:rowOff>
    </xdr:to>
    <xdr:cxnSp macro="">
      <xdr:nvCxnSpPr>
        <xdr:cNvPr id="41" name="Straight Connector 40"/>
        <xdr:cNvCxnSpPr/>
      </xdr:nvCxnSpPr>
      <xdr:spPr>
        <a:xfrm>
          <a:off x="4795632" y="81583696"/>
          <a:ext cx="0" cy="1888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281608</xdr:colOff>
      <xdr:row>283</xdr:row>
      <xdr:rowOff>49696</xdr:rowOff>
    </xdr:from>
    <xdr:to>
      <xdr:col>8</xdr:col>
      <xdr:colOff>513521</xdr:colOff>
      <xdr:row>291</xdr:row>
      <xdr:rowOff>234531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84350087"/>
          <a:ext cx="3561522" cy="2702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1731064</xdr:colOff>
      <xdr:row>283</xdr:row>
      <xdr:rowOff>124239</xdr:rowOff>
    </xdr:from>
    <xdr:to>
      <xdr:col>5</xdr:col>
      <xdr:colOff>1731064</xdr:colOff>
      <xdr:row>291</xdr:row>
      <xdr:rowOff>49696</xdr:rowOff>
    </xdr:to>
    <xdr:cxnSp macro="">
      <xdr:nvCxnSpPr>
        <xdr:cNvPr id="45" name="Straight Connector 44"/>
        <xdr:cNvCxnSpPr/>
      </xdr:nvCxnSpPr>
      <xdr:spPr>
        <a:xfrm>
          <a:off x="4779064" y="84424630"/>
          <a:ext cx="0" cy="24433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695738</xdr:colOff>
      <xdr:row>283</xdr:row>
      <xdr:rowOff>124239</xdr:rowOff>
    </xdr:from>
    <xdr:to>
      <xdr:col>5</xdr:col>
      <xdr:colOff>695738</xdr:colOff>
      <xdr:row>291</xdr:row>
      <xdr:rowOff>49696</xdr:rowOff>
    </xdr:to>
    <xdr:cxnSp macro="">
      <xdr:nvCxnSpPr>
        <xdr:cNvPr id="47" name="Straight Connector 46"/>
        <xdr:cNvCxnSpPr/>
      </xdr:nvCxnSpPr>
      <xdr:spPr>
        <a:xfrm>
          <a:off x="3743738" y="84424630"/>
          <a:ext cx="0" cy="24433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207064</xdr:colOff>
      <xdr:row>294</xdr:row>
      <xdr:rowOff>49696</xdr:rowOff>
    </xdr:from>
    <xdr:to>
      <xdr:col>6</xdr:col>
      <xdr:colOff>198782</xdr:colOff>
      <xdr:row>302</xdr:row>
      <xdr:rowOff>187739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87663131"/>
          <a:ext cx="1971261" cy="2655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115956</xdr:colOff>
      <xdr:row>307</xdr:row>
      <xdr:rowOff>74542</xdr:rowOff>
    </xdr:from>
    <xdr:to>
      <xdr:col>8</xdr:col>
      <xdr:colOff>587334</xdr:colOff>
      <xdr:row>310</xdr:row>
      <xdr:rowOff>16564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152" y="91630499"/>
          <a:ext cx="4389052" cy="88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944217</xdr:colOff>
      <xdr:row>307</xdr:row>
      <xdr:rowOff>173933</xdr:rowOff>
    </xdr:from>
    <xdr:to>
      <xdr:col>5</xdr:col>
      <xdr:colOff>944217</xdr:colOff>
      <xdr:row>309</xdr:row>
      <xdr:rowOff>82826</xdr:rowOff>
    </xdr:to>
    <xdr:cxnSp macro="">
      <xdr:nvCxnSpPr>
        <xdr:cNvPr id="50" name="Straight Connector 49"/>
        <xdr:cNvCxnSpPr/>
      </xdr:nvCxnSpPr>
      <xdr:spPr>
        <a:xfrm>
          <a:off x="3992217" y="91729890"/>
          <a:ext cx="0" cy="5383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372716</xdr:colOff>
      <xdr:row>316</xdr:row>
      <xdr:rowOff>99392</xdr:rowOff>
    </xdr:from>
    <xdr:to>
      <xdr:col>10</xdr:col>
      <xdr:colOff>99391</xdr:colOff>
      <xdr:row>324</xdr:row>
      <xdr:rowOff>229320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912" y="94338914"/>
          <a:ext cx="4820479" cy="2647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1739348</xdr:colOff>
      <xdr:row>272</xdr:row>
      <xdr:rowOff>256761</xdr:rowOff>
    </xdr:from>
    <xdr:to>
      <xdr:col>5</xdr:col>
      <xdr:colOff>1739348</xdr:colOff>
      <xdr:row>273</xdr:row>
      <xdr:rowOff>207065</xdr:rowOff>
    </xdr:to>
    <xdr:cxnSp macro="">
      <xdr:nvCxnSpPr>
        <xdr:cNvPr id="53" name="Straight Connector 52"/>
        <xdr:cNvCxnSpPr/>
      </xdr:nvCxnSpPr>
      <xdr:spPr>
        <a:xfrm>
          <a:off x="4787348" y="81244109"/>
          <a:ext cx="0" cy="2650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447259</xdr:colOff>
      <xdr:row>317</xdr:row>
      <xdr:rowOff>41414</xdr:rowOff>
    </xdr:from>
    <xdr:to>
      <xdr:col>5</xdr:col>
      <xdr:colOff>447259</xdr:colOff>
      <xdr:row>317</xdr:row>
      <xdr:rowOff>306457</xdr:rowOff>
    </xdr:to>
    <xdr:cxnSp macro="">
      <xdr:nvCxnSpPr>
        <xdr:cNvPr id="54" name="Straight Connector 53"/>
        <xdr:cNvCxnSpPr/>
      </xdr:nvCxnSpPr>
      <xdr:spPr>
        <a:xfrm>
          <a:off x="3495259" y="94595675"/>
          <a:ext cx="0" cy="2650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1664804</xdr:colOff>
      <xdr:row>317</xdr:row>
      <xdr:rowOff>41414</xdr:rowOff>
    </xdr:from>
    <xdr:to>
      <xdr:col>5</xdr:col>
      <xdr:colOff>1664804</xdr:colOff>
      <xdr:row>317</xdr:row>
      <xdr:rowOff>306457</xdr:rowOff>
    </xdr:to>
    <xdr:cxnSp macro="">
      <xdr:nvCxnSpPr>
        <xdr:cNvPr id="55" name="Straight Connector 54"/>
        <xdr:cNvCxnSpPr/>
      </xdr:nvCxnSpPr>
      <xdr:spPr>
        <a:xfrm>
          <a:off x="4712804" y="94595675"/>
          <a:ext cx="0" cy="2650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1664804</xdr:colOff>
      <xdr:row>318</xdr:row>
      <xdr:rowOff>91110</xdr:rowOff>
    </xdr:from>
    <xdr:to>
      <xdr:col>5</xdr:col>
      <xdr:colOff>1664804</xdr:colOff>
      <xdr:row>322</xdr:row>
      <xdr:rowOff>8282</xdr:rowOff>
    </xdr:to>
    <xdr:cxnSp macro="">
      <xdr:nvCxnSpPr>
        <xdr:cNvPr id="56" name="Straight Connector 55"/>
        <xdr:cNvCxnSpPr/>
      </xdr:nvCxnSpPr>
      <xdr:spPr>
        <a:xfrm>
          <a:off x="4712804" y="94960110"/>
          <a:ext cx="0" cy="11761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1.5</v>
      </c>
      <c r="E23" s="175"/>
      <c r="F23" s="159">
        <f>'Final Summary'!E35</f>
        <v>2100.6440859546306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322" sqref="Q32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ABPL-DE-19.20-2197</v>
      </c>
      <c r="O2" s="542"/>
      <c r="P2" s="219" t="s">
        <v>256</v>
      </c>
    </row>
    <row r="3" spans="2:16">
      <c r="B3" s="218"/>
      <c r="C3" s="540" t="s">
        <v>126</v>
      </c>
      <c r="D3" s="540"/>
      <c r="E3" s="540"/>
      <c r="F3" s="542" t="str">
        <f>QUOTATION!F7</f>
        <v>Mr. Venkatesh Residence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43725</v>
      </c>
      <c r="O3" s="548"/>
      <c r="P3" s="219" t="s">
        <v>255</v>
      </c>
    </row>
    <row r="4" spans="2:16">
      <c r="B4" s="218"/>
      <c r="C4" s="540" t="s">
        <v>127</v>
      </c>
      <c r="D4" s="540"/>
      <c r="E4" s="540"/>
      <c r="F4" s="285" t="str">
        <f>QUOTATION!F8</f>
        <v>Bangalore</v>
      </c>
      <c r="G4" s="540"/>
      <c r="H4" s="540"/>
      <c r="I4" s="543" t="s">
        <v>179</v>
      </c>
      <c r="J4" s="543"/>
      <c r="K4" s="542" t="str">
        <f>QUOTATION!I8</f>
        <v>1Kpa</v>
      </c>
      <c r="L4" s="542"/>
      <c r="M4" s="284" t="s">
        <v>105</v>
      </c>
      <c r="N4" s="286" t="str">
        <f>QUOTATION!M8</f>
        <v>R0</v>
      </c>
      <c r="O4" s="287">
        <f>QUOTATION!N8</f>
        <v>43725</v>
      </c>
    </row>
    <row r="5" spans="2:16">
      <c r="B5" s="218"/>
      <c r="C5" s="540" t="s">
        <v>168</v>
      </c>
      <c r="D5" s="540"/>
      <c r="E5" s="540"/>
      <c r="F5" s="542" t="str">
        <f>QUOTATION!F9</f>
        <v>Mr. Prasanth : 9591855724</v>
      </c>
      <c r="G5" s="542"/>
      <c r="H5" s="542"/>
      <c r="I5" s="542"/>
      <c r="J5" s="542"/>
      <c r="K5" s="542"/>
      <c r="L5" s="542"/>
      <c r="M5" s="284" t="s">
        <v>178</v>
      </c>
      <c r="N5" s="542" t="str">
        <f>QUOTATION!M9</f>
        <v>Bal Kumari</v>
      </c>
      <c r="O5" s="542"/>
    </row>
    <row r="6" spans="2:16">
      <c r="B6" s="218"/>
      <c r="C6" s="540" t="s">
        <v>176</v>
      </c>
      <c r="D6" s="540"/>
      <c r="E6" s="540"/>
      <c r="F6" s="285" t="str">
        <f>QUOTATION!F10</f>
        <v>Anodized</v>
      </c>
      <c r="G6" s="540"/>
      <c r="H6" s="540"/>
      <c r="I6" s="543" t="s">
        <v>177</v>
      </c>
      <c r="J6" s="543"/>
      <c r="K6" s="542" t="str">
        <f>QUOTATION!I10</f>
        <v>Silver</v>
      </c>
      <c r="L6" s="542"/>
      <c r="M6" s="320" t="s">
        <v>373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253</v>
      </c>
      <c r="D8" s="540"/>
      <c r="E8" s="286" t="str">
        <f>'BD Team'!B9</f>
        <v>FW1</v>
      </c>
      <c r="F8" s="288" t="s">
        <v>254</v>
      </c>
      <c r="G8" s="542" t="str">
        <f>'BD Team'!D9</f>
        <v>FIXED GLASS WITH SILICON JOINT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GROUND FLOOR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246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177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247</v>
      </c>
      <c r="M12" s="540"/>
      <c r="N12" s="551" t="s">
        <v>255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248</v>
      </c>
      <c r="M13" s="540"/>
      <c r="N13" s="542" t="str">
        <f>CONCATENATE('BD Team'!H9," X ",'BD Team'!I9)</f>
        <v>5488 X 1982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249</v>
      </c>
      <c r="M14" s="540"/>
      <c r="N14" s="541">
        <f>'BD Team'!J9</f>
        <v>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250</v>
      </c>
      <c r="M15" s="540"/>
      <c r="N15" s="542" t="str">
        <f>'BD Team'!C9</f>
        <v>M15000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251</v>
      </c>
      <c r="M16" s="540"/>
      <c r="N16" s="542" t="str">
        <f>'BD Team'!E9</f>
        <v>12MM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252</v>
      </c>
      <c r="M17" s="540"/>
      <c r="N17" s="542" t="str">
        <f>'BD Team'!F9</f>
        <v>NO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253</v>
      </c>
      <c r="D19" s="540"/>
      <c r="E19" s="286" t="str">
        <f>'BD Team'!B10</f>
        <v>W</v>
      </c>
      <c r="F19" s="288" t="s">
        <v>254</v>
      </c>
      <c r="G19" s="542" t="str">
        <f>'BD Team'!D10</f>
        <v>FIXED GLASS TOP &amp; BOTTOM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GROUND FLOOR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246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177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247</v>
      </c>
      <c r="M23" s="540"/>
      <c r="N23" s="545" t="s">
        <v>255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248</v>
      </c>
      <c r="M24" s="540"/>
      <c r="N24" s="542" t="str">
        <f>CONCATENATE('BD Team'!H10," X ",'BD Team'!I10)</f>
        <v>916 X 1220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249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250</v>
      </c>
      <c r="M26" s="540"/>
      <c r="N26" s="542" t="str">
        <f>'BD Team'!C10</f>
        <v>M940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251</v>
      </c>
      <c r="M27" s="540"/>
      <c r="N27" s="542" t="str">
        <f>'BD Team'!E10</f>
        <v>12MM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252</v>
      </c>
      <c r="M28" s="540"/>
      <c r="N28" s="542" t="str">
        <f>'BD Team'!F10</f>
        <v>NO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253</v>
      </c>
      <c r="D30" s="540"/>
      <c r="E30" s="286" t="str">
        <f>'BD Team'!B11</f>
        <v>W4</v>
      </c>
      <c r="F30" s="288" t="s">
        <v>254</v>
      </c>
      <c r="G30" s="542" t="str">
        <f>'BD Team'!D11</f>
        <v>3 TRACK 2 SHUTTER SLIDING DOOR WITH 2 FIXED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GROUND FLOOR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246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177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247</v>
      </c>
      <c r="M34" s="540"/>
      <c r="N34" s="545" t="s">
        <v>255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248</v>
      </c>
      <c r="M35" s="540"/>
      <c r="N35" s="542" t="str">
        <f>CONCATENATE('BD Team'!H11," X ",'BD Team'!I11)</f>
        <v>3354 X 2440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249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250</v>
      </c>
      <c r="M37" s="540"/>
      <c r="N37" s="542" t="str">
        <f>'BD Team'!C11</f>
        <v>M14600 &amp; M940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251</v>
      </c>
      <c r="M38" s="540"/>
      <c r="N38" s="542" t="str">
        <f>'BD Team'!E11</f>
        <v>12MM &amp; 8MM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252</v>
      </c>
      <c r="M39" s="540"/>
      <c r="N39" s="542" t="str">
        <f>'BD Team'!F11</f>
        <v>SS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253</v>
      </c>
      <c r="D41" s="540"/>
      <c r="E41" s="286" t="str">
        <f>'BD Team'!B12</f>
        <v>W1</v>
      </c>
      <c r="F41" s="288" t="s">
        <v>254</v>
      </c>
      <c r="G41" s="542" t="str">
        <f>'BD Team'!D12</f>
        <v>3 TRACK 2 SHUTTER SLIDING WINDOW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GROUND FLOOR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246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177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247</v>
      </c>
      <c r="M45" s="540"/>
      <c r="N45" s="545" t="s">
        <v>255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248</v>
      </c>
      <c r="M46" s="540"/>
      <c r="N46" s="542" t="str">
        <f>CONCATENATE('BD Team'!H12," X ",'BD Team'!I12)</f>
        <v>1372 X 1220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249</v>
      </c>
      <c r="M47" s="540"/>
      <c r="N47" s="541">
        <f>'BD Team'!J12</f>
        <v>1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250</v>
      </c>
      <c r="M48" s="540"/>
      <c r="N48" s="542" t="str">
        <f>'BD Team'!C12</f>
        <v>M900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251</v>
      </c>
      <c r="M49" s="540"/>
      <c r="N49" s="542" t="str">
        <f>'BD Team'!E12</f>
        <v>8MM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252</v>
      </c>
      <c r="M50" s="540"/>
      <c r="N50" s="542" t="str">
        <f>'BD Team'!F12</f>
        <v>SS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253</v>
      </c>
      <c r="D52" s="540"/>
      <c r="E52" s="286" t="str">
        <f>'BD Team'!B13</f>
        <v>W3</v>
      </c>
      <c r="F52" s="288" t="s">
        <v>254</v>
      </c>
      <c r="G52" s="542" t="str">
        <f>'BD Team'!D13</f>
        <v>2 SIDE HUNG DOORS WITH CENTER FIXED WITH SILICON JOINT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FIRST FLOOR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246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177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247</v>
      </c>
      <c r="M56" s="540"/>
      <c r="N56" s="545" t="s">
        <v>255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248</v>
      </c>
      <c r="M57" s="540"/>
      <c r="N57" s="542" t="str">
        <f>CONCATENATE('BD Team'!H13," X ",'BD Team'!I13)</f>
        <v>5640 X 2592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249</v>
      </c>
      <c r="M58" s="540"/>
      <c r="N58" s="541">
        <f>'BD Team'!J13</f>
        <v>1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250</v>
      </c>
      <c r="M59" s="540"/>
      <c r="N59" s="542" t="str">
        <f>'BD Team'!C13</f>
        <v>M15000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251</v>
      </c>
      <c r="M60" s="540"/>
      <c r="N60" s="542" t="str">
        <f>'BD Team'!E13</f>
        <v>12MM &amp; 8MM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252</v>
      </c>
      <c r="M61" s="540"/>
      <c r="N61" s="542" t="str">
        <f>'BD Team'!F13</f>
        <v>NO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253</v>
      </c>
      <c r="D63" s="540"/>
      <c r="E63" s="286" t="str">
        <f>'BD Team'!B14</f>
        <v>W10</v>
      </c>
      <c r="F63" s="288" t="s">
        <v>254</v>
      </c>
      <c r="G63" s="542" t="str">
        <f>'BD Team'!D14</f>
        <v>FIXED GLASS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FIRST FLOOR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246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177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247</v>
      </c>
      <c r="M67" s="540"/>
      <c r="N67" s="545" t="s">
        <v>255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248</v>
      </c>
      <c r="M68" s="540"/>
      <c r="N68" s="542" t="str">
        <f>CONCATENATE('BD Team'!H14," X ",'BD Team'!I14)</f>
        <v>2794 X 1678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249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250</v>
      </c>
      <c r="M70" s="540"/>
      <c r="N70" s="542" t="str">
        <f>'BD Team'!C14</f>
        <v>M15000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251</v>
      </c>
      <c r="M71" s="540"/>
      <c r="N71" s="542" t="str">
        <f>'BD Team'!E14</f>
        <v>12MM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252</v>
      </c>
      <c r="M72" s="540"/>
      <c r="N72" s="542" t="str">
        <f>'BD Team'!F14</f>
        <v>NO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253</v>
      </c>
      <c r="D74" s="540"/>
      <c r="E74" s="286" t="str">
        <f>'BD Team'!B15</f>
        <v>W7</v>
      </c>
      <c r="F74" s="288" t="s">
        <v>254</v>
      </c>
      <c r="G74" s="542" t="str">
        <f>'BD Team'!D15</f>
        <v>FIXED GLASS WITH SILICON JOINT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 t="str">
        <f>'BD Team'!G15</f>
        <v>FIRST FLOOR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246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177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247</v>
      </c>
      <c r="M78" s="540"/>
      <c r="N78" s="545" t="s">
        <v>255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248</v>
      </c>
      <c r="M79" s="540"/>
      <c r="N79" s="542" t="str">
        <f>CONCATENATE('BD Team'!H15," X ",'BD Team'!I15)</f>
        <v>3500 X 610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249</v>
      </c>
      <c r="M80" s="540"/>
      <c r="N80" s="541">
        <f>'BD Team'!J15</f>
        <v>1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250</v>
      </c>
      <c r="M81" s="540"/>
      <c r="N81" s="542" t="str">
        <f>'BD Team'!C15</f>
        <v>M15000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251</v>
      </c>
      <c r="M82" s="540"/>
      <c r="N82" s="542" t="str">
        <f>'BD Team'!E15</f>
        <v>12MM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252</v>
      </c>
      <c r="M83" s="540"/>
      <c r="N83" s="542" t="str">
        <f>'BD Team'!F15</f>
        <v>NO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253</v>
      </c>
      <c r="D85" s="540"/>
      <c r="E85" s="286" t="str">
        <f>'BD Team'!B16</f>
        <v>W5</v>
      </c>
      <c r="F85" s="288" t="s">
        <v>254</v>
      </c>
      <c r="G85" s="542" t="str">
        <f>'BD Team'!D16</f>
        <v>3 TRACK 2 SHUTTER SLIDING WINDOW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 t="str">
        <f>'BD Team'!G16</f>
        <v>FIRST FLOOR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246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177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247</v>
      </c>
      <c r="M89" s="540"/>
      <c r="N89" s="545" t="s">
        <v>255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248</v>
      </c>
      <c r="M90" s="540"/>
      <c r="N90" s="542" t="str">
        <f>CONCATENATE('BD Team'!H16," X ",'BD Team'!I16)</f>
        <v>1220 X 1678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249</v>
      </c>
      <c r="M91" s="540"/>
      <c r="N91" s="541">
        <f>'BD Team'!J16</f>
        <v>2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250</v>
      </c>
      <c r="M92" s="540"/>
      <c r="N92" s="542" t="str">
        <f>'BD Team'!C16</f>
        <v>M900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251</v>
      </c>
      <c r="M93" s="540"/>
      <c r="N93" s="542" t="str">
        <f>'BD Team'!E16</f>
        <v>8MM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252</v>
      </c>
      <c r="M94" s="540"/>
      <c r="N94" s="542" t="str">
        <f>'BD Team'!F16</f>
        <v>SS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253</v>
      </c>
      <c r="D96" s="540"/>
      <c r="E96" s="286" t="str">
        <f>'BD Team'!B17</f>
        <v>FD1</v>
      </c>
      <c r="F96" s="288" t="s">
        <v>254</v>
      </c>
      <c r="G96" s="542" t="str">
        <f>'BD Team'!D17</f>
        <v>4 LEAF SLIDE &amp; FOLD DOOR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 t="str">
        <f>'BD Team'!G17</f>
        <v>FIRST FLOOR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246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177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247</v>
      </c>
      <c r="M100" s="540"/>
      <c r="N100" s="545" t="s">
        <v>255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248</v>
      </c>
      <c r="M101" s="540"/>
      <c r="N101" s="542" t="str">
        <f>CONCATENATE('BD Team'!H17," X ",'BD Team'!I17)</f>
        <v>2540 X 2744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249</v>
      </c>
      <c r="M102" s="540"/>
      <c r="N102" s="541">
        <f>'BD Team'!J17</f>
        <v>1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250</v>
      </c>
      <c r="M103" s="540"/>
      <c r="N103" s="542" t="str">
        <f>'BD Team'!C17</f>
        <v>M9800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251</v>
      </c>
      <c r="M104" s="540"/>
      <c r="N104" s="542" t="str">
        <f>'BD Team'!E17</f>
        <v>8MM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252</v>
      </c>
      <c r="M105" s="540"/>
      <c r="N105" s="542" t="str">
        <f>'BD Team'!F17</f>
        <v>NO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253</v>
      </c>
      <c r="D107" s="540"/>
      <c r="E107" s="286" t="str">
        <f>'BD Team'!B18</f>
        <v>W1</v>
      </c>
      <c r="F107" s="288" t="s">
        <v>254</v>
      </c>
      <c r="G107" s="542" t="str">
        <f>'BD Team'!D18</f>
        <v>3 TRACK 2 SHUTTER SLIDING WINDOW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 t="str">
        <f>'BD Team'!G18</f>
        <v>FIRST FLOOR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246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177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247</v>
      </c>
      <c r="M111" s="540"/>
      <c r="N111" s="545" t="s">
        <v>255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248</v>
      </c>
      <c r="M112" s="540"/>
      <c r="N112" s="542" t="str">
        <f>CONCATENATE('BD Team'!H18," X ",'BD Team'!I18)</f>
        <v>916 X 2338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249</v>
      </c>
      <c r="M113" s="540"/>
      <c r="N113" s="541">
        <f>'BD Team'!J18</f>
        <v>1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250</v>
      </c>
      <c r="M114" s="540"/>
      <c r="N114" s="542" t="str">
        <f>'BD Team'!C18</f>
        <v>M14600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251</v>
      </c>
      <c r="M115" s="540"/>
      <c r="N115" s="542" t="str">
        <f>'BD Team'!E18</f>
        <v>8MM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252</v>
      </c>
      <c r="M116" s="540"/>
      <c r="N116" s="542" t="str">
        <f>'BD Team'!F18</f>
        <v>SS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253</v>
      </c>
      <c r="D118" s="540"/>
      <c r="E118" s="286" t="str">
        <f>'BD Team'!B19</f>
        <v>W8</v>
      </c>
      <c r="F118" s="288" t="s">
        <v>254</v>
      </c>
      <c r="G118" s="542" t="str">
        <f>'BD Team'!D19</f>
        <v>FIXED GLASS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 t="str">
        <f>'BD Team'!G19</f>
        <v>FIRST FLOOR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246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177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247</v>
      </c>
      <c r="M122" s="540"/>
      <c r="N122" s="545" t="s">
        <v>255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248</v>
      </c>
      <c r="M123" s="540"/>
      <c r="N123" s="542" t="str">
        <f>CONCATENATE('BD Team'!H19," X ",'BD Team'!I19)</f>
        <v>560 X 2388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249</v>
      </c>
      <c r="M124" s="540"/>
      <c r="N124" s="541">
        <f>'BD Team'!J19</f>
        <v>1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250</v>
      </c>
      <c r="M125" s="540"/>
      <c r="N125" s="542" t="str">
        <f>'BD Team'!C19</f>
        <v>M15000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251</v>
      </c>
      <c r="M126" s="540"/>
      <c r="N126" s="542" t="str">
        <f>'BD Team'!E19</f>
        <v>12MM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252</v>
      </c>
      <c r="M127" s="540"/>
      <c r="N127" s="542" t="str">
        <f>'BD Team'!F19</f>
        <v>NO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253</v>
      </c>
      <c r="D129" s="540"/>
      <c r="E129" s="286" t="str">
        <f>'BD Team'!B20</f>
        <v>W5 GR</v>
      </c>
      <c r="F129" s="288" t="s">
        <v>254</v>
      </c>
      <c r="G129" s="542" t="str">
        <f>'BD Team'!D20</f>
        <v>3 TRACK 2 SHUTTER SLIDING WINDOW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 t="str">
        <f>'BD Team'!G20</f>
        <v>FIRST FLOOR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246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177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247</v>
      </c>
      <c r="M133" s="540"/>
      <c r="N133" s="545" t="s">
        <v>255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248</v>
      </c>
      <c r="M134" s="540"/>
      <c r="N134" s="542" t="str">
        <f>CONCATENATE('BD Team'!H20," X ",'BD Team'!I20)</f>
        <v>1220 X 1678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249</v>
      </c>
      <c r="M135" s="540"/>
      <c r="N135" s="541">
        <f>'BD Team'!J20</f>
        <v>1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250</v>
      </c>
      <c r="M136" s="540"/>
      <c r="N136" s="542" t="str">
        <f>'BD Team'!C20</f>
        <v>M900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251</v>
      </c>
      <c r="M137" s="540"/>
      <c r="N137" s="542" t="str">
        <f>'BD Team'!E20</f>
        <v>8MM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252</v>
      </c>
      <c r="M138" s="540"/>
      <c r="N138" s="542" t="str">
        <f>'BD Team'!F20</f>
        <v>SS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253</v>
      </c>
      <c r="D140" s="540"/>
      <c r="E140" s="286" t="str">
        <f>'BD Team'!B21</f>
        <v>W9A</v>
      </c>
      <c r="F140" s="288" t="s">
        <v>254</v>
      </c>
      <c r="G140" s="542" t="str">
        <f>'BD Team'!D21</f>
        <v>3 TRACK 2 SHUTTER SLIDING WINDOW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 t="str">
        <f>'BD Team'!G21</f>
        <v>FIRST FLOOR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246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177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247</v>
      </c>
      <c r="M144" s="540"/>
      <c r="N144" s="545" t="s">
        <v>255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248</v>
      </c>
      <c r="M145" s="540"/>
      <c r="N145" s="542" t="str">
        <f>CONCATENATE('BD Team'!H21," X ",'BD Team'!I21)</f>
        <v>916 X 2338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249</v>
      </c>
      <c r="M146" s="540"/>
      <c r="N146" s="541">
        <f>'BD Team'!J21</f>
        <v>1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250</v>
      </c>
      <c r="M147" s="540"/>
      <c r="N147" s="542" t="str">
        <f>'BD Team'!C21</f>
        <v>M14600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251</v>
      </c>
      <c r="M148" s="540"/>
      <c r="N148" s="542" t="str">
        <f>'BD Team'!E21</f>
        <v>8MM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252</v>
      </c>
      <c r="M149" s="540"/>
      <c r="N149" s="542" t="str">
        <f>'BD Team'!F21</f>
        <v>SS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253</v>
      </c>
      <c r="D151" s="540"/>
      <c r="E151" s="286" t="str">
        <f>'BD Team'!B22</f>
        <v>W9B</v>
      </c>
      <c r="F151" s="288" t="s">
        <v>254</v>
      </c>
      <c r="G151" s="542" t="str">
        <f>'BD Team'!D22</f>
        <v>FIXED GLASS CORNOR WINDOW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 t="str">
        <f>'BD Team'!G22</f>
        <v>FIRST FLOOR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246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177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247</v>
      </c>
      <c r="M155" s="540"/>
      <c r="N155" s="545" t="s">
        <v>255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248</v>
      </c>
      <c r="M156" s="540"/>
      <c r="N156" s="542" t="str">
        <f>CONCATENATE('BD Team'!H22," X ",'BD Team'!I22)</f>
        <v>1108 X 2338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249</v>
      </c>
      <c r="M157" s="540"/>
      <c r="N157" s="541">
        <f>'BD Team'!J22</f>
        <v>1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250</v>
      </c>
      <c r="M158" s="540"/>
      <c r="N158" s="542" t="str">
        <f>'BD Team'!C22</f>
        <v>M15000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251</v>
      </c>
      <c r="M159" s="540"/>
      <c r="N159" s="542" t="str">
        <f>'BD Team'!E22</f>
        <v>12MM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252</v>
      </c>
      <c r="M160" s="540"/>
      <c r="N160" s="542" t="str">
        <f>'BD Team'!F22</f>
        <v>NO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253</v>
      </c>
      <c r="D162" s="540"/>
      <c r="E162" s="286" t="str">
        <f>'BD Team'!B23</f>
        <v>W4</v>
      </c>
      <c r="F162" s="288" t="s">
        <v>254</v>
      </c>
      <c r="G162" s="542" t="str">
        <f>'BD Team'!D23</f>
        <v>FIXED GLASS 3 NO'S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 t="str">
        <f>'BD Team'!G23</f>
        <v>SECOND FLOOR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246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177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247</v>
      </c>
      <c r="M166" s="540"/>
      <c r="N166" s="545" t="s">
        <v>255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248</v>
      </c>
      <c r="M167" s="540"/>
      <c r="N167" s="542" t="str">
        <f>CONCATENATE('BD Team'!H23," X ",'BD Team'!I23)</f>
        <v>2896 X 762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249</v>
      </c>
      <c r="M168" s="540"/>
      <c r="N168" s="541">
        <f>'BD Team'!J23</f>
        <v>1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250</v>
      </c>
      <c r="M169" s="540"/>
      <c r="N169" s="542" t="str">
        <f>'BD Team'!C23</f>
        <v>M15000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251</v>
      </c>
      <c r="M170" s="540"/>
      <c r="N170" s="542" t="str">
        <f>'BD Team'!E23</f>
        <v>12MM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252</v>
      </c>
      <c r="M171" s="540"/>
      <c r="N171" s="542" t="str">
        <f>'BD Team'!F23</f>
        <v>NO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253</v>
      </c>
      <c r="D173" s="540"/>
      <c r="E173" s="286" t="str">
        <f>'BD Team'!B24</f>
        <v>FD1 TOP</v>
      </c>
      <c r="F173" s="288" t="s">
        <v>254</v>
      </c>
      <c r="G173" s="542" t="str">
        <f>'BD Team'!D24</f>
        <v>FIXED GLASS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 t="str">
        <f>'BD Team'!G24</f>
        <v>SECOND FLOOR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246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177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247</v>
      </c>
      <c r="M177" s="540"/>
      <c r="N177" s="545" t="s">
        <v>255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248</v>
      </c>
      <c r="M178" s="540"/>
      <c r="N178" s="542" t="str">
        <f>CONCATENATE('BD Team'!H24," X ",'BD Team'!I24)</f>
        <v>3658 X 610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249</v>
      </c>
      <c r="M179" s="540"/>
      <c r="N179" s="541">
        <f>'BD Team'!J24</f>
        <v>1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250</v>
      </c>
      <c r="M180" s="540"/>
      <c r="N180" s="542" t="str">
        <f>'BD Team'!C24</f>
        <v>M15000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251</v>
      </c>
      <c r="M181" s="540"/>
      <c r="N181" s="542" t="str">
        <f>'BD Team'!E24</f>
        <v>12MM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252</v>
      </c>
      <c r="M182" s="540"/>
      <c r="N182" s="542" t="str">
        <f>'BD Team'!F24</f>
        <v>NO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253</v>
      </c>
      <c r="D184" s="540"/>
      <c r="E184" s="286" t="str">
        <f>'BD Team'!B25</f>
        <v>FD1</v>
      </c>
      <c r="F184" s="288" t="s">
        <v>254</v>
      </c>
      <c r="G184" s="542" t="str">
        <f>'BD Team'!D25</f>
        <v>6 LEAF SLIDE &amp; FOLD DOOR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 t="str">
        <f>'BD Team'!G25</f>
        <v>SECOND FLOOR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246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177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247</v>
      </c>
      <c r="M188" s="540"/>
      <c r="N188" s="545" t="s">
        <v>255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248</v>
      </c>
      <c r="M189" s="540"/>
      <c r="N189" s="542" t="str">
        <f>CONCATENATE('BD Team'!H25," X ",'BD Team'!I25)</f>
        <v>3658 X 2744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249</v>
      </c>
      <c r="M190" s="540"/>
      <c r="N190" s="541">
        <f>'BD Team'!J25</f>
        <v>1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250</v>
      </c>
      <c r="M191" s="540"/>
      <c r="N191" s="542" t="str">
        <f>'BD Team'!C25</f>
        <v>M9800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251</v>
      </c>
      <c r="M192" s="540"/>
      <c r="N192" s="542" t="str">
        <f>'BD Team'!E25</f>
        <v>8MM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252</v>
      </c>
      <c r="M193" s="540"/>
      <c r="N193" s="542" t="str">
        <f>'BD Team'!F25</f>
        <v>NO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253</v>
      </c>
      <c r="D195" s="540"/>
      <c r="E195" s="286" t="str">
        <f>'BD Team'!B26</f>
        <v>FD2</v>
      </c>
      <c r="F195" s="288" t="s">
        <v>254</v>
      </c>
      <c r="G195" s="542" t="str">
        <f>'BD Team'!D26</f>
        <v>4 LEAF SLIDE &amp; FOLD DOOR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 t="str">
        <f>'BD Team'!G26</f>
        <v>SECOND FLOOR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246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177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247</v>
      </c>
      <c r="M199" s="540"/>
      <c r="N199" s="545" t="s">
        <v>255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248</v>
      </c>
      <c r="M200" s="540"/>
      <c r="N200" s="542" t="str">
        <f>CONCATENATE('BD Team'!H26," X ",'BD Team'!I26)</f>
        <v>2440 X 2744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249</v>
      </c>
      <c r="M201" s="540"/>
      <c r="N201" s="541">
        <f>'BD Team'!J26</f>
        <v>1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250</v>
      </c>
      <c r="M202" s="540"/>
      <c r="N202" s="542" t="str">
        <f>'BD Team'!C26</f>
        <v>M9800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251</v>
      </c>
      <c r="M203" s="540"/>
      <c r="N203" s="542" t="str">
        <f>'BD Team'!E26</f>
        <v>8MM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252</v>
      </c>
      <c r="M204" s="540"/>
      <c r="N204" s="542" t="str">
        <f>'BD Team'!F26</f>
        <v>NO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253</v>
      </c>
      <c r="D206" s="540"/>
      <c r="E206" s="286" t="str">
        <f>'BD Team'!B27</f>
        <v>W3</v>
      </c>
      <c r="F206" s="288" t="s">
        <v>254</v>
      </c>
      <c r="G206" s="542" t="str">
        <f>'BD Team'!D27</f>
        <v>3 TRACK 2 SHUTTER SLIDING WINDOW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 t="str">
        <f>'BD Team'!G27</f>
        <v>SECOND FLOOR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246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177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247</v>
      </c>
      <c r="M210" s="540"/>
      <c r="N210" s="545" t="s">
        <v>255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248</v>
      </c>
      <c r="M211" s="540"/>
      <c r="N211" s="542" t="str">
        <f>CONCATENATE('BD Team'!H27," X ",'BD Team'!I27)</f>
        <v>1754 X 1220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249</v>
      </c>
      <c r="M212" s="540"/>
      <c r="N212" s="541">
        <f>'BD Team'!J27</f>
        <v>1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250</v>
      </c>
      <c r="M213" s="540"/>
      <c r="N213" s="542" t="str">
        <f>'BD Team'!C27</f>
        <v>M900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251</v>
      </c>
      <c r="M214" s="540"/>
      <c r="N214" s="542" t="str">
        <f>'BD Team'!E27</f>
        <v>8MM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252</v>
      </c>
      <c r="M215" s="540"/>
      <c r="N215" s="542" t="str">
        <f>'BD Team'!F27</f>
        <v>SS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253</v>
      </c>
      <c r="D217" s="540"/>
      <c r="E217" s="286" t="str">
        <f>'BD Team'!B28</f>
        <v>W2A</v>
      </c>
      <c r="F217" s="288" t="s">
        <v>254</v>
      </c>
      <c r="G217" s="542" t="str">
        <f>'BD Team'!D28</f>
        <v>3 TRACK 2 SHUTTER SLIDING WINDOW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 t="str">
        <f>'BD Team'!G28</f>
        <v>SECOND FLOOR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246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177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247</v>
      </c>
      <c r="M221" s="540"/>
      <c r="N221" s="545" t="s">
        <v>255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248</v>
      </c>
      <c r="M222" s="540"/>
      <c r="N222" s="542" t="str">
        <f>CONCATENATE('BD Team'!H28," X ",'BD Team'!I28)</f>
        <v>1068 X 1830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249</v>
      </c>
      <c r="M223" s="540"/>
      <c r="N223" s="541">
        <f>'BD Team'!J28</f>
        <v>1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250</v>
      </c>
      <c r="M224" s="540"/>
      <c r="N224" s="542" t="str">
        <f>'BD Team'!C28</f>
        <v>M14600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251</v>
      </c>
      <c r="M225" s="540"/>
      <c r="N225" s="542" t="str">
        <f>'BD Team'!E28</f>
        <v>8MM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252</v>
      </c>
      <c r="M226" s="540"/>
      <c r="N226" s="542" t="str">
        <f>'BD Team'!F28</f>
        <v>SS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253</v>
      </c>
      <c r="D228" s="540"/>
      <c r="E228" s="286" t="str">
        <f>'BD Team'!B29</f>
        <v>W2B</v>
      </c>
      <c r="F228" s="288" t="s">
        <v>254</v>
      </c>
      <c r="G228" s="542" t="str">
        <f>'BD Team'!D29</f>
        <v>FIXED GLASS CORNOR WINDOW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 t="str">
        <f>'BD Team'!G29</f>
        <v>SECOND FLOOR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246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177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247</v>
      </c>
      <c r="M232" s="540"/>
      <c r="N232" s="545" t="s">
        <v>255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248</v>
      </c>
      <c r="M233" s="540"/>
      <c r="N233" s="542" t="str">
        <f>CONCATENATE('BD Team'!H29," X ",'BD Team'!I29)</f>
        <v>2296 X 1830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249</v>
      </c>
      <c r="M234" s="540"/>
      <c r="N234" s="541">
        <f>'BD Team'!J29</f>
        <v>1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250</v>
      </c>
      <c r="M235" s="540"/>
      <c r="N235" s="542" t="str">
        <f>'BD Team'!C29</f>
        <v>M15000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251</v>
      </c>
      <c r="M236" s="540"/>
      <c r="N236" s="542" t="str">
        <f>'BD Team'!E29</f>
        <v>12MM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252</v>
      </c>
      <c r="M237" s="540"/>
      <c r="N237" s="542" t="str">
        <f>'BD Team'!F29</f>
        <v>NO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253</v>
      </c>
      <c r="D239" s="540"/>
      <c r="E239" s="286" t="str">
        <f>'BD Team'!B30</f>
        <v>W5</v>
      </c>
      <c r="F239" s="288" t="s">
        <v>254</v>
      </c>
      <c r="G239" s="542" t="str">
        <f>'BD Team'!D30</f>
        <v>FIXED GLASS WITH EXHAUST FAN PROVISION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 t="str">
        <f>'BD Team'!G30</f>
        <v>SECOND FLOOR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246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177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247</v>
      </c>
      <c r="M243" s="540"/>
      <c r="N243" s="545" t="s">
        <v>255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248</v>
      </c>
      <c r="M244" s="540"/>
      <c r="N244" s="542" t="str">
        <f>CONCATENATE('BD Team'!H30," X ",'BD Team'!I30)</f>
        <v>382 X 1754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249</v>
      </c>
      <c r="M245" s="540"/>
      <c r="N245" s="541">
        <f>'BD Team'!J30</f>
        <v>1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250</v>
      </c>
      <c r="M246" s="540"/>
      <c r="N246" s="542" t="str">
        <f>'BD Team'!C30</f>
        <v>M15000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251</v>
      </c>
      <c r="M247" s="540"/>
      <c r="N247" s="542" t="str">
        <f>'BD Team'!E30</f>
        <v>12MM (F)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252</v>
      </c>
      <c r="M248" s="540"/>
      <c r="N248" s="542" t="str">
        <f>'BD Team'!F30</f>
        <v>NO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253</v>
      </c>
      <c r="D250" s="540"/>
      <c r="E250" s="286" t="str">
        <f>'BD Team'!B31</f>
        <v>W6</v>
      </c>
      <c r="F250" s="288" t="s">
        <v>254</v>
      </c>
      <c r="G250" s="542" t="str">
        <f>'BD Team'!D31</f>
        <v>3 TRACK 2 SHUTTER SLIDING WITH CENTER FIXED WITH SILICON JOINT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 t="str">
        <f>'BD Team'!G31</f>
        <v>SECOND FLOOR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246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177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247</v>
      </c>
      <c r="M254" s="540"/>
      <c r="N254" s="545" t="s">
        <v>255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248</v>
      </c>
      <c r="M255" s="540"/>
      <c r="N255" s="542" t="str">
        <f>CONCATENATE('BD Team'!H31," X ",'BD Team'!I31)</f>
        <v>5666 X 2744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249</v>
      </c>
      <c r="M256" s="540"/>
      <c r="N256" s="541">
        <f>'BD Team'!J31</f>
        <v>1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250</v>
      </c>
      <c r="M257" s="540"/>
      <c r="N257" s="542" t="str">
        <f>'BD Team'!C31</f>
        <v>M14600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251</v>
      </c>
      <c r="M258" s="540"/>
      <c r="N258" s="542" t="str">
        <f>'BD Team'!E31</f>
        <v>8MM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252</v>
      </c>
      <c r="M259" s="540"/>
      <c r="N259" s="542" t="str">
        <f>'BD Team'!F31</f>
        <v>SS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253</v>
      </c>
      <c r="D261" s="540"/>
      <c r="E261" s="286" t="str">
        <f>'BD Team'!B32</f>
        <v>FD2</v>
      </c>
      <c r="F261" s="288" t="s">
        <v>254</v>
      </c>
      <c r="G261" s="542" t="str">
        <f>'BD Team'!D32</f>
        <v>FRENCH CASEMENT DOOR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 t="str">
        <f>'BD Team'!G32</f>
        <v>THIRD FLOOR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246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177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247</v>
      </c>
      <c r="M265" s="540"/>
      <c r="N265" s="545" t="s">
        <v>255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248</v>
      </c>
      <c r="M266" s="540"/>
      <c r="N266" s="542" t="str">
        <f>CONCATENATE('BD Team'!H32," X ",'BD Team'!I32)</f>
        <v>1524 X 2744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249</v>
      </c>
      <c r="M267" s="540"/>
      <c r="N267" s="541">
        <f>'BD Team'!J32</f>
        <v>1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250</v>
      </c>
      <c r="M268" s="540"/>
      <c r="N268" s="542" t="str">
        <f>'BD Team'!C32</f>
        <v>M15000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251</v>
      </c>
      <c r="M269" s="540"/>
      <c r="N269" s="542" t="str">
        <f>'BD Team'!E32</f>
        <v>8MM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252</v>
      </c>
      <c r="M270" s="540"/>
      <c r="N270" s="542" t="str">
        <f>'BD Team'!F32</f>
        <v>NO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253</v>
      </c>
      <c r="D272" s="540"/>
      <c r="E272" s="286" t="str">
        <f>'BD Team'!B33</f>
        <v>W1</v>
      </c>
      <c r="F272" s="288" t="s">
        <v>254</v>
      </c>
      <c r="G272" s="542" t="str">
        <f>'BD Team'!D33</f>
        <v>3 TRACK 2 SHUTTER SLIDING DOOR WITH TOP FIXED AND FIXED GLASS WITH SILICON JOINT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 t="str">
        <f>'BD Team'!G33</f>
        <v>THIRD FLOOR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246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177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247</v>
      </c>
      <c r="M276" s="540"/>
      <c r="N276" s="545" t="s">
        <v>255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248</v>
      </c>
      <c r="M277" s="540"/>
      <c r="N277" s="542" t="str">
        <f>CONCATENATE('BD Team'!H33," X ",'BD Team'!I33)</f>
        <v>4116 X 3202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249</v>
      </c>
      <c r="M278" s="540"/>
      <c r="N278" s="541">
        <f>'BD Team'!J33</f>
        <v>1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250</v>
      </c>
      <c r="M279" s="540"/>
      <c r="N279" s="542" t="str">
        <f>'BD Team'!C33</f>
        <v>M14600 &amp; M15000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251</v>
      </c>
      <c r="M280" s="540"/>
      <c r="N280" s="542" t="str">
        <f>'BD Team'!E33</f>
        <v>12MM &amp; 8MM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252</v>
      </c>
      <c r="M281" s="540"/>
      <c r="N281" s="542" t="str">
        <f>'BD Team'!F33</f>
        <v>SS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253</v>
      </c>
      <c r="D283" s="540"/>
      <c r="E283" s="286" t="str">
        <f>'BD Team'!B34</f>
        <v>W2</v>
      </c>
      <c r="F283" s="288" t="s">
        <v>254</v>
      </c>
      <c r="G283" s="542" t="str">
        <f>'BD Team'!D34</f>
        <v>FIXED GLASS TOP &amp; BOTTOM WITH SILICON JOINT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 t="str">
        <f>'BD Team'!G34</f>
        <v>THIRD FLOOR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246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177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247</v>
      </c>
      <c r="M287" s="540"/>
      <c r="N287" s="545" t="s">
        <v>255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248</v>
      </c>
      <c r="M288" s="540"/>
      <c r="N288" s="542" t="str">
        <f>CONCATENATE('BD Team'!H34," X ",'BD Team'!I34)</f>
        <v>4116 X 3202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249</v>
      </c>
      <c r="M289" s="540"/>
      <c r="N289" s="541">
        <f>'BD Team'!J34</f>
        <v>1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250</v>
      </c>
      <c r="M290" s="540"/>
      <c r="N290" s="542" t="str">
        <f>'BD Team'!C34</f>
        <v>M15000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251</v>
      </c>
      <c r="M291" s="540"/>
      <c r="N291" s="542" t="str">
        <f>'BD Team'!E34</f>
        <v>12MM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252</v>
      </c>
      <c r="M292" s="540"/>
      <c r="N292" s="542" t="str">
        <f>'BD Team'!F34</f>
        <v>NO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253</v>
      </c>
      <c r="D294" s="540"/>
      <c r="E294" s="286" t="str">
        <f>'BD Team'!B35</f>
        <v>W4</v>
      </c>
      <c r="F294" s="288" t="s">
        <v>254</v>
      </c>
      <c r="G294" s="542" t="str">
        <f>'BD Team'!D35</f>
        <v>3 TRACK 2 SHUTTER SLIDING WINDOW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 t="str">
        <f>'BD Team'!G35</f>
        <v>THIRD FLOOR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246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177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247</v>
      </c>
      <c r="M298" s="540"/>
      <c r="N298" s="545" t="s">
        <v>255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248</v>
      </c>
      <c r="M299" s="540"/>
      <c r="N299" s="542" t="str">
        <f>CONCATENATE('BD Team'!H35," X ",'BD Team'!I35)</f>
        <v>1932 X 2134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249</v>
      </c>
      <c r="M300" s="540"/>
      <c r="N300" s="541">
        <f>'BD Team'!J35</f>
        <v>1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250</v>
      </c>
      <c r="M301" s="540"/>
      <c r="N301" s="542" t="str">
        <f>'BD Team'!C35</f>
        <v>M14600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251</v>
      </c>
      <c r="M302" s="540"/>
      <c r="N302" s="542" t="str">
        <f>'BD Team'!E35</f>
        <v>8MM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252</v>
      </c>
      <c r="M303" s="540"/>
      <c r="N303" s="542" t="str">
        <f>'BD Team'!F35</f>
        <v>SS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253</v>
      </c>
      <c r="D305" s="540"/>
      <c r="E305" s="286" t="str">
        <f>'BD Team'!B36</f>
        <v>W6</v>
      </c>
      <c r="F305" s="288" t="s">
        <v>254</v>
      </c>
      <c r="G305" s="542" t="str">
        <f>'BD Team'!D36</f>
        <v>FIXED GLASS WITH SILICON JOINT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 t="str">
        <f>'BD Team'!G36</f>
        <v>THIRD FLOOR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246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177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247</v>
      </c>
      <c r="M309" s="540"/>
      <c r="N309" s="545" t="s">
        <v>255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248</v>
      </c>
      <c r="M310" s="540"/>
      <c r="N310" s="542" t="str">
        <f>CONCATENATE('BD Team'!H36," X ",'BD Team'!I36)</f>
        <v>3964 X 610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249</v>
      </c>
      <c r="M311" s="540"/>
      <c r="N311" s="541">
        <f>'BD Team'!J36</f>
        <v>1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250</v>
      </c>
      <c r="M312" s="540"/>
      <c r="N312" s="542" t="str">
        <f>'BD Team'!C36</f>
        <v>M15000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251</v>
      </c>
      <c r="M313" s="540"/>
      <c r="N313" s="542" t="str">
        <f>'BD Team'!E36</f>
        <v>12MM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252</v>
      </c>
      <c r="M314" s="540"/>
      <c r="N314" s="542" t="str">
        <f>'BD Team'!F36</f>
        <v>NO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253</v>
      </c>
      <c r="D316" s="540"/>
      <c r="E316" s="286" t="str">
        <f>'BD Team'!B37</f>
        <v>W3</v>
      </c>
      <c r="F316" s="288" t="s">
        <v>254</v>
      </c>
      <c r="G316" s="542" t="str">
        <f>'BD Team'!D37</f>
        <v>3 TRACK 2 SHUTTER SLIDING DOOR WITH TOP FIXED AND FIXED GLASS WITH SILICON JOINT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 t="str">
        <f>'BD Team'!G37</f>
        <v>THIRD FLOOR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246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177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247</v>
      </c>
      <c r="M320" s="540"/>
      <c r="N320" s="545" t="s">
        <v>255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248</v>
      </c>
      <c r="M321" s="540"/>
      <c r="N321" s="542" t="str">
        <f>CONCATENATE('BD Team'!H37," X ",'BD Team'!I37)</f>
        <v>4116 X 2592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249</v>
      </c>
      <c r="M322" s="540"/>
      <c r="N322" s="541">
        <f>'BD Team'!J37</f>
        <v>1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250</v>
      </c>
      <c r="M323" s="540"/>
      <c r="N323" s="542" t="str">
        <f>'BD Team'!C37</f>
        <v>M14600 &amp; M15000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251</v>
      </c>
      <c r="M324" s="540"/>
      <c r="N324" s="542" t="str">
        <f>'BD Team'!E37</f>
        <v>12MM &amp; 8MM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252</v>
      </c>
      <c r="M325" s="540"/>
      <c r="N325" s="542" t="str">
        <f>'BD Team'!F37</f>
        <v>SS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253</v>
      </c>
      <c r="D327" s="540"/>
      <c r="E327" s="286">
        <f>'BD Team'!B38</f>
        <v>0</v>
      </c>
      <c r="F327" s="288" t="s">
        <v>254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246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177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247</v>
      </c>
      <c r="M331" s="540"/>
      <c r="N331" s="545" t="s">
        <v>255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248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249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250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251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252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253</v>
      </c>
      <c r="D338" s="540"/>
      <c r="E338" s="286">
        <f>'BD Team'!B39</f>
        <v>0</v>
      </c>
      <c r="F338" s="288" t="s">
        <v>254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246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177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247</v>
      </c>
      <c r="M342" s="540"/>
      <c r="N342" s="545" t="s">
        <v>255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248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249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250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251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252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253</v>
      </c>
      <c r="D349" s="540"/>
      <c r="E349" s="286">
        <f>'BD Team'!B40</f>
        <v>0</v>
      </c>
      <c r="F349" s="288" t="s">
        <v>254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246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177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247</v>
      </c>
      <c r="M353" s="540"/>
      <c r="N353" s="545" t="s">
        <v>255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248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249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250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251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252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253</v>
      </c>
      <c r="D360" s="540"/>
      <c r="E360" s="286">
        <f>'BD Team'!B41</f>
        <v>0</v>
      </c>
      <c r="F360" s="288" t="s">
        <v>254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246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177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247</v>
      </c>
      <c r="M364" s="540"/>
      <c r="N364" s="545" t="s">
        <v>255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248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249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250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251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252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253</v>
      </c>
      <c r="D371" s="540"/>
      <c r="E371" s="286">
        <f>'BD Team'!B42</f>
        <v>0</v>
      </c>
      <c r="F371" s="288" t="s">
        <v>254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246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177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247</v>
      </c>
      <c r="M375" s="540"/>
      <c r="N375" s="545" t="s">
        <v>255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248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249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250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251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252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253</v>
      </c>
      <c r="D382" s="540"/>
      <c r="E382" s="286">
        <f>'BD Team'!B43</f>
        <v>0</v>
      </c>
      <c r="F382" s="288" t="s">
        <v>254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246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177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247</v>
      </c>
      <c r="M386" s="540"/>
      <c r="N386" s="545" t="s">
        <v>255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248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249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250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251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252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253</v>
      </c>
      <c r="D393" s="540"/>
      <c r="E393" s="286">
        <f>'BD Team'!B44</f>
        <v>0</v>
      </c>
      <c r="F393" s="288" t="s">
        <v>254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246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177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247</v>
      </c>
      <c r="M397" s="540"/>
      <c r="N397" s="545" t="s">
        <v>255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248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249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250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251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252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253</v>
      </c>
      <c r="D404" s="540"/>
      <c r="E404" s="286">
        <f>'BD Team'!B45</f>
        <v>0</v>
      </c>
      <c r="F404" s="288" t="s">
        <v>254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246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177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247</v>
      </c>
      <c r="M408" s="540"/>
      <c r="N408" s="545" t="s">
        <v>255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248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249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250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251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252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253</v>
      </c>
      <c r="D415" s="540"/>
      <c r="E415" s="286">
        <f>'BD Team'!B46</f>
        <v>0</v>
      </c>
      <c r="F415" s="288" t="s">
        <v>254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246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177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247</v>
      </c>
      <c r="M419" s="540"/>
      <c r="N419" s="545" t="s">
        <v>255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248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249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250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251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252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253</v>
      </c>
      <c r="D426" s="540"/>
      <c r="E426" s="286">
        <f>'BD Team'!B47</f>
        <v>0</v>
      </c>
      <c r="F426" s="288" t="s">
        <v>254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246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177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247</v>
      </c>
      <c r="M430" s="540"/>
      <c r="N430" s="545" t="s">
        <v>255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248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249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250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251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252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253</v>
      </c>
      <c r="D437" s="540"/>
      <c r="E437" s="286">
        <f>'BD Team'!B48</f>
        <v>0</v>
      </c>
      <c r="F437" s="288" t="s">
        <v>254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246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177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247</v>
      </c>
      <c r="M441" s="540"/>
      <c r="N441" s="545" t="s">
        <v>255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248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249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250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251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252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253</v>
      </c>
      <c r="D448" s="540"/>
      <c r="E448" s="286">
        <f>'BD Team'!B49</f>
        <v>0</v>
      </c>
      <c r="F448" s="288" t="s">
        <v>254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246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177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247</v>
      </c>
      <c r="M452" s="540"/>
      <c r="N452" s="545" t="s">
        <v>255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248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249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250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251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252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253</v>
      </c>
      <c r="D459" s="540"/>
      <c r="E459" s="286">
        <f>'BD Team'!B50</f>
        <v>0</v>
      </c>
      <c r="F459" s="288" t="s">
        <v>254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246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177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247</v>
      </c>
      <c r="M463" s="540"/>
      <c r="N463" s="545" t="s">
        <v>255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248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249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250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251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252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253</v>
      </c>
      <c r="D470" s="540"/>
      <c r="E470" s="286">
        <f>'BD Team'!B51</f>
        <v>0</v>
      </c>
      <c r="F470" s="288" t="s">
        <v>254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246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177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247</v>
      </c>
      <c r="M474" s="540"/>
      <c r="N474" s="545" t="s">
        <v>255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248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249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250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251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252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253</v>
      </c>
      <c r="D481" s="540"/>
      <c r="E481" s="286">
        <f>'BD Team'!B52</f>
        <v>0</v>
      </c>
      <c r="F481" s="288" t="s">
        <v>254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246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177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247</v>
      </c>
      <c r="M485" s="540"/>
      <c r="N485" s="545" t="s">
        <v>255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248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249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250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251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252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253</v>
      </c>
      <c r="D492" s="540"/>
      <c r="E492" s="286">
        <f>'BD Team'!B53</f>
        <v>0</v>
      </c>
      <c r="F492" s="288" t="s">
        <v>254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246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177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247</v>
      </c>
      <c r="M496" s="540"/>
      <c r="N496" s="545" t="s">
        <v>255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248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249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250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251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252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253</v>
      </c>
      <c r="D503" s="540"/>
      <c r="E503" s="286">
        <f>'BD Team'!B54</f>
        <v>0</v>
      </c>
      <c r="F503" s="288" t="s">
        <v>254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246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177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247</v>
      </c>
      <c r="M507" s="540"/>
      <c r="N507" s="545" t="s">
        <v>255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248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249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250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251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252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253</v>
      </c>
      <c r="D514" s="540"/>
      <c r="E514" s="286">
        <f>'BD Team'!B55</f>
        <v>0</v>
      </c>
      <c r="F514" s="288" t="s">
        <v>254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246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177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247</v>
      </c>
      <c r="M518" s="540"/>
      <c r="N518" s="545" t="s">
        <v>255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248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249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250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251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252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253</v>
      </c>
      <c r="D525" s="540"/>
      <c r="E525" s="286">
        <f>'BD Team'!B56</f>
        <v>0</v>
      </c>
      <c r="F525" s="288" t="s">
        <v>254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246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177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247</v>
      </c>
      <c r="M529" s="540"/>
      <c r="N529" s="545" t="s">
        <v>255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248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249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250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251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252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253</v>
      </c>
      <c r="D536" s="540"/>
      <c r="E536" s="286">
        <f>'BD Team'!B57</f>
        <v>0</v>
      </c>
      <c r="F536" s="288" t="s">
        <v>254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246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177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247</v>
      </c>
      <c r="M540" s="540"/>
      <c r="N540" s="545" t="s">
        <v>255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248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249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250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251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252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253</v>
      </c>
      <c r="D547" s="540"/>
      <c r="E547" s="286">
        <f>'BD Team'!B58</f>
        <v>0</v>
      </c>
      <c r="F547" s="288" t="s">
        <v>254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246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177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247</v>
      </c>
      <c r="M551" s="540"/>
      <c r="N551" s="545" t="s">
        <v>255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248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249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250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251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252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253</v>
      </c>
      <c r="D558" s="540"/>
      <c r="E558" s="289">
        <f>'BD Team'!B59</f>
        <v>0</v>
      </c>
      <c r="F558" s="288" t="s">
        <v>254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246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177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247</v>
      </c>
      <c r="M562" s="540"/>
      <c r="N562" s="545" t="s">
        <v>255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248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249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250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251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252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253</v>
      </c>
      <c r="D569" s="540"/>
      <c r="E569" s="289">
        <f>'BD Team'!B60</f>
        <v>0</v>
      </c>
      <c r="F569" s="288" t="s">
        <v>254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246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177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247</v>
      </c>
      <c r="M573" s="540"/>
      <c r="N573" s="545" t="s">
        <v>255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248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249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250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251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252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253</v>
      </c>
      <c r="D580" s="540"/>
      <c r="E580" s="289">
        <f>'BD Team'!B61</f>
        <v>0</v>
      </c>
      <c r="F580" s="288" t="s">
        <v>254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246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177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247</v>
      </c>
      <c r="M584" s="540"/>
      <c r="N584" s="545" t="s">
        <v>255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248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249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250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251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252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253</v>
      </c>
      <c r="D591" s="540"/>
      <c r="E591" s="289">
        <f>'BD Team'!B62</f>
        <v>0</v>
      </c>
      <c r="F591" s="288" t="s">
        <v>254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246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177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247</v>
      </c>
      <c r="M595" s="540"/>
      <c r="N595" s="545" t="s">
        <v>255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248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249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250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251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252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253</v>
      </c>
      <c r="D602" s="540"/>
      <c r="E602" s="289">
        <f>'BD Team'!B63</f>
        <v>0</v>
      </c>
      <c r="F602" s="288" t="s">
        <v>254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246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177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247</v>
      </c>
      <c r="M606" s="540"/>
      <c r="N606" s="545" t="s">
        <v>255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248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249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250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251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252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253</v>
      </c>
      <c r="D613" s="540"/>
      <c r="E613" s="289">
        <f>'BD Team'!B64</f>
        <v>0</v>
      </c>
      <c r="F613" s="288" t="s">
        <v>254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246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177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247</v>
      </c>
      <c r="M617" s="540"/>
      <c r="N617" s="545" t="s">
        <v>255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248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249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250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251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252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253</v>
      </c>
      <c r="D624" s="540"/>
      <c r="E624" s="289">
        <f>'BD Team'!B65</f>
        <v>0</v>
      </c>
      <c r="F624" s="288" t="s">
        <v>254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246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177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247</v>
      </c>
      <c r="M628" s="540"/>
      <c r="N628" s="545" t="s">
        <v>255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248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249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250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251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252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253</v>
      </c>
      <c r="D635" s="540"/>
      <c r="E635" s="289">
        <f>'BD Team'!B66</f>
        <v>0</v>
      </c>
      <c r="F635" s="288" t="s">
        <v>254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246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177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247</v>
      </c>
      <c r="M639" s="540"/>
      <c r="N639" s="545" t="s">
        <v>255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248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249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250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251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252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253</v>
      </c>
      <c r="D646" s="540"/>
      <c r="E646" s="289">
        <f>'BD Team'!B67</f>
        <v>0</v>
      </c>
      <c r="F646" s="288" t="s">
        <v>254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246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177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247</v>
      </c>
      <c r="M650" s="540"/>
      <c r="N650" s="545" t="s">
        <v>255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248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249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250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251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252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253</v>
      </c>
      <c r="D657" s="540"/>
      <c r="E657" s="289">
        <f>'BD Team'!B68</f>
        <v>0</v>
      </c>
      <c r="F657" s="288" t="s">
        <v>254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246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177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247</v>
      </c>
      <c r="M661" s="540"/>
      <c r="N661" s="545" t="s">
        <v>255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248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249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250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251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252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253</v>
      </c>
      <c r="D668" s="540"/>
      <c r="E668" s="289">
        <f>'BD Team'!B69</f>
        <v>0</v>
      </c>
      <c r="F668" s="288" t="s">
        <v>254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246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177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247</v>
      </c>
      <c r="M672" s="540"/>
      <c r="N672" s="545" t="s">
        <v>255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248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249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250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251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252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253</v>
      </c>
      <c r="D679" s="540"/>
      <c r="E679" s="289">
        <f>'BD Team'!B70</f>
        <v>0</v>
      </c>
      <c r="F679" s="288" t="s">
        <v>254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246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177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247</v>
      </c>
      <c r="M683" s="540"/>
      <c r="N683" s="545" t="s">
        <v>255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248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249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250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251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252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253</v>
      </c>
      <c r="D690" s="540"/>
      <c r="E690" s="289">
        <f>'BD Team'!B71</f>
        <v>0</v>
      </c>
      <c r="F690" s="288" t="s">
        <v>254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246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177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247</v>
      </c>
      <c r="M694" s="540"/>
      <c r="N694" s="545" t="s">
        <v>255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248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249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250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251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252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253</v>
      </c>
      <c r="D701" s="540"/>
      <c r="E701" s="289">
        <f>'BD Team'!B72</f>
        <v>0</v>
      </c>
      <c r="F701" s="288" t="s">
        <v>254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246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177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247</v>
      </c>
      <c r="M705" s="540"/>
      <c r="N705" s="545" t="s">
        <v>255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248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249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250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251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252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253</v>
      </c>
      <c r="D712" s="540"/>
      <c r="E712" s="289">
        <f>'BD Team'!B73</f>
        <v>0</v>
      </c>
      <c r="F712" s="288" t="s">
        <v>254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246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177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247</v>
      </c>
      <c r="M716" s="540"/>
      <c r="N716" s="545" t="s">
        <v>255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248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249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250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251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252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253</v>
      </c>
      <c r="D723" s="540"/>
      <c r="E723" s="289">
        <f>'BD Team'!B74</f>
        <v>0</v>
      </c>
      <c r="F723" s="288" t="s">
        <v>254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246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177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247</v>
      </c>
      <c r="M727" s="540"/>
      <c r="N727" s="545" t="s">
        <v>255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248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249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250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251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252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253</v>
      </c>
      <c r="D734" s="540"/>
      <c r="E734" s="289">
        <f>'BD Team'!B75</f>
        <v>0</v>
      </c>
      <c r="F734" s="288" t="s">
        <v>254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246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177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247</v>
      </c>
      <c r="M738" s="540"/>
      <c r="N738" s="545" t="s">
        <v>255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248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249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250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251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252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253</v>
      </c>
      <c r="D745" s="540"/>
      <c r="E745" s="289">
        <f>'BD Team'!B76</f>
        <v>0</v>
      </c>
      <c r="F745" s="288" t="s">
        <v>254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246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177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247</v>
      </c>
      <c r="M749" s="540"/>
      <c r="N749" s="545" t="s">
        <v>255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248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249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250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251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252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253</v>
      </c>
      <c r="D756" s="540"/>
      <c r="E756" s="289">
        <f>'BD Team'!B77</f>
        <v>0</v>
      </c>
      <c r="F756" s="288" t="s">
        <v>254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246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177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247</v>
      </c>
      <c r="M760" s="540"/>
      <c r="N760" s="545" t="s">
        <v>255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248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249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250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251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252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253</v>
      </c>
      <c r="D767" s="540"/>
      <c r="E767" s="289">
        <f>'BD Team'!B78</f>
        <v>0</v>
      </c>
      <c r="F767" s="288" t="s">
        <v>254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246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177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247</v>
      </c>
      <c r="M771" s="540"/>
      <c r="N771" s="545" t="s">
        <v>255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248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249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250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251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252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253</v>
      </c>
      <c r="D778" s="540"/>
      <c r="E778" s="289">
        <f>'BD Team'!B79</f>
        <v>0</v>
      </c>
      <c r="F778" s="288" t="s">
        <v>254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246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177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247</v>
      </c>
      <c r="M782" s="540"/>
      <c r="N782" s="545" t="s">
        <v>255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248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249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250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251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252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253</v>
      </c>
      <c r="D789" s="540"/>
      <c r="E789" s="289">
        <f>'BD Team'!B80</f>
        <v>0</v>
      </c>
      <c r="F789" s="288" t="s">
        <v>254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246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177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247</v>
      </c>
      <c r="M793" s="540"/>
      <c r="N793" s="545" t="s">
        <v>255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248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249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250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251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252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253</v>
      </c>
      <c r="D800" s="540"/>
      <c r="E800" s="289">
        <f>'BD Team'!B81</f>
        <v>0</v>
      </c>
      <c r="F800" s="288" t="s">
        <v>254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246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177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247</v>
      </c>
      <c r="M804" s="540"/>
      <c r="N804" s="545" t="s">
        <v>255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248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249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250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251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252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253</v>
      </c>
      <c r="D811" s="540"/>
      <c r="E811" s="289">
        <f>'BD Team'!B82</f>
        <v>0</v>
      </c>
      <c r="F811" s="288" t="s">
        <v>254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246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177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247</v>
      </c>
      <c r="M815" s="540"/>
      <c r="N815" s="545" t="s">
        <v>255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248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249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250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251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252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253</v>
      </c>
      <c r="D822" s="540"/>
      <c r="E822" s="289">
        <f>'BD Team'!B83</f>
        <v>0</v>
      </c>
      <c r="F822" s="288" t="s">
        <v>254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246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177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247</v>
      </c>
      <c r="M826" s="540"/>
      <c r="N826" s="545" t="s">
        <v>255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248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249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250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251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252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253</v>
      </c>
      <c r="D833" s="540"/>
      <c r="E833" s="289">
        <f>'BD Team'!B84</f>
        <v>0</v>
      </c>
      <c r="F833" s="288" t="s">
        <v>254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246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177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247</v>
      </c>
      <c r="M837" s="540"/>
      <c r="N837" s="545" t="s">
        <v>255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248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249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250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251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252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253</v>
      </c>
      <c r="D844" s="540"/>
      <c r="E844" s="289">
        <f>'BD Team'!B85</f>
        <v>0</v>
      </c>
      <c r="F844" s="288" t="s">
        <v>254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246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177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247</v>
      </c>
      <c r="M848" s="540"/>
      <c r="N848" s="545" t="s">
        <v>255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248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249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250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251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252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253</v>
      </c>
      <c r="D855" s="540"/>
      <c r="E855" s="289">
        <f>'BD Team'!B86</f>
        <v>0</v>
      </c>
      <c r="F855" s="288" t="s">
        <v>254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246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177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247</v>
      </c>
      <c r="M859" s="540"/>
      <c r="N859" s="545" t="s">
        <v>255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248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249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250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251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252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253</v>
      </c>
      <c r="D866" s="540"/>
      <c r="E866" s="289">
        <f>'BD Team'!B87</f>
        <v>0</v>
      </c>
      <c r="F866" s="288" t="s">
        <v>254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246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177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247</v>
      </c>
      <c r="M870" s="540"/>
      <c r="N870" s="545" t="s">
        <v>255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248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249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250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251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252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253</v>
      </c>
      <c r="D877" s="540"/>
      <c r="E877" s="289">
        <f>'BD Team'!B88</f>
        <v>0</v>
      </c>
      <c r="F877" s="288" t="s">
        <v>254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246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177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247</v>
      </c>
      <c r="M881" s="540"/>
      <c r="N881" s="545" t="s">
        <v>255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248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249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250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251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252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253</v>
      </c>
      <c r="D888" s="540"/>
      <c r="E888" s="289">
        <f>'BD Team'!B89</f>
        <v>0</v>
      </c>
      <c r="F888" s="288" t="s">
        <v>254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246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177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247</v>
      </c>
      <c r="M892" s="540"/>
      <c r="N892" s="545" t="s">
        <v>255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248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249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250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251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252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253</v>
      </c>
      <c r="D899" s="540"/>
      <c r="E899" s="289">
        <f>'BD Team'!B90</f>
        <v>0</v>
      </c>
      <c r="F899" s="288" t="s">
        <v>254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246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177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247</v>
      </c>
      <c r="M903" s="540"/>
      <c r="N903" s="545" t="s">
        <v>255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248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249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250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251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252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253</v>
      </c>
      <c r="D910" s="540"/>
      <c r="E910" s="289">
        <f>'BD Team'!B91</f>
        <v>0</v>
      </c>
      <c r="F910" s="288" t="s">
        <v>254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246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177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247</v>
      </c>
      <c r="M914" s="540"/>
      <c r="N914" s="545" t="s">
        <v>255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248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249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250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251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252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253</v>
      </c>
      <c r="D921" s="540"/>
      <c r="E921" s="289">
        <f>'BD Team'!B92</f>
        <v>0</v>
      </c>
      <c r="F921" s="288" t="s">
        <v>254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246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177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247</v>
      </c>
      <c r="M925" s="540"/>
      <c r="N925" s="545" t="s">
        <v>255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248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249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250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251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252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253</v>
      </c>
      <c r="D932" s="540"/>
      <c r="E932" s="289">
        <f>'BD Team'!B93</f>
        <v>0</v>
      </c>
      <c r="F932" s="288" t="s">
        <v>254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246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177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247</v>
      </c>
      <c r="M936" s="540"/>
      <c r="N936" s="545" t="s">
        <v>255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248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249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250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251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252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253</v>
      </c>
      <c r="D943" s="540"/>
      <c r="E943" s="289">
        <f>'BD Team'!B94</f>
        <v>0</v>
      </c>
      <c r="F943" s="288" t="s">
        <v>254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246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177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247</v>
      </c>
      <c r="M947" s="540"/>
      <c r="N947" s="545" t="s">
        <v>255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248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249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250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251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252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253</v>
      </c>
      <c r="D954" s="540"/>
      <c r="E954" s="289">
        <f>'BD Team'!B95</f>
        <v>0</v>
      </c>
      <c r="F954" s="288" t="s">
        <v>254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246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177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247</v>
      </c>
      <c r="M958" s="540"/>
      <c r="N958" s="545" t="s">
        <v>255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248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249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250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251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252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253</v>
      </c>
      <c r="D965" s="540"/>
      <c r="E965" s="289">
        <f>'BD Team'!B96</f>
        <v>0</v>
      </c>
      <c r="F965" s="288" t="s">
        <v>254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246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177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247</v>
      </c>
      <c r="M969" s="540"/>
      <c r="N969" s="545" t="s">
        <v>255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248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249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250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251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252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253</v>
      </c>
      <c r="D976" s="540"/>
      <c r="E976" s="289">
        <f>'BD Team'!B97</f>
        <v>0</v>
      </c>
      <c r="F976" s="288" t="s">
        <v>254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246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177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247</v>
      </c>
      <c r="M980" s="540"/>
      <c r="N980" s="545" t="s">
        <v>255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248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249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250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251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252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253</v>
      </c>
      <c r="D987" s="540"/>
      <c r="E987" s="289">
        <f>'BD Team'!B98</f>
        <v>0</v>
      </c>
      <c r="F987" s="288" t="s">
        <v>254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246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177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247</v>
      </c>
      <c r="M991" s="540"/>
      <c r="N991" s="545" t="s">
        <v>255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248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249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250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251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252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253</v>
      </c>
      <c r="D998" s="540"/>
      <c r="E998" s="289">
        <f>'BD Team'!B99</f>
        <v>0</v>
      </c>
      <c r="F998" s="288" t="s">
        <v>254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246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177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247</v>
      </c>
      <c r="M1002" s="540"/>
      <c r="N1002" s="545" t="s">
        <v>255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248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249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250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251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252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253</v>
      </c>
      <c r="D1009" s="540"/>
      <c r="E1009" s="289">
        <f>'BD Team'!B100</f>
        <v>0</v>
      </c>
      <c r="F1009" s="288" t="s">
        <v>254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246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177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247</v>
      </c>
      <c r="M1013" s="540"/>
      <c r="N1013" s="545" t="s">
        <v>255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248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249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250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251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252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253</v>
      </c>
      <c r="D1020" s="540"/>
      <c r="E1020" s="289">
        <f>'BD Team'!B101</f>
        <v>0</v>
      </c>
      <c r="F1020" s="288" t="s">
        <v>254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246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177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247</v>
      </c>
      <c r="M1024" s="540"/>
      <c r="N1024" s="545" t="s">
        <v>255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248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249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250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251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252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253</v>
      </c>
      <c r="D1031" s="540"/>
      <c r="E1031" s="289">
        <f>'BD Team'!B102</f>
        <v>0</v>
      </c>
      <c r="F1031" s="288" t="s">
        <v>254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246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177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247</v>
      </c>
      <c r="M1035" s="540"/>
      <c r="N1035" s="545" t="s">
        <v>255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248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249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250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251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252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253</v>
      </c>
      <c r="D1042" s="540"/>
      <c r="E1042" s="289">
        <f>'BD Team'!B103</f>
        <v>0</v>
      </c>
      <c r="F1042" s="288" t="s">
        <v>254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246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177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247</v>
      </c>
      <c r="M1046" s="540"/>
      <c r="N1046" s="545" t="s">
        <v>255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248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249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250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251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252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253</v>
      </c>
      <c r="D1053" s="540"/>
      <c r="E1053" s="289">
        <f>'BD Team'!B104</f>
        <v>0</v>
      </c>
      <c r="F1053" s="288" t="s">
        <v>254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246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177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247</v>
      </c>
      <c r="M1057" s="540"/>
      <c r="N1057" s="545" t="s">
        <v>255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248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249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250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251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252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253</v>
      </c>
      <c r="D1064" s="540"/>
      <c r="E1064" s="289">
        <f>'BD Team'!B105</f>
        <v>0</v>
      </c>
      <c r="F1064" s="288" t="s">
        <v>254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246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177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247</v>
      </c>
      <c r="M1068" s="540"/>
      <c r="N1068" s="545" t="s">
        <v>255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248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249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250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251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252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253</v>
      </c>
      <c r="D1075" s="540"/>
      <c r="E1075" s="289">
        <f>'BD Team'!B106</f>
        <v>0</v>
      </c>
      <c r="F1075" s="288" t="s">
        <v>254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246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177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247</v>
      </c>
      <c r="M1079" s="540"/>
      <c r="N1079" s="545" t="s">
        <v>255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248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249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250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251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252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253</v>
      </c>
      <c r="D1086" s="540"/>
      <c r="E1086" s="289">
        <f>'BD Team'!B107</f>
        <v>0</v>
      </c>
      <c r="F1086" s="288" t="s">
        <v>254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246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177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247</v>
      </c>
      <c r="M1090" s="540"/>
      <c r="N1090" s="545" t="s">
        <v>255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248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249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250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251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252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253</v>
      </c>
      <c r="D1097" s="540"/>
      <c r="E1097" s="289">
        <f>'BD Team'!B108</f>
        <v>0</v>
      </c>
      <c r="F1097" s="288" t="s">
        <v>254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246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177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247</v>
      </c>
      <c r="M1101" s="540"/>
      <c r="N1101" s="545" t="s">
        <v>255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248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249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250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251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252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907</v>
      </c>
    </row>
    <row r="5" spans="3:5">
      <c r="C5" s="236" t="s">
        <v>395</v>
      </c>
      <c r="D5" s="236" t="s">
        <v>393</v>
      </c>
      <c r="E5" s="309">
        <f>ROUND(Pricing!U104,0.1)/40</f>
        <v>27.2</v>
      </c>
    </row>
    <row r="6" spans="3:5">
      <c r="C6" s="236" t="s">
        <v>83</v>
      </c>
      <c r="D6" s="236" t="s">
        <v>392</v>
      </c>
      <c r="E6" s="309">
        <f>ROUND(Pricing!V104,0.1)</f>
        <v>57</v>
      </c>
    </row>
    <row r="7" spans="3:5">
      <c r="C7" s="236" t="s">
        <v>399</v>
      </c>
      <c r="D7" s="236" t="s">
        <v>391</v>
      </c>
      <c r="E7" s="309">
        <f>ROUND(Pricing!W104,0.1)</f>
        <v>907</v>
      </c>
    </row>
    <row r="8" spans="3:5">
      <c r="C8" s="236" t="s">
        <v>396</v>
      </c>
      <c r="D8" s="236" t="s">
        <v>391</v>
      </c>
      <c r="E8" s="309">
        <f>ROUND(Pricing!X104,0.1)</f>
        <v>1813</v>
      </c>
    </row>
    <row r="9" spans="3:5">
      <c r="C9" t="s">
        <v>222</v>
      </c>
      <c r="D9" s="236" t="s">
        <v>394</v>
      </c>
      <c r="E9" s="309">
        <f>ROUND(Pricing!Y104,0.1)</f>
        <v>544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0"/>
  <sheetViews>
    <sheetView topLeftCell="A19" workbookViewId="0">
      <selection activeCell="A31" sqref="A31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FW1</v>
      </c>
      <c r="B2" s="318" t="str">
        <f>'BD Team'!C9</f>
        <v>M15000</v>
      </c>
      <c r="C2" s="318" t="str">
        <f>'BD Team'!D9</f>
        <v>FIXED GLASS WITH SILICON JOINT</v>
      </c>
      <c r="D2" s="318" t="str">
        <f>'BD Team'!E9</f>
        <v>12MM</v>
      </c>
      <c r="E2" s="318" t="str">
        <f>'BD Team'!G9</f>
        <v>GROUND FLOOR</v>
      </c>
      <c r="F2" s="318" t="str">
        <f>'BD Team'!F9</f>
        <v>NO</v>
      </c>
      <c r="I2" s="318">
        <f>'BD Team'!H9</f>
        <v>5488</v>
      </c>
      <c r="J2" s="318">
        <f>'BD Team'!I9</f>
        <v>1982</v>
      </c>
      <c r="K2" s="318">
        <f>'BD Team'!J9</f>
        <v>1</v>
      </c>
      <c r="L2" s="319">
        <f>'BD Team'!K9</f>
        <v>124.27</v>
      </c>
      <c r="M2" s="318">
        <f>Pricing!O4</f>
        <v>1890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</v>
      </c>
      <c r="B3" s="318" t="str">
        <f>'BD Team'!C10</f>
        <v>M940</v>
      </c>
      <c r="C3" s="318" t="str">
        <f>'BD Team'!D10</f>
        <v>FIXED GLASS TOP &amp; BOTTOM</v>
      </c>
      <c r="D3" s="318" t="str">
        <f>'BD Team'!E10</f>
        <v>12MM</v>
      </c>
      <c r="E3" s="318" t="str">
        <f>'BD Team'!G10</f>
        <v>GROUND FLOOR</v>
      </c>
      <c r="F3" s="318" t="str">
        <f>'BD Team'!F10</f>
        <v>NO</v>
      </c>
      <c r="I3" s="318">
        <f>'BD Team'!H10</f>
        <v>916</v>
      </c>
      <c r="J3" s="318">
        <f>'BD Team'!I10</f>
        <v>1220</v>
      </c>
      <c r="K3" s="318">
        <f>'BD Team'!J10</f>
        <v>1</v>
      </c>
      <c r="L3" s="319">
        <f>'BD Team'!K10</f>
        <v>112.6</v>
      </c>
      <c r="M3" s="318">
        <f>Pricing!O5</f>
        <v>1890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W4</v>
      </c>
      <c r="B4" s="318" t="str">
        <f>'BD Team'!C11</f>
        <v>M14600 &amp; M940</v>
      </c>
      <c r="C4" s="318" t="str">
        <f>'BD Team'!D11</f>
        <v>3 TRACK 2 SHUTTER SLIDING DOOR WITH 2 FIXED</v>
      </c>
      <c r="D4" s="318" t="str">
        <f>'BD Team'!E11</f>
        <v>12MM &amp; 8MM</v>
      </c>
      <c r="E4" s="318" t="str">
        <f>'BD Team'!G11</f>
        <v>GROUND FLOOR</v>
      </c>
      <c r="F4" s="318" t="str">
        <f>'BD Team'!F11</f>
        <v>SS</v>
      </c>
      <c r="I4" s="318">
        <f>'BD Team'!H11</f>
        <v>3354</v>
      </c>
      <c r="J4" s="318">
        <f>'BD Team'!I11</f>
        <v>2440</v>
      </c>
      <c r="K4" s="318">
        <f>'BD Team'!J11</f>
        <v>1</v>
      </c>
      <c r="L4" s="319">
        <f>'BD Team'!K11</f>
        <v>606.41999999999996</v>
      </c>
      <c r="M4" s="318">
        <f>Pricing!O6</f>
        <v>1890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W1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8MM</v>
      </c>
      <c r="E5" s="318" t="str">
        <f>'BD Team'!G12</f>
        <v>GROUND FLOOR</v>
      </c>
      <c r="F5" s="318" t="str">
        <f>'BD Team'!F12</f>
        <v>SS</v>
      </c>
      <c r="I5" s="318">
        <f>'BD Team'!H12</f>
        <v>1372</v>
      </c>
      <c r="J5" s="318">
        <f>'BD Team'!I12</f>
        <v>1220</v>
      </c>
      <c r="K5" s="318">
        <f>'BD Team'!J12</f>
        <v>1</v>
      </c>
      <c r="L5" s="319">
        <f>'BD Team'!K12</f>
        <v>139.01</v>
      </c>
      <c r="M5" s="318">
        <f>Pricing!O7</f>
        <v>1322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W3</v>
      </c>
      <c r="B6" s="318" t="str">
        <f>'BD Team'!C13</f>
        <v>M15000</v>
      </c>
      <c r="C6" s="318" t="str">
        <f>'BD Team'!D13</f>
        <v>2 SIDE HUNG DOORS WITH CENTER FIXED WITH SILICON JOINT</v>
      </c>
      <c r="D6" s="318" t="str">
        <f>'BD Team'!E13</f>
        <v>12MM &amp; 8MM</v>
      </c>
      <c r="E6" s="318" t="str">
        <f>'BD Team'!G13</f>
        <v>FIRST FLOOR</v>
      </c>
      <c r="F6" s="318" t="str">
        <f>'BD Team'!F13</f>
        <v>NO</v>
      </c>
      <c r="I6" s="318">
        <f>'BD Team'!H13</f>
        <v>5640</v>
      </c>
      <c r="J6" s="318">
        <f>'BD Team'!I13</f>
        <v>2592</v>
      </c>
      <c r="K6" s="318">
        <f>'BD Team'!J13</f>
        <v>1</v>
      </c>
      <c r="L6" s="319">
        <f>'BD Team'!K13</f>
        <v>1019.59</v>
      </c>
      <c r="M6" s="318">
        <f>Pricing!O8</f>
        <v>1890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W10</v>
      </c>
      <c r="B7" s="318" t="str">
        <f>'BD Team'!C14</f>
        <v>M15000</v>
      </c>
      <c r="C7" s="318" t="str">
        <f>'BD Team'!D14</f>
        <v>FIXED GLASS</v>
      </c>
      <c r="D7" s="318" t="str">
        <f>'BD Team'!E14</f>
        <v>12MM</v>
      </c>
      <c r="E7" s="318" t="str">
        <f>'BD Team'!G14</f>
        <v>FIRST FLOOR</v>
      </c>
      <c r="F7" s="318" t="str">
        <f>'BD Team'!F14</f>
        <v>NO</v>
      </c>
      <c r="I7" s="318">
        <f>'BD Team'!H14</f>
        <v>2794</v>
      </c>
      <c r="J7" s="318">
        <f>'BD Team'!I14</f>
        <v>1678</v>
      </c>
      <c r="K7" s="318">
        <f>'BD Team'!J14</f>
        <v>1</v>
      </c>
      <c r="L7" s="319">
        <f>'BD Team'!K14</f>
        <v>78.680000000000007</v>
      </c>
      <c r="M7" s="318">
        <f>Pricing!O9</f>
        <v>1890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FIXED GLASS WITH SILICON JOINT</v>
      </c>
      <c r="D8" s="318" t="str">
        <f>'BD Team'!E15</f>
        <v>12MM</v>
      </c>
      <c r="E8" s="318" t="str">
        <f>'BD Team'!G15</f>
        <v>FIRST FLOOR</v>
      </c>
      <c r="F8" s="318" t="str">
        <f>'BD Team'!F15</f>
        <v>NO</v>
      </c>
      <c r="I8" s="318">
        <f>'BD Team'!H15</f>
        <v>3500</v>
      </c>
      <c r="J8" s="318">
        <f>'BD Team'!I15</f>
        <v>610</v>
      </c>
      <c r="K8" s="318">
        <f>'BD Team'!J15</f>
        <v>1</v>
      </c>
      <c r="L8" s="319">
        <f>'BD Team'!K15</f>
        <v>73.17</v>
      </c>
      <c r="M8" s="318">
        <f>Pricing!O10</f>
        <v>1890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W5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8MM</v>
      </c>
      <c r="E9" s="318" t="str">
        <f>'BD Team'!G16</f>
        <v>FIRST FLOOR</v>
      </c>
      <c r="F9" s="318" t="str">
        <f>'BD Team'!F16</f>
        <v>SS</v>
      </c>
      <c r="I9" s="318">
        <f>'BD Team'!H16</f>
        <v>1220</v>
      </c>
      <c r="J9" s="318">
        <f>'BD Team'!I16</f>
        <v>1678</v>
      </c>
      <c r="K9" s="318">
        <f>'BD Team'!J16</f>
        <v>2</v>
      </c>
      <c r="L9" s="319">
        <f>'BD Team'!K16</f>
        <v>160.05000000000001</v>
      </c>
      <c r="M9" s="318">
        <f>Pricing!O11</f>
        <v>1322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FD1</v>
      </c>
      <c r="B10" s="318" t="str">
        <f>'BD Team'!C17</f>
        <v>M9800</v>
      </c>
      <c r="C10" s="318" t="str">
        <f>'BD Team'!D17</f>
        <v>4 LEAF SLIDE &amp; FOLD DOOR</v>
      </c>
      <c r="D10" s="318" t="str">
        <f>'BD Team'!E17</f>
        <v>8MM</v>
      </c>
      <c r="E10" s="318" t="str">
        <f>'BD Team'!G17</f>
        <v>FIRST FLOOR</v>
      </c>
      <c r="F10" s="318" t="str">
        <f>'BD Team'!F17</f>
        <v>NO</v>
      </c>
      <c r="I10" s="318">
        <f>'BD Team'!H17</f>
        <v>2540</v>
      </c>
      <c r="J10" s="318">
        <f>'BD Team'!I17</f>
        <v>2744</v>
      </c>
      <c r="K10" s="318">
        <f>'BD Team'!J17</f>
        <v>1</v>
      </c>
      <c r="L10" s="319">
        <f>'BD Team'!K17</f>
        <v>810.77</v>
      </c>
      <c r="M10" s="318">
        <f>Pricing!O12</f>
        <v>1322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</v>
      </c>
      <c r="B11" s="318" t="str">
        <f>'BD Team'!C18</f>
        <v>M14600</v>
      </c>
      <c r="C11" s="318" t="str">
        <f>'BD Team'!D18</f>
        <v>3 TRACK 2 SHUTTER SLIDING WINDOW</v>
      </c>
      <c r="D11" s="318" t="str">
        <f>'BD Team'!E18</f>
        <v>8MM</v>
      </c>
      <c r="E11" s="318" t="str">
        <f>'BD Team'!G18</f>
        <v>FIRST FLOOR</v>
      </c>
      <c r="F11" s="318" t="str">
        <f>'BD Team'!F18</f>
        <v>SS</v>
      </c>
      <c r="I11" s="318">
        <f>'BD Team'!H18</f>
        <v>916</v>
      </c>
      <c r="J11" s="318">
        <f>'BD Team'!I18</f>
        <v>2338</v>
      </c>
      <c r="K11" s="318">
        <f>'BD Team'!J18</f>
        <v>1</v>
      </c>
      <c r="L11" s="319">
        <f>'BD Team'!K18</f>
        <v>379.92</v>
      </c>
      <c r="M11" s="318">
        <f>Pricing!O13</f>
        <v>1322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W8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12MM</v>
      </c>
      <c r="E12" s="318" t="str">
        <f>'BD Team'!G19</f>
        <v>FIRST FLOOR</v>
      </c>
      <c r="F12" s="318" t="str">
        <f>'BD Team'!F19</f>
        <v>NO</v>
      </c>
      <c r="I12" s="318">
        <f>'BD Team'!H19</f>
        <v>560</v>
      </c>
      <c r="J12" s="318">
        <f>'BD Team'!I19</f>
        <v>2388</v>
      </c>
      <c r="K12" s="318">
        <f>'BD Team'!J19</f>
        <v>1</v>
      </c>
      <c r="L12" s="319">
        <f>'BD Team'!K19</f>
        <v>55.5</v>
      </c>
      <c r="M12" s="318">
        <f>Pricing!O14</f>
        <v>1890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W5 GR</v>
      </c>
      <c r="B13" s="318" t="str">
        <f>'BD Team'!C20</f>
        <v>M900</v>
      </c>
      <c r="C13" s="318" t="str">
        <f>'BD Team'!D20</f>
        <v>3 TRACK 2 SHUTTER SLIDING WINDOW</v>
      </c>
      <c r="D13" s="318" t="str">
        <f>'BD Team'!E20</f>
        <v>8MM</v>
      </c>
      <c r="E13" s="318" t="str">
        <f>'BD Team'!G20</f>
        <v>FIRST FLOOR</v>
      </c>
      <c r="F13" s="318" t="str">
        <f>'BD Team'!F20</f>
        <v>SS</v>
      </c>
      <c r="I13" s="318">
        <f>'BD Team'!H20</f>
        <v>1220</v>
      </c>
      <c r="J13" s="318">
        <f>'BD Team'!I20</f>
        <v>1678</v>
      </c>
      <c r="K13" s="318">
        <f>'BD Team'!J20</f>
        <v>1</v>
      </c>
      <c r="L13" s="319">
        <f>'BD Team'!K20</f>
        <v>160.05000000000001</v>
      </c>
      <c r="M13" s="318">
        <f>Pricing!O15</f>
        <v>1322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W9A</v>
      </c>
      <c r="B14" s="318" t="str">
        <f>'BD Team'!C21</f>
        <v>M14600</v>
      </c>
      <c r="C14" s="318" t="str">
        <f>'BD Team'!D21</f>
        <v>3 TRACK 2 SHUTTER SLIDING WINDOW</v>
      </c>
      <c r="D14" s="318" t="str">
        <f>'BD Team'!E21</f>
        <v>8MM</v>
      </c>
      <c r="E14" s="318" t="str">
        <f>'BD Team'!G21</f>
        <v>FIRST FLOOR</v>
      </c>
      <c r="F14" s="318" t="str">
        <f>'BD Team'!F21</f>
        <v>SS</v>
      </c>
      <c r="I14" s="318">
        <f>'BD Team'!H21</f>
        <v>916</v>
      </c>
      <c r="J14" s="318">
        <f>'BD Team'!I21</f>
        <v>2338</v>
      </c>
      <c r="K14" s="318">
        <f>'BD Team'!J21</f>
        <v>1</v>
      </c>
      <c r="L14" s="319">
        <f>'BD Team'!K21</f>
        <v>402.82</v>
      </c>
      <c r="M14" s="318">
        <f>Pricing!O16</f>
        <v>1322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W9B</v>
      </c>
      <c r="B15" s="318" t="str">
        <f>'BD Team'!C22</f>
        <v>M15000</v>
      </c>
      <c r="C15" s="318" t="str">
        <f>'BD Team'!D22</f>
        <v>FIXED GLASS CORNOR WINDOW</v>
      </c>
      <c r="D15" s="318" t="str">
        <f>'BD Team'!E22</f>
        <v>12MM</v>
      </c>
      <c r="E15" s="318" t="str">
        <f>'BD Team'!G22</f>
        <v>FIRST FLOOR</v>
      </c>
      <c r="F15" s="318" t="str">
        <f>'BD Team'!F22</f>
        <v>NO</v>
      </c>
      <c r="I15" s="318">
        <f>'BD Team'!H22</f>
        <v>1108</v>
      </c>
      <c r="J15" s="318">
        <f>'BD Team'!I22</f>
        <v>2338</v>
      </c>
      <c r="K15" s="318">
        <f>'BD Team'!J22</f>
        <v>1</v>
      </c>
      <c r="L15" s="319">
        <f>'BD Team'!K22</f>
        <v>63.19</v>
      </c>
      <c r="M15" s="318">
        <f>Pricing!O17</f>
        <v>1890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W4</v>
      </c>
      <c r="B16" s="318" t="str">
        <f>'BD Team'!C23</f>
        <v>M15000</v>
      </c>
      <c r="C16" s="318" t="str">
        <f>'BD Team'!D23</f>
        <v>FIXED GLASS 3 NO'S</v>
      </c>
      <c r="D16" s="318" t="str">
        <f>'BD Team'!E23</f>
        <v>12MM</v>
      </c>
      <c r="E16" s="318" t="str">
        <f>'BD Team'!G23</f>
        <v>SECOND FLOOR</v>
      </c>
      <c r="F16" s="318" t="str">
        <f>'BD Team'!F23</f>
        <v>NO</v>
      </c>
      <c r="I16" s="318">
        <f>'BD Team'!H23</f>
        <v>2896</v>
      </c>
      <c r="J16" s="318">
        <f>'BD Team'!I23</f>
        <v>762</v>
      </c>
      <c r="K16" s="318">
        <f>'BD Team'!J23</f>
        <v>1</v>
      </c>
      <c r="L16" s="319">
        <f>'BD Team'!K23</f>
        <v>128.66999999999999</v>
      </c>
      <c r="M16" s="318">
        <f>Pricing!O18</f>
        <v>1890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FD1 TOP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12MM</v>
      </c>
      <c r="E17" s="318" t="str">
        <f>'BD Team'!G24</f>
        <v>SECOND FLOOR</v>
      </c>
      <c r="F17" s="318" t="str">
        <f>'BD Team'!F24</f>
        <v>NO</v>
      </c>
      <c r="I17" s="318">
        <f>'BD Team'!H24</f>
        <v>3658</v>
      </c>
      <c r="J17" s="318">
        <f>'BD Team'!I24</f>
        <v>610</v>
      </c>
      <c r="K17" s="318">
        <f>'BD Team'!J24</f>
        <v>1</v>
      </c>
      <c r="L17" s="319">
        <f>'BD Team'!K24</f>
        <v>75.569999999999993</v>
      </c>
      <c r="M17" s="318">
        <f>Pricing!O19</f>
        <v>1890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FD1</v>
      </c>
      <c r="B18" s="318" t="str">
        <f>'BD Team'!C25</f>
        <v>M9800</v>
      </c>
      <c r="C18" s="318" t="str">
        <f>'BD Team'!D25</f>
        <v>6 LEAF SLIDE &amp; FOLD DOOR</v>
      </c>
      <c r="D18" s="318" t="str">
        <f>'BD Team'!E25</f>
        <v>8MM</v>
      </c>
      <c r="E18" s="318" t="str">
        <f>'BD Team'!G25</f>
        <v>SECOND FLOOR</v>
      </c>
      <c r="F18" s="318" t="str">
        <f>'BD Team'!F25</f>
        <v>NO</v>
      </c>
      <c r="I18" s="318">
        <f>'BD Team'!H25</f>
        <v>3658</v>
      </c>
      <c r="J18" s="318">
        <f>'BD Team'!I25</f>
        <v>2744</v>
      </c>
      <c r="K18" s="318">
        <f>'BD Team'!J25</f>
        <v>1</v>
      </c>
      <c r="L18" s="319">
        <f>'BD Team'!K25</f>
        <v>1176.74</v>
      </c>
      <c r="M18" s="318">
        <f>Pricing!O20</f>
        <v>1322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FD2</v>
      </c>
      <c r="B19" s="318" t="str">
        <f>'BD Team'!C26</f>
        <v>M9800</v>
      </c>
      <c r="C19" s="318" t="str">
        <f>'BD Team'!D26</f>
        <v>4 LEAF SLIDE &amp; FOLD DOOR</v>
      </c>
      <c r="D19" s="318" t="str">
        <f>'BD Team'!E26</f>
        <v>8MM</v>
      </c>
      <c r="E19" s="318" t="str">
        <f>'BD Team'!G26</f>
        <v>SECOND FLOOR</v>
      </c>
      <c r="F19" s="318" t="str">
        <f>'BD Team'!F26</f>
        <v>NO</v>
      </c>
      <c r="I19" s="318">
        <f>'BD Team'!H26</f>
        <v>2440</v>
      </c>
      <c r="J19" s="318">
        <f>'BD Team'!I26</f>
        <v>2744</v>
      </c>
      <c r="K19" s="318">
        <f>'BD Team'!J26</f>
        <v>1</v>
      </c>
      <c r="L19" s="319">
        <f>'BD Team'!K26</f>
        <v>805.28</v>
      </c>
      <c r="M19" s="318">
        <f>Pricing!O21</f>
        <v>1322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W3</v>
      </c>
      <c r="B20" s="318" t="str">
        <f>'BD Team'!C27</f>
        <v>M900</v>
      </c>
      <c r="C20" s="318" t="str">
        <f>'BD Team'!D27</f>
        <v>3 TRACK 2 SHUTTER SLIDING WINDOW</v>
      </c>
      <c r="D20" s="318" t="str">
        <f>'BD Team'!E27</f>
        <v>8MM</v>
      </c>
      <c r="E20" s="318" t="str">
        <f>'BD Team'!G27</f>
        <v>SECOND FLOOR</v>
      </c>
      <c r="F20" s="318" t="str">
        <f>'BD Team'!F27</f>
        <v>SS</v>
      </c>
      <c r="I20" s="318">
        <f>'BD Team'!H27</f>
        <v>1754</v>
      </c>
      <c r="J20" s="318">
        <f>'BD Team'!I27</f>
        <v>1220</v>
      </c>
      <c r="K20" s="318">
        <f>'BD Team'!J27</f>
        <v>1</v>
      </c>
      <c r="L20" s="319">
        <f>'BD Team'!K27</f>
        <v>151.19</v>
      </c>
      <c r="M20" s="318">
        <f>Pricing!O22</f>
        <v>1322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W2A</v>
      </c>
      <c r="B21" s="318" t="str">
        <f>'BD Team'!C28</f>
        <v>M14600</v>
      </c>
      <c r="C21" s="318" t="str">
        <f>'BD Team'!D28</f>
        <v>3 TRACK 2 SHUTTER SLIDING WINDOW</v>
      </c>
      <c r="D21" s="318" t="str">
        <f>'BD Team'!E28</f>
        <v>8MM</v>
      </c>
      <c r="E21" s="318" t="str">
        <f>'BD Team'!G28</f>
        <v>SECOND FLOOR</v>
      </c>
      <c r="F21" s="318" t="str">
        <f>'BD Team'!F28</f>
        <v>SS</v>
      </c>
      <c r="I21" s="318">
        <f>'BD Team'!H28</f>
        <v>1068</v>
      </c>
      <c r="J21" s="318">
        <f>'BD Team'!I28</f>
        <v>1830</v>
      </c>
      <c r="K21" s="318">
        <f>'BD Team'!J28</f>
        <v>1</v>
      </c>
      <c r="L21" s="319">
        <f>'BD Team'!K28</f>
        <v>345.5</v>
      </c>
      <c r="M21" s="318">
        <f>Pricing!O23</f>
        <v>1322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W2B</v>
      </c>
      <c r="B22" s="318" t="str">
        <f>'BD Team'!C29</f>
        <v>M15000</v>
      </c>
      <c r="C22" s="318" t="str">
        <f>'BD Team'!D29</f>
        <v>FIXED GLASS CORNOR WINDOW</v>
      </c>
      <c r="D22" s="318" t="str">
        <f>'BD Team'!E29</f>
        <v>12MM</v>
      </c>
      <c r="E22" s="318" t="str">
        <f>'BD Team'!G29</f>
        <v>SECOND FLOOR</v>
      </c>
      <c r="F22" s="318" t="str">
        <f>'BD Team'!F29</f>
        <v>NO</v>
      </c>
      <c r="I22" s="318">
        <f>'BD Team'!H29</f>
        <v>2296</v>
      </c>
      <c r="J22" s="318">
        <f>'BD Team'!I29</f>
        <v>1830</v>
      </c>
      <c r="K22" s="318">
        <f>'BD Team'!J29</f>
        <v>1</v>
      </c>
      <c r="L22" s="319">
        <f>'BD Team'!K29</f>
        <v>230.33</v>
      </c>
      <c r="M22" s="318">
        <f>Pricing!O24</f>
        <v>1890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W5</v>
      </c>
      <c r="B23" s="318" t="str">
        <f>'BD Team'!C30</f>
        <v>M15000</v>
      </c>
      <c r="C23" s="318" t="str">
        <f>'BD Team'!D30</f>
        <v>FIXED GLASS WITH EXHAUST FAN PROVISION</v>
      </c>
      <c r="D23" s="318" t="str">
        <f>'BD Team'!E30</f>
        <v>12MM (F)</v>
      </c>
      <c r="E23" s="318" t="str">
        <f>'BD Team'!G30</f>
        <v>SECOND FLOOR</v>
      </c>
      <c r="F23" s="318" t="str">
        <f>'BD Team'!F30</f>
        <v>NO</v>
      </c>
      <c r="I23" s="318">
        <f>'BD Team'!H30</f>
        <v>382</v>
      </c>
      <c r="J23" s="318">
        <f>'BD Team'!I30</f>
        <v>1754</v>
      </c>
      <c r="K23" s="318">
        <f>'BD Team'!J30</f>
        <v>1</v>
      </c>
      <c r="L23" s="319">
        <f>'BD Team'!K30</f>
        <v>66.3</v>
      </c>
      <c r="M23" s="318">
        <f>Pricing!O25</f>
        <v>2892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W6</v>
      </c>
      <c r="B24" s="318" t="str">
        <f>'BD Team'!C31</f>
        <v>M14600</v>
      </c>
      <c r="C24" s="318" t="str">
        <f>'BD Team'!D31</f>
        <v>3 TRACK 2 SHUTTER SLIDING WITH CENTER FIXED WITH SILICON JOINT</v>
      </c>
      <c r="D24" s="318" t="str">
        <f>'BD Team'!E31</f>
        <v>8MM</v>
      </c>
      <c r="E24" s="318" t="str">
        <f>'BD Team'!G31</f>
        <v>SECOND FLOOR</v>
      </c>
      <c r="F24" s="318" t="str">
        <f>'BD Team'!F31</f>
        <v>SS</v>
      </c>
      <c r="I24" s="318">
        <f>'BD Team'!H31</f>
        <v>5666</v>
      </c>
      <c r="J24" s="318">
        <f>'BD Team'!I31</f>
        <v>2744</v>
      </c>
      <c r="K24" s="318">
        <f>'BD Team'!J31</f>
        <v>1</v>
      </c>
      <c r="L24" s="319">
        <f>'BD Team'!K31</f>
        <v>870.88</v>
      </c>
      <c r="M24" s="318">
        <f>Pricing!O26</f>
        <v>1322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FD2</v>
      </c>
      <c r="B25" s="318" t="str">
        <f>'BD Team'!C32</f>
        <v>M15000</v>
      </c>
      <c r="C25" s="318" t="str">
        <f>'BD Team'!D32</f>
        <v>FRENCH CASEMENT DOOR</v>
      </c>
      <c r="D25" s="318" t="str">
        <f>'BD Team'!E32</f>
        <v>8MM</v>
      </c>
      <c r="E25" s="318" t="str">
        <f>'BD Team'!G32</f>
        <v>THIRD FLOOR</v>
      </c>
      <c r="F25" s="318" t="str">
        <f>'BD Team'!F32</f>
        <v>NO</v>
      </c>
      <c r="I25" s="318">
        <f>'BD Team'!H32</f>
        <v>1524</v>
      </c>
      <c r="J25" s="318">
        <f>'BD Team'!I32</f>
        <v>2744</v>
      </c>
      <c r="K25" s="318">
        <f>'BD Team'!J32</f>
        <v>1</v>
      </c>
      <c r="L25" s="319">
        <f>'BD Team'!K32</f>
        <v>604.5</v>
      </c>
      <c r="M25" s="318">
        <f>Pricing!O27</f>
        <v>1322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W1</v>
      </c>
      <c r="B26" s="318" t="str">
        <f>'BD Team'!C33</f>
        <v>M14600 &amp; M15000</v>
      </c>
      <c r="C26" s="318" t="str">
        <f>'BD Team'!D33</f>
        <v>3 TRACK 2 SHUTTER SLIDING DOOR WITH TOP FIXED AND FIXED GLASS WITH SILICON JOINT</v>
      </c>
      <c r="D26" s="318" t="str">
        <f>'BD Team'!E33</f>
        <v>12MM &amp; 8MM</v>
      </c>
      <c r="E26" s="318" t="str">
        <f>'BD Team'!G33</f>
        <v>THIRD FLOOR</v>
      </c>
      <c r="F26" s="318" t="str">
        <f>'BD Team'!F33</f>
        <v>SS</v>
      </c>
      <c r="I26" s="318">
        <f>'BD Team'!H33</f>
        <v>4116</v>
      </c>
      <c r="J26" s="318">
        <f>'BD Team'!I33</f>
        <v>3202</v>
      </c>
      <c r="K26" s="318">
        <f>'BD Team'!J33</f>
        <v>1</v>
      </c>
      <c r="L26" s="319">
        <f>'BD Team'!K33</f>
        <v>655.45</v>
      </c>
      <c r="M26" s="318">
        <f>Pricing!O28</f>
        <v>1890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W2</v>
      </c>
      <c r="B27" s="318" t="str">
        <f>'BD Team'!C34</f>
        <v>M15000</v>
      </c>
      <c r="C27" s="318" t="str">
        <f>'BD Team'!D34</f>
        <v>FIXED GLASS TOP &amp; BOTTOM WITH SILICON JOINT</v>
      </c>
      <c r="D27" s="318" t="str">
        <f>'BD Team'!E34</f>
        <v>12MM</v>
      </c>
      <c r="E27" s="318" t="str">
        <f>'BD Team'!G34</f>
        <v>THIRD FLOOR</v>
      </c>
      <c r="F27" s="318" t="str">
        <f>'BD Team'!F34</f>
        <v>NO</v>
      </c>
      <c r="I27" s="318">
        <f>'BD Team'!H34</f>
        <v>4116</v>
      </c>
      <c r="J27" s="318">
        <f>'BD Team'!I34</f>
        <v>3202</v>
      </c>
      <c r="K27" s="318">
        <f>'BD Team'!J34</f>
        <v>1</v>
      </c>
      <c r="L27" s="319">
        <f>'BD Team'!K34</f>
        <v>364.91</v>
      </c>
      <c r="M27" s="318">
        <f>Pricing!O29</f>
        <v>1890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W4</v>
      </c>
      <c r="B28" s="318" t="str">
        <f>'BD Team'!C35</f>
        <v>M14600</v>
      </c>
      <c r="C28" s="318" t="str">
        <f>'BD Team'!D35</f>
        <v>3 TRACK 2 SHUTTER SLIDING WINDOW</v>
      </c>
      <c r="D28" s="318" t="str">
        <f>'BD Team'!E35</f>
        <v>8MM</v>
      </c>
      <c r="E28" s="318" t="str">
        <f>'BD Team'!G35</f>
        <v>THIRD FLOOR</v>
      </c>
      <c r="F28" s="318" t="str">
        <f>'BD Team'!F35</f>
        <v>SS</v>
      </c>
      <c r="I28" s="318">
        <f>'BD Team'!H35</f>
        <v>1932</v>
      </c>
      <c r="J28" s="318">
        <f>'BD Team'!I35</f>
        <v>2134</v>
      </c>
      <c r="K28" s="318">
        <f>'BD Team'!J35</f>
        <v>1</v>
      </c>
      <c r="L28" s="319">
        <f>'BD Team'!K35</f>
        <v>446.34</v>
      </c>
      <c r="M28" s="318">
        <f>Pricing!O30</f>
        <v>1322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W6</v>
      </c>
      <c r="B29" s="318" t="str">
        <f>'BD Team'!C36</f>
        <v>M15000</v>
      </c>
      <c r="C29" s="318" t="str">
        <f>'BD Team'!D36</f>
        <v>FIXED GLASS WITH SILICON JOINT</v>
      </c>
      <c r="D29" s="318" t="str">
        <f>'BD Team'!E36</f>
        <v>12MM</v>
      </c>
      <c r="E29" s="318" t="str">
        <f>'BD Team'!G36</f>
        <v>THIRD FLOOR</v>
      </c>
      <c r="F29" s="318" t="str">
        <f>'BD Team'!F36</f>
        <v>NO</v>
      </c>
      <c r="I29" s="318">
        <f>'BD Team'!H36</f>
        <v>3964</v>
      </c>
      <c r="J29" s="318">
        <f>'BD Team'!I36</f>
        <v>610</v>
      </c>
      <c r="K29" s="318">
        <f>'BD Team'!J36</f>
        <v>1</v>
      </c>
      <c r="L29" s="319">
        <f>'BD Team'!K36</f>
        <v>80.23</v>
      </c>
      <c r="M29" s="318">
        <f>Pricing!O31</f>
        <v>1890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W3</v>
      </c>
      <c r="B30" s="318" t="str">
        <f>'BD Team'!C37</f>
        <v>M14600 &amp; M15000</v>
      </c>
      <c r="C30" s="318" t="str">
        <f>'BD Team'!D37</f>
        <v>3 TRACK 2 SHUTTER SLIDING DOOR WITH TOP FIXED AND FIXED GLASS WITH SILICON JOINT</v>
      </c>
      <c r="D30" s="318" t="str">
        <f>'BD Team'!E37</f>
        <v>12MM &amp; 8MM</v>
      </c>
      <c r="E30" s="318" t="str">
        <f>'BD Team'!G37</f>
        <v>THIRD FLOOR</v>
      </c>
      <c r="F30" s="318" t="str">
        <f>'BD Team'!F37</f>
        <v>SS</v>
      </c>
      <c r="I30" s="318">
        <f>'BD Team'!H37</f>
        <v>4116</v>
      </c>
      <c r="J30" s="318">
        <f>'BD Team'!I37</f>
        <v>2592</v>
      </c>
      <c r="K30" s="318">
        <f>'BD Team'!J37</f>
        <v>1</v>
      </c>
      <c r="L30" s="319">
        <f>'BD Team'!K37</f>
        <v>555.51</v>
      </c>
      <c r="M30" s="318">
        <f>Pricing!O32</f>
        <v>1890</v>
      </c>
      <c r="N30" s="318">
        <f>Pricing!Q32</f>
        <v>538.19999999999993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13" zoomScale="75" zoomScaleNormal="75" zoomScaleSheetLayoutView="75" workbookViewId="0">
      <selection activeCell="G38" sqref="G3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421</v>
      </c>
      <c r="F2" s="137"/>
      <c r="G2" s="163"/>
      <c r="H2" s="331" t="s">
        <v>184</v>
      </c>
      <c r="I2" s="332"/>
      <c r="J2" s="165" t="s">
        <v>424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419</v>
      </c>
      <c r="F3" s="136" t="s">
        <v>182</v>
      </c>
      <c r="G3" s="162" t="s">
        <v>423</v>
      </c>
      <c r="H3" s="331" t="s">
        <v>185</v>
      </c>
      <c r="I3" s="332"/>
      <c r="J3" s="166">
        <v>43725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365</v>
      </c>
      <c r="F4" s="135"/>
      <c r="G4" s="164"/>
      <c r="H4" s="331" t="s">
        <v>186</v>
      </c>
      <c r="I4" s="332"/>
      <c r="J4" s="165" t="s">
        <v>402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207</v>
      </c>
      <c r="H5" s="331" t="s">
        <v>374</v>
      </c>
      <c r="I5" s="332"/>
      <c r="J5" s="165"/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269</v>
      </c>
      <c r="F9" s="113" t="s">
        <v>428</v>
      </c>
      <c r="G9" s="113" t="s">
        <v>429</v>
      </c>
      <c r="H9" s="113">
        <v>5488</v>
      </c>
      <c r="I9" s="113">
        <v>1982</v>
      </c>
      <c r="J9" s="113">
        <v>1</v>
      </c>
      <c r="K9" s="123">
        <v>124.27</v>
      </c>
    </row>
    <row r="10" spans="1:13" ht="20.100000000000001" customHeight="1">
      <c r="A10" s="113">
        <v>2</v>
      </c>
      <c r="B10" s="113" t="s">
        <v>32</v>
      </c>
      <c r="C10" s="113" t="s">
        <v>430</v>
      </c>
      <c r="D10" s="113" t="s">
        <v>431</v>
      </c>
      <c r="E10" s="113" t="s">
        <v>269</v>
      </c>
      <c r="F10" s="113" t="s">
        <v>428</v>
      </c>
      <c r="G10" s="113" t="s">
        <v>429</v>
      </c>
      <c r="H10" s="113">
        <v>916</v>
      </c>
      <c r="I10" s="113">
        <v>1220</v>
      </c>
      <c r="J10" s="113">
        <v>1</v>
      </c>
      <c r="K10" s="123">
        <v>112.6</v>
      </c>
      <c r="L10" s="47" t="s">
        <v>282</v>
      </c>
    </row>
    <row r="11" spans="1:13" ht="20.100000000000001" customHeight="1">
      <c r="A11" s="113">
        <v>3</v>
      </c>
      <c r="B11" s="113" t="s">
        <v>432</v>
      </c>
      <c r="C11" s="113" t="s">
        <v>433</v>
      </c>
      <c r="D11" s="113" t="s">
        <v>434</v>
      </c>
      <c r="E11" s="113" t="s">
        <v>435</v>
      </c>
      <c r="F11" s="113" t="s">
        <v>436</v>
      </c>
      <c r="G11" s="113" t="s">
        <v>429</v>
      </c>
      <c r="H11" s="113">
        <v>3354</v>
      </c>
      <c r="I11" s="113">
        <v>2440</v>
      </c>
      <c r="J11" s="113">
        <v>1</v>
      </c>
      <c r="K11" s="123">
        <v>606.41999999999996</v>
      </c>
      <c r="L11" s="47" t="s">
        <v>281</v>
      </c>
    </row>
    <row r="12" spans="1:13" ht="20.100000000000001" customHeight="1">
      <c r="A12" s="113">
        <v>4</v>
      </c>
      <c r="B12" s="113" t="s">
        <v>437</v>
      </c>
      <c r="C12" s="113" t="s">
        <v>438</v>
      </c>
      <c r="D12" s="113" t="s">
        <v>439</v>
      </c>
      <c r="E12" s="113" t="s">
        <v>440</v>
      </c>
      <c r="F12" s="113" t="s">
        <v>436</v>
      </c>
      <c r="G12" s="113" t="s">
        <v>429</v>
      </c>
      <c r="H12" s="113">
        <v>1372</v>
      </c>
      <c r="I12" s="113">
        <v>1220</v>
      </c>
      <c r="J12" s="113">
        <v>1</v>
      </c>
      <c r="K12" s="123">
        <f>98.82+40.19</f>
        <v>139.01</v>
      </c>
      <c r="L12" s="47" t="s">
        <v>365</v>
      </c>
    </row>
    <row r="13" spans="1:13" ht="20.100000000000001" customHeight="1">
      <c r="A13" s="113">
        <v>5</v>
      </c>
      <c r="B13" s="113" t="s">
        <v>441</v>
      </c>
      <c r="C13" s="113" t="s">
        <v>426</v>
      </c>
      <c r="D13" s="113" t="s">
        <v>442</v>
      </c>
      <c r="E13" s="113" t="s">
        <v>435</v>
      </c>
      <c r="F13" s="113" t="s">
        <v>428</v>
      </c>
      <c r="G13" s="113" t="s">
        <v>443</v>
      </c>
      <c r="H13" s="113">
        <v>5640</v>
      </c>
      <c r="I13" s="113">
        <v>2592</v>
      </c>
      <c r="J13" s="113">
        <v>1</v>
      </c>
      <c r="K13" s="123">
        <v>1019.59</v>
      </c>
      <c r="L13" s="47" t="s">
        <v>366</v>
      </c>
    </row>
    <row r="14" spans="1:13">
      <c r="A14" s="113">
        <v>6</v>
      </c>
      <c r="B14" s="113" t="s">
        <v>444</v>
      </c>
      <c r="C14" s="113" t="s">
        <v>426</v>
      </c>
      <c r="D14" s="113" t="s">
        <v>445</v>
      </c>
      <c r="E14" s="113" t="s">
        <v>269</v>
      </c>
      <c r="F14" s="113" t="s">
        <v>428</v>
      </c>
      <c r="G14" s="113" t="s">
        <v>443</v>
      </c>
      <c r="H14" s="113">
        <v>2794</v>
      </c>
      <c r="I14" s="113">
        <v>1678</v>
      </c>
      <c r="J14" s="113">
        <v>1</v>
      </c>
      <c r="K14" s="123">
        <v>78.680000000000007</v>
      </c>
      <c r="L14" s="47" t="s">
        <v>367</v>
      </c>
    </row>
    <row r="15" spans="1:13" ht="20.100000000000001" customHeight="1">
      <c r="A15" s="113">
        <v>7</v>
      </c>
      <c r="B15" s="113" t="s">
        <v>446</v>
      </c>
      <c r="C15" s="113" t="s">
        <v>426</v>
      </c>
      <c r="D15" s="113" t="s">
        <v>427</v>
      </c>
      <c r="E15" s="113" t="s">
        <v>269</v>
      </c>
      <c r="F15" s="113" t="s">
        <v>428</v>
      </c>
      <c r="G15" s="113" t="s">
        <v>443</v>
      </c>
      <c r="H15" s="113">
        <v>3500</v>
      </c>
      <c r="I15" s="113">
        <v>610</v>
      </c>
      <c r="J15" s="113">
        <v>1</v>
      </c>
      <c r="K15" s="123">
        <v>73.17</v>
      </c>
      <c r="L15" s="47" t="s">
        <v>368</v>
      </c>
    </row>
    <row r="16" spans="1:13" ht="20.100000000000001" customHeight="1">
      <c r="A16" s="113">
        <v>8</v>
      </c>
      <c r="B16" s="113" t="s">
        <v>447</v>
      </c>
      <c r="C16" s="113" t="s">
        <v>438</v>
      </c>
      <c r="D16" s="113" t="s">
        <v>439</v>
      </c>
      <c r="E16" s="113" t="s">
        <v>440</v>
      </c>
      <c r="F16" s="113" t="s">
        <v>436</v>
      </c>
      <c r="G16" s="113" t="s">
        <v>443</v>
      </c>
      <c r="H16" s="113">
        <v>1220</v>
      </c>
      <c r="I16" s="113">
        <v>1678</v>
      </c>
      <c r="J16" s="113">
        <v>2</v>
      </c>
      <c r="K16" s="123">
        <f>113.44+46.61</f>
        <v>160.05000000000001</v>
      </c>
      <c r="L16" s="47" t="s">
        <v>369</v>
      </c>
    </row>
    <row r="17" spans="1:13" ht="20.100000000000001" customHeight="1">
      <c r="A17" s="113">
        <v>9</v>
      </c>
      <c r="B17" s="113" t="s">
        <v>448</v>
      </c>
      <c r="C17" s="113" t="s">
        <v>449</v>
      </c>
      <c r="D17" s="113" t="s">
        <v>450</v>
      </c>
      <c r="E17" s="113" t="s">
        <v>440</v>
      </c>
      <c r="F17" s="113" t="s">
        <v>428</v>
      </c>
      <c r="G17" s="113" t="s">
        <v>443</v>
      </c>
      <c r="H17" s="113">
        <v>2540</v>
      </c>
      <c r="I17" s="113">
        <v>2744</v>
      </c>
      <c r="J17" s="113">
        <v>1</v>
      </c>
      <c r="K17" s="123">
        <v>810.77</v>
      </c>
      <c r="L17" s="47" t="s">
        <v>370</v>
      </c>
    </row>
    <row r="18" spans="1:13" ht="20.100000000000001" customHeight="1">
      <c r="A18" s="113">
        <v>10</v>
      </c>
      <c r="B18" s="113" t="s">
        <v>437</v>
      </c>
      <c r="C18" s="113" t="s">
        <v>451</v>
      </c>
      <c r="D18" s="113" t="s">
        <v>439</v>
      </c>
      <c r="E18" s="113" t="s">
        <v>440</v>
      </c>
      <c r="F18" s="113" t="s">
        <v>436</v>
      </c>
      <c r="G18" s="113" t="s">
        <v>443</v>
      </c>
      <c r="H18" s="113">
        <v>916</v>
      </c>
      <c r="I18" s="113">
        <v>2338</v>
      </c>
      <c r="J18" s="113">
        <v>1</v>
      </c>
      <c r="K18" s="123">
        <v>379.92</v>
      </c>
      <c r="L18" s="47" t="s">
        <v>371</v>
      </c>
    </row>
    <row r="19" spans="1:13" ht="20.100000000000001" customHeight="1">
      <c r="A19" s="113">
        <v>11</v>
      </c>
      <c r="B19" s="113" t="s">
        <v>452</v>
      </c>
      <c r="C19" s="113" t="s">
        <v>426</v>
      </c>
      <c r="D19" s="113" t="s">
        <v>445</v>
      </c>
      <c r="E19" s="113" t="s">
        <v>269</v>
      </c>
      <c r="F19" s="113" t="s">
        <v>428</v>
      </c>
      <c r="G19" s="113" t="s">
        <v>443</v>
      </c>
      <c r="H19" s="113">
        <v>560</v>
      </c>
      <c r="I19" s="113">
        <v>2388</v>
      </c>
      <c r="J19" s="113">
        <v>1</v>
      </c>
      <c r="K19" s="123">
        <v>55.5</v>
      </c>
      <c r="L19" s="47" t="s">
        <v>372</v>
      </c>
    </row>
    <row r="20" spans="1:13">
      <c r="A20" s="113">
        <v>12</v>
      </c>
      <c r="B20" s="113" t="s">
        <v>453</v>
      </c>
      <c r="C20" s="113" t="s">
        <v>438</v>
      </c>
      <c r="D20" s="113" t="s">
        <v>439</v>
      </c>
      <c r="E20" s="113" t="s">
        <v>440</v>
      </c>
      <c r="F20" s="113" t="s">
        <v>436</v>
      </c>
      <c r="G20" s="113" t="s">
        <v>443</v>
      </c>
      <c r="H20" s="113">
        <v>1220</v>
      </c>
      <c r="I20" s="113">
        <v>1678</v>
      </c>
      <c r="J20" s="113">
        <v>1</v>
      </c>
      <c r="K20" s="123">
        <f>113.44+46.61</f>
        <v>160.05000000000001</v>
      </c>
      <c r="L20" s="47" t="s">
        <v>385</v>
      </c>
    </row>
    <row r="21" spans="1:13" ht="20.100000000000001" customHeight="1">
      <c r="A21" s="113">
        <v>13</v>
      </c>
      <c r="B21" s="113" t="s">
        <v>454</v>
      </c>
      <c r="C21" s="113" t="s">
        <v>451</v>
      </c>
      <c r="D21" s="113" t="s">
        <v>439</v>
      </c>
      <c r="E21" s="113" t="s">
        <v>440</v>
      </c>
      <c r="F21" s="113" t="s">
        <v>436</v>
      </c>
      <c r="G21" s="113" t="s">
        <v>443</v>
      </c>
      <c r="H21" s="113">
        <v>916</v>
      </c>
      <c r="I21" s="113">
        <v>2338</v>
      </c>
      <c r="J21" s="113">
        <v>1</v>
      </c>
      <c r="K21" s="123">
        <v>402.82</v>
      </c>
      <c r="L21" s="47" t="s">
        <v>386</v>
      </c>
    </row>
    <row r="22" spans="1:13" ht="20.100000000000001" customHeight="1">
      <c r="A22" s="113">
        <v>14</v>
      </c>
      <c r="B22" s="113" t="s">
        <v>455</v>
      </c>
      <c r="C22" s="113" t="s">
        <v>426</v>
      </c>
      <c r="D22" s="113" t="s">
        <v>456</v>
      </c>
      <c r="E22" s="113" t="s">
        <v>269</v>
      </c>
      <c r="F22" s="113" t="s">
        <v>428</v>
      </c>
      <c r="G22" s="113" t="s">
        <v>443</v>
      </c>
      <c r="H22" s="113">
        <v>1108</v>
      </c>
      <c r="I22" s="113">
        <v>2338</v>
      </c>
      <c r="J22" s="113">
        <v>1</v>
      </c>
      <c r="K22" s="123">
        <v>63.19</v>
      </c>
      <c r="L22" s="47" t="s">
        <v>387</v>
      </c>
    </row>
    <row r="23" spans="1:13" ht="20.100000000000001" customHeight="1">
      <c r="A23" s="113">
        <v>15</v>
      </c>
      <c r="B23" s="113" t="s">
        <v>432</v>
      </c>
      <c r="C23" s="113" t="s">
        <v>426</v>
      </c>
      <c r="D23" s="113" t="s">
        <v>457</v>
      </c>
      <c r="E23" s="113" t="s">
        <v>269</v>
      </c>
      <c r="F23" s="113" t="s">
        <v>428</v>
      </c>
      <c r="G23" s="113" t="s">
        <v>458</v>
      </c>
      <c r="H23" s="113">
        <v>2896</v>
      </c>
      <c r="I23" s="113">
        <v>762</v>
      </c>
      <c r="J23" s="113">
        <v>1</v>
      </c>
      <c r="K23" s="123">
        <v>128.66999999999999</v>
      </c>
      <c r="L23" s="47" t="s">
        <v>403</v>
      </c>
    </row>
    <row r="24" spans="1:13" ht="20.100000000000001" customHeight="1">
      <c r="A24" s="113">
        <v>16</v>
      </c>
      <c r="B24" s="113" t="s">
        <v>459</v>
      </c>
      <c r="C24" s="113" t="s">
        <v>426</v>
      </c>
      <c r="D24" s="113" t="s">
        <v>445</v>
      </c>
      <c r="E24" s="113" t="s">
        <v>269</v>
      </c>
      <c r="F24" s="113" t="s">
        <v>428</v>
      </c>
      <c r="G24" s="113" t="s">
        <v>458</v>
      </c>
      <c r="H24" s="113">
        <v>3658</v>
      </c>
      <c r="I24" s="113">
        <v>610</v>
      </c>
      <c r="J24" s="113">
        <v>1</v>
      </c>
      <c r="K24" s="123">
        <v>75.569999999999993</v>
      </c>
      <c r="L24" s="47" t="s">
        <v>416</v>
      </c>
    </row>
    <row r="25" spans="1:13" ht="20.100000000000001" customHeight="1">
      <c r="A25" s="113">
        <v>17</v>
      </c>
      <c r="B25" s="113" t="s">
        <v>448</v>
      </c>
      <c r="C25" s="113" t="s">
        <v>449</v>
      </c>
      <c r="D25" s="113" t="s">
        <v>460</v>
      </c>
      <c r="E25" s="113" t="s">
        <v>440</v>
      </c>
      <c r="F25" s="113" t="s">
        <v>428</v>
      </c>
      <c r="G25" s="113" t="s">
        <v>458</v>
      </c>
      <c r="H25" s="113">
        <v>3658</v>
      </c>
      <c r="I25" s="113">
        <v>2744</v>
      </c>
      <c r="J25" s="113">
        <v>1</v>
      </c>
      <c r="K25" s="123">
        <v>1176.74</v>
      </c>
      <c r="L25" s="47" t="s">
        <v>417</v>
      </c>
    </row>
    <row r="26" spans="1:13">
      <c r="A26" s="113">
        <v>18</v>
      </c>
      <c r="B26" s="113" t="s">
        <v>461</v>
      </c>
      <c r="C26" s="113" t="s">
        <v>449</v>
      </c>
      <c r="D26" s="113" t="s">
        <v>450</v>
      </c>
      <c r="E26" s="113" t="s">
        <v>440</v>
      </c>
      <c r="F26" s="113" t="s">
        <v>428</v>
      </c>
      <c r="G26" s="113" t="s">
        <v>458</v>
      </c>
      <c r="H26" s="113">
        <v>2440</v>
      </c>
      <c r="I26" s="113">
        <v>2744</v>
      </c>
      <c r="J26" s="113">
        <v>1</v>
      </c>
      <c r="K26" s="123">
        <v>805.28</v>
      </c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 t="s">
        <v>441</v>
      </c>
      <c r="C27" s="113" t="s">
        <v>438</v>
      </c>
      <c r="D27" s="113" t="s">
        <v>439</v>
      </c>
      <c r="E27" s="113" t="s">
        <v>440</v>
      </c>
      <c r="F27" s="113" t="s">
        <v>436</v>
      </c>
      <c r="G27" s="113" t="s">
        <v>458</v>
      </c>
      <c r="H27" s="113">
        <v>1754</v>
      </c>
      <c r="I27" s="113">
        <v>1220</v>
      </c>
      <c r="J27" s="113">
        <v>1</v>
      </c>
      <c r="K27" s="123">
        <f>107.07+44.12</f>
        <v>151.19</v>
      </c>
    </row>
    <row r="28" spans="1:13" ht="20.100000000000001" customHeight="1">
      <c r="A28" s="113">
        <v>20</v>
      </c>
      <c r="B28" s="113" t="s">
        <v>462</v>
      </c>
      <c r="C28" s="113" t="s">
        <v>451</v>
      </c>
      <c r="D28" s="113" t="s">
        <v>439</v>
      </c>
      <c r="E28" s="113" t="s">
        <v>440</v>
      </c>
      <c r="F28" s="113" t="s">
        <v>436</v>
      </c>
      <c r="G28" s="113" t="s">
        <v>458</v>
      </c>
      <c r="H28" s="113">
        <v>1068</v>
      </c>
      <c r="I28" s="113">
        <v>1830</v>
      </c>
      <c r="J28" s="113">
        <v>1</v>
      </c>
      <c r="K28" s="123">
        <v>345.5</v>
      </c>
    </row>
    <row r="29" spans="1:13" ht="20.100000000000001" customHeight="1">
      <c r="A29" s="113">
        <v>21</v>
      </c>
      <c r="B29" s="113" t="s">
        <v>463</v>
      </c>
      <c r="C29" s="113" t="s">
        <v>426</v>
      </c>
      <c r="D29" s="113" t="s">
        <v>456</v>
      </c>
      <c r="E29" s="113" t="s">
        <v>269</v>
      </c>
      <c r="F29" s="113" t="s">
        <v>428</v>
      </c>
      <c r="G29" s="113" t="s">
        <v>458</v>
      </c>
      <c r="H29" s="113">
        <v>2296</v>
      </c>
      <c r="I29" s="113">
        <v>1830</v>
      </c>
      <c r="J29" s="113">
        <v>1</v>
      </c>
      <c r="K29" s="123">
        <v>230.33</v>
      </c>
    </row>
    <row r="30" spans="1:13" ht="20.100000000000001" customHeight="1">
      <c r="A30" s="113">
        <v>22</v>
      </c>
      <c r="B30" s="113" t="s">
        <v>447</v>
      </c>
      <c r="C30" s="113" t="s">
        <v>426</v>
      </c>
      <c r="D30" s="113" t="s">
        <v>464</v>
      </c>
      <c r="E30" s="113" t="s">
        <v>465</v>
      </c>
      <c r="F30" s="113" t="s">
        <v>428</v>
      </c>
      <c r="G30" s="113" t="s">
        <v>458</v>
      </c>
      <c r="H30" s="113">
        <v>382</v>
      </c>
      <c r="I30" s="113">
        <v>1754</v>
      </c>
      <c r="J30" s="113">
        <v>1</v>
      </c>
      <c r="K30" s="123">
        <v>66.3</v>
      </c>
    </row>
    <row r="31" spans="1:13" ht="20.100000000000001" customHeight="1">
      <c r="A31" s="113">
        <v>23</v>
      </c>
      <c r="B31" s="113" t="s">
        <v>466</v>
      </c>
      <c r="C31" s="113" t="s">
        <v>451</v>
      </c>
      <c r="D31" s="113" t="s">
        <v>467</v>
      </c>
      <c r="E31" s="113" t="s">
        <v>440</v>
      </c>
      <c r="F31" s="113" t="s">
        <v>436</v>
      </c>
      <c r="G31" s="113" t="s">
        <v>458</v>
      </c>
      <c r="H31" s="113">
        <v>5666</v>
      </c>
      <c r="I31" s="113">
        <v>2744</v>
      </c>
      <c r="J31" s="113">
        <v>1</v>
      </c>
      <c r="K31" s="123">
        <v>870.88</v>
      </c>
    </row>
    <row r="32" spans="1:13">
      <c r="A32" s="113">
        <v>24</v>
      </c>
      <c r="B32" s="113" t="s">
        <v>461</v>
      </c>
      <c r="C32" s="113" t="s">
        <v>426</v>
      </c>
      <c r="D32" s="113" t="s">
        <v>468</v>
      </c>
      <c r="E32" s="113" t="s">
        <v>440</v>
      </c>
      <c r="F32" s="113" t="s">
        <v>428</v>
      </c>
      <c r="G32" s="113" t="s">
        <v>469</v>
      </c>
      <c r="H32" s="113">
        <v>1524</v>
      </c>
      <c r="I32" s="113">
        <v>2744</v>
      </c>
      <c r="J32" s="113">
        <v>1</v>
      </c>
      <c r="K32" s="123">
        <v>604.5</v>
      </c>
    </row>
    <row r="33" spans="1:11" ht="20.100000000000001" customHeight="1">
      <c r="A33" s="113">
        <v>25</v>
      </c>
      <c r="B33" s="113" t="s">
        <v>437</v>
      </c>
      <c r="C33" s="113" t="s">
        <v>470</v>
      </c>
      <c r="D33" s="113" t="s">
        <v>471</v>
      </c>
      <c r="E33" s="113" t="s">
        <v>435</v>
      </c>
      <c r="F33" s="113" t="s">
        <v>436</v>
      </c>
      <c r="G33" s="113" t="s">
        <v>469</v>
      </c>
      <c r="H33" s="113">
        <v>4116</v>
      </c>
      <c r="I33" s="113">
        <v>3202</v>
      </c>
      <c r="J33" s="113">
        <v>1</v>
      </c>
      <c r="K33" s="123">
        <v>655.45</v>
      </c>
    </row>
    <row r="34" spans="1:11" ht="20.100000000000001" customHeight="1">
      <c r="A34" s="113">
        <v>26</v>
      </c>
      <c r="B34" s="113" t="s">
        <v>472</v>
      </c>
      <c r="C34" s="113" t="s">
        <v>426</v>
      </c>
      <c r="D34" s="113" t="s">
        <v>473</v>
      </c>
      <c r="E34" s="113" t="s">
        <v>269</v>
      </c>
      <c r="F34" s="113" t="s">
        <v>428</v>
      </c>
      <c r="G34" s="113" t="s">
        <v>469</v>
      </c>
      <c r="H34" s="113">
        <v>4116</v>
      </c>
      <c r="I34" s="113">
        <v>3202</v>
      </c>
      <c r="J34" s="113">
        <v>1</v>
      </c>
      <c r="K34" s="123">
        <v>364.91</v>
      </c>
    </row>
    <row r="35" spans="1:11" ht="20.100000000000001" customHeight="1">
      <c r="A35" s="113">
        <v>27</v>
      </c>
      <c r="B35" s="113" t="s">
        <v>432</v>
      </c>
      <c r="C35" s="113" t="s">
        <v>451</v>
      </c>
      <c r="D35" s="113" t="s">
        <v>439</v>
      </c>
      <c r="E35" s="113" t="s">
        <v>440</v>
      </c>
      <c r="F35" s="113" t="s">
        <v>436</v>
      </c>
      <c r="G35" s="113" t="s">
        <v>469</v>
      </c>
      <c r="H35" s="113">
        <v>1932</v>
      </c>
      <c r="I35" s="113">
        <v>2134</v>
      </c>
      <c r="J35" s="113">
        <v>1</v>
      </c>
      <c r="K35" s="123">
        <v>446.34</v>
      </c>
    </row>
    <row r="36" spans="1:11" ht="20.100000000000001" customHeight="1">
      <c r="A36" s="113">
        <v>28</v>
      </c>
      <c r="B36" s="113" t="s">
        <v>466</v>
      </c>
      <c r="C36" s="113" t="s">
        <v>426</v>
      </c>
      <c r="D36" s="113" t="s">
        <v>427</v>
      </c>
      <c r="E36" s="113" t="s">
        <v>269</v>
      </c>
      <c r="F36" s="113" t="s">
        <v>428</v>
      </c>
      <c r="G36" s="113" t="s">
        <v>469</v>
      </c>
      <c r="H36" s="113">
        <v>3964</v>
      </c>
      <c r="I36" s="113">
        <v>610</v>
      </c>
      <c r="J36" s="113">
        <v>1</v>
      </c>
      <c r="K36" s="123">
        <v>80.23</v>
      </c>
    </row>
    <row r="37" spans="1:11" ht="20.100000000000001" customHeight="1">
      <c r="A37" s="113">
        <v>29</v>
      </c>
      <c r="B37" s="113" t="s">
        <v>441</v>
      </c>
      <c r="C37" s="113" t="s">
        <v>470</v>
      </c>
      <c r="D37" s="113" t="s">
        <v>471</v>
      </c>
      <c r="E37" s="113" t="s">
        <v>435</v>
      </c>
      <c r="F37" s="113" t="s">
        <v>436</v>
      </c>
      <c r="G37" s="113" t="s">
        <v>469</v>
      </c>
      <c r="H37" s="113">
        <v>4116</v>
      </c>
      <c r="I37" s="113">
        <v>2592</v>
      </c>
      <c r="J37" s="113">
        <v>1</v>
      </c>
      <c r="K37" s="123">
        <v>555.51</v>
      </c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6" sqref="Q6:Q32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FW1</v>
      </c>
      <c r="C4" s="118" t="str">
        <f>'BD Team'!C9</f>
        <v>M15000</v>
      </c>
      <c r="D4" s="118" t="str">
        <f>'BD Team'!D9</f>
        <v>FIXED GLASS WITH SILICON JOINT</v>
      </c>
      <c r="E4" s="118" t="str">
        <f>'BD Team'!F9</f>
        <v>NO</v>
      </c>
      <c r="F4" s="121" t="str">
        <f>'BD Team'!G9</f>
        <v>GROUND FLOOR</v>
      </c>
      <c r="G4" s="118">
        <f>'BD Team'!H9</f>
        <v>5488</v>
      </c>
      <c r="H4" s="118">
        <f>'BD Team'!I9</f>
        <v>1982</v>
      </c>
      <c r="I4" s="118">
        <f>'BD Team'!J9</f>
        <v>1</v>
      </c>
      <c r="J4" s="103">
        <f t="shared" ref="J4:J53" si="0">G4*H4*I4*10.764/1000000</f>
        <v>117.08235302399999</v>
      </c>
      <c r="K4" s="172">
        <f>'BD Team'!K9</f>
        <v>124.27</v>
      </c>
      <c r="L4" s="171">
        <f>K4*I4</f>
        <v>124.27</v>
      </c>
      <c r="M4" s="170">
        <f>L4*'Changable Values'!$D$4</f>
        <v>10314.41</v>
      </c>
      <c r="N4" s="170" t="str">
        <f>'BD Team'!E9</f>
        <v>12MM</v>
      </c>
      <c r="O4" s="172">
        <v>1890</v>
      </c>
      <c r="P4" s="241"/>
      <c r="Q4" s="173"/>
      <c r="R4" s="185"/>
      <c r="S4" s="312"/>
      <c r="T4" s="313">
        <f>(G4+H4)*I4*2/300</f>
        <v>49.8</v>
      </c>
      <c r="U4" s="313">
        <f>SUM(G4:H4)*I4*2*4/1000</f>
        <v>59.76</v>
      </c>
      <c r="V4" s="313">
        <f>SUM(G4:H4)*I4*5*5*4/(1000*240)</f>
        <v>3.1124999999999998</v>
      </c>
      <c r="W4" s="313">
        <f>T4</f>
        <v>49.8</v>
      </c>
      <c r="X4" s="313">
        <f>W4*2</f>
        <v>99.6</v>
      </c>
      <c r="Y4" s="313">
        <f>SUM(G4:H4)*I4*4/1000</f>
        <v>29.88</v>
      </c>
    </row>
    <row r="5" spans="1:25">
      <c r="A5" s="118">
        <f>'BD Team'!A10</f>
        <v>2</v>
      </c>
      <c r="B5" s="118" t="str">
        <f>'BD Team'!B10</f>
        <v>W</v>
      </c>
      <c r="C5" s="118" t="str">
        <f>'BD Team'!C10</f>
        <v>M940</v>
      </c>
      <c r="D5" s="118" t="str">
        <f>'BD Team'!D10</f>
        <v>FIXED GLASS TOP &amp; BOTTOM</v>
      </c>
      <c r="E5" s="118" t="str">
        <f>'BD Team'!F10</f>
        <v>NO</v>
      </c>
      <c r="F5" s="121" t="str">
        <f>'BD Team'!G10</f>
        <v>GROUND FLOOR</v>
      </c>
      <c r="G5" s="118">
        <f>'BD Team'!H10</f>
        <v>916</v>
      </c>
      <c r="H5" s="118">
        <f>'BD Team'!I10</f>
        <v>1220</v>
      </c>
      <c r="I5" s="118">
        <f>'BD Team'!J10</f>
        <v>1</v>
      </c>
      <c r="J5" s="103">
        <f t="shared" si="0"/>
        <v>12.028985279999999</v>
      </c>
      <c r="K5" s="172">
        <f>'BD Team'!K10</f>
        <v>112.6</v>
      </c>
      <c r="L5" s="171">
        <f t="shared" ref="L5:L53" si="1">K5*I5</f>
        <v>112.6</v>
      </c>
      <c r="M5" s="170">
        <f>L5*'Changable Values'!$D$4</f>
        <v>9345.7999999999993</v>
      </c>
      <c r="N5" s="170" t="str">
        <f>'BD Team'!E10</f>
        <v>12MM</v>
      </c>
      <c r="O5" s="172">
        <v>1890</v>
      </c>
      <c r="P5" s="241"/>
      <c r="Q5" s="173"/>
      <c r="R5" s="185"/>
      <c r="S5" s="312"/>
      <c r="T5" s="313">
        <f t="shared" ref="T5:T68" si="2">(G5+H5)*I5*2/300</f>
        <v>14.24</v>
      </c>
      <c r="U5" s="313">
        <f t="shared" ref="U5:U68" si="3">SUM(G5:H5)*I5*2*4/1000</f>
        <v>17.088000000000001</v>
      </c>
      <c r="V5" s="313">
        <f t="shared" ref="V5:V68" si="4">SUM(G5:H5)*I5*5*5*4/(1000*240)</f>
        <v>0.89</v>
      </c>
      <c r="W5" s="313">
        <f t="shared" ref="W5:W68" si="5">T5</f>
        <v>14.24</v>
      </c>
      <c r="X5" s="313">
        <f t="shared" ref="X5:X68" si="6">W5*2</f>
        <v>28.48</v>
      </c>
      <c r="Y5" s="313">
        <f t="shared" ref="Y5:Y68" si="7">SUM(G5:H5)*I5*4/1000</f>
        <v>8.5440000000000005</v>
      </c>
    </row>
    <row r="6" spans="1:25">
      <c r="A6" s="118">
        <f>'BD Team'!A11</f>
        <v>3</v>
      </c>
      <c r="B6" s="118" t="str">
        <f>'BD Team'!B11</f>
        <v>W4</v>
      </c>
      <c r="C6" s="118" t="str">
        <f>'BD Team'!C11</f>
        <v>M14600 &amp; M940</v>
      </c>
      <c r="D6" s="118" t="str">
        <f>'BD Team'!D11</f>
        <v>3 TRACK 2 SHUTTER SLIDING DOOR WITH 2 FIXED</v>
      </c>
      <c r="E6" s="118" t="str">
        <f>'BD Team'!F11</f>
        <v>SS</v>
      </c>
      <c r="F6" s="121" t="str">
        <f>'BD Team'!G11</f>
        <v>GROUND FLOOR</v>
      </c>
      <c r="G6" s="118">
        <f>'BD Team'!H11</f>
        <v>3354</v>
      </c>
      <c r="H6" s="118">
        <f>'BD Team'!I11</f>
        <v>2440</v>
      </c>
      <c r="I6" s="118">
        <f>'BD Team'!J11</f>
        <v>1</v>
      </c>
      <c r="J6" s="103">
        <f t="shared" si="0"/>
        <v>88.089992640000006</v>
      </c>
      <c r="K6" s="172">
        <f>'BD Team'!K11</f>
        <v>606.41999999999996</v>
      </c>
      <c r="L6" s="171">
        <f t="shared" si="1"/>
        <v>606.41999999999996</v>
      </c>
      <c r="M6" s="170">
        <f>L6*'Changable Values'!$D$4</f>
        <v>50332.859999999993</v>
      </c>
      <c r="N6" s="170" t="str">
        <f>'BD Team'!E11</f>
        <v>12MM &amp; 8MM</v>
      </c>
      <c r="O6" s="172">
        <v>1890</v>
      </c>
      <c r="P6" s="241"/>
      <c r="Q6" s="173">
        <f>50*10.764</f>
        <v>538.19999999999993</v>
      </c>
      <c r="R6" s="185"/>
      <c r="S6" s="312"/>
      <c r="T6" s="313">
        <f t="shared" si="2"/>
        <v>38.626666666666665</v>
      </c>
      <c r="U6" s="313">
        <f t="shared" si="3"/>
        <v>46.351999999999997</v>
      </c>
      <c r="V6" s="313">
        <f t="shared" si="4"/>
        <v>2.4141666666666666</v>
      </c>
      <c r="W6" s="313">
        <f t="shared" si="5"/>
        <v>38.626666666666665</v>
      </c>
      <c r="X6" s="313">
        <f t="shared" si="6"/>
        <v>77.25333333333333</v>
      </c>
      <c r="Y6" s="313">
        <f t="shared" si="7"/>
        <v>23.175999999999998</v>
      </c>
    </row>
    <row r="7" spans="1:25">
      <c r="A7" s="118">
        <f>'BD Team'!A12</f>
        <v>4</v>
      </c>
      <c r="B7" s="118" t="str">
        <f>'BD Team'!B12</f>
        <v>W1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GROUND FLOOR</v>
      </c>
      <c r="G7" s="118">
        <f>'BD Team'!H12</f>
        <v>1372</v>
      </c>
      <c r="H7" s="118">
        <f>'BD Team'!I12</f>
        <v>1220</v>
      </c>
      <c r="I7" s="118">
        <f>'BD Team'!J12</f>
        <v>1</v>
      </c>
      <c r="J7" s="103">
        <f t="shared" si="0"/>
        <v>18.017213759999997</v>
      </c>
      <c r="K7" s="172">
        <f>'BD Team'!K12</f>
        <v>139.01</v>
      </c>
      <c r="L7" s="171">
        <f t="shared" si="1"/>
        <v>139.01</v>
      </c>
      <c r="M7" s="170">
        <f>L7*'Changable Values'!$D$4</f>
        <v>11537.83</v>
      </c>
      <c r="N7" s="170" t="str">
        <f>'BD Team'!E12</f>
        <v>8MM</v>
      </c>
      <c r="O7" s="172">
        <v>1322</v>
      </c>
      <c r="P7" s="241"/>
      <c r="Q7" s="173">
        <f>50*10.764</f>
        <v>538.19999999999993</v>
      </c>
      <c r="R7" s="185"/>
      <c r="S7" s="312"/>
      <c r="T7" s="313">
        <f t="shared" si="2"/>
        <v>17.28</v>
      </c>
      <c r="U7" s="313">
        <f t="shared" si="3"/>
        <v>20.736000000000001</v>
      </c>
      <c r="V7" s="313">
        <f t="shared" si="4"/>
        <v>1.08</v>
      </c>
      <c r="W7" s="313">
        <f t="shared" si="5"/>
        <v>17.28</v>
      </c>
      <c r="X7" s="313">
        <f t="shared" si="6"/>
        <v>34.56</v>
      </c>
      <c r="Y7" s="313">
        <f t="shared" si="7"/>
        <v>10.368</v>
      </c>
    </row>
    <row r="8" spans="1:25">
      <c r="A8" s="118">
        <f>'BD Team'!A13</f>
        <v>5</v>
      </c>
      <c r="B8" s="118" t="str">
        <f>'BD Team'!B13</f>
        <v>W3</v>
      </c>
      <c r="C8" s="118" t="str">
        <f>'BD Team'!C13</f>
        <v>M15000</v>
      </c>
      <c r="D8" s="118" t="str">
        <f>'BD Team'!D13</f>
        <v>2 SIDE HUNG DOORS WITH CENTER FIXED WITH SILICON JOINT</v>
      </c>
      <c r="E8" s="118" t="str">
        <f>'BD Team'!F13</f>
        <v>NO</v>
      </c>
      <c r="F8" s="121" t="str">
        <f>'BD Team'!G13</f>
        <v>FIRST FLOOR</v>
      </c>
      <c r="G8" s="118">
        <f>'BD Team'!H13</f>
        <v>5640</v>
      </c>
      <c r="H8" s="118">
        <f>'BD Team'!I13</f>
        <v>2592</v>
      </c>
      <c r="I8" s="118">
        <f>'BD Team'!J13</f>
        <v>1</v>
      </c>
      <c r="J8" s="103">
        <f t="shared" si="0"/>
        <v>157.35762431999999</v>
      </c>
      <c r="K8" s="172">
        <f>'BD Team'!K13</f>
        <v>1019.59</v>
      </c>
      <c r="L8" s="171">
        <f t="shared" si="1"/>
        <v>1019.59</v>
      </c>
      <c r="M8" s="170">
        <f>L8*'Changable Values'!$D$4</f>
        <v>84625.97</v>
      </c>
      <c r="N8" s="170" t="str">
        <f>'BD Team'!E13</f>
        <v>12MM &amp; 8MM</v>
      </c>
      <c r="O8" s="172">
        <v>1890</v>
      </c>
      <c r="P8" s="241"/>
      <c r="Q8" s="173"/>
      <c r="R8" s="185"/>
      <c r="S8" s="312"/>
      <c r="T8" s="313">
        <f t="shared" si="2"/>
        <v>54.88</v>
      </c>
      <c r="U8" s="313">
        <f t="shared" si="3"/>
        <v>65.855999999999995</v>
      </c>
      <c r="V8" s="313">
        <f t="shared" si="4"/>
        <v>3.43</v>
      </c>
      <c r="W8" s="313">
        <f t="shared" si="5"/>
        <v>54.88</v>
      </c>
      <c r="X8" s="313">
        <f t="shared" si="6"/>
        <v>109.76</v>
      </c>
      <c r="Y8" s="313">
        <f t="shared" si="7"/>
        <v>32.927999999999997</v>
      </c>
    </row>
    <row r="9" spans="1:25">
      <c r="A9" s="118">
        <f>'BD Team'!A14</f>
        <v>6</v>
      </c>
      <c r="B9" s="118" t="str">
        <f>'BD Team'!B14</f>
        <v>W10</v>
      </c>
      <c r="C9" s="118" t="str">
        <f>'BD Team'!C14</f>
        <v>M15000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FIRST FLOOR</v>
      </c>
      <c r="G9" s="118">
        <f>'BD Team'!H14</f>
        <v>2794</v>
      </c>
      <c r="H9" s="118">
        <f>'BD Team'!I14</f>
        <v>1678</v>
      </c>
      <c r="I9" s="118">
        <f>'BD Team'!J14</f>
        <v>1</v>
      </c>
      <c r="J9" s="103">
        <f t="shared" si="0"/>
        <v>50.465205647999994</v>
      </c>
      <c r="K9" s="172">
        <f>'BD Team'!K14</f>
        <v>78.680000000000007</v>
      </c>
      <c r="L9" s="171">
        <f t="shared" si="1"/>
        <v>78.680000000000007</v>
      </c>
      <c r="M9" s="170">
        <f>L9*'Changable Values'!$D$4</f>
        <v>6530.4400000000005</v>
      </c>
      <c r="N9" s="170" t="str">
        <f>'BD Team'!E14</f>
        <v>12MM</v>
      </c>
      <c r="O9" s="172">
        <v>1890</v>
      </c>
      <c r="P9" s="241"/>
      <c r="Q9" s="173"/>
      <c r="R9" s="185"/>
      <c r="S9" s="312"/>
      <c r="T9" s="313">
        <f t="shared" si="2"/>
        <v>29.813333333333333</v>
      </c>
      <c r="U9" s="313">
        <f t="shared" si="3"/>
        <v>35.776000000000003</v>
      </c>
      <c r="V9" s="313">
        <f t="shared" si="4"/>
        <v>1.8633333333333333</v>
      </c>
      <c r="W9" s="313">
        <f t="shared" si="5"/>
        <v>29.813333333333333</v>
      </c>
      <c r="X9" s="313">
        <f t="shared" si="6"/>
        <v>59.626666666666665</v>
      </c>
      <c r="Y9" s="313">
        <f t="shared" si="7"/>
        <v>17.888000000000002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FIXED GLASS WITH SILICON JOINT</v>
      </c>
      <c r="E10" s="118" t="str">
        <f>'BD Team'!F15</f>
        <v>NO</v>
      </c>
      <c r="F10" s="121" t="str">
        <f>'BD Team'!G15</f>
        <v>FIRST FLOOR</v>
      </c>
      <c r="G10" s="118">
        <f>'BD Team'!H15</f>
        <v>3500</v>
      </c>
      <c r="H10" s="118">
        <f>'BD Team'!I15</f>
        <v>610</v>
      </c>
      <c r="I10" s="118">
        <f>'BD Team'!J15</f>
        <v>1</v>
      </c>
      <c r="J10" s="103">
        <f t="shared" si="0"/>
        <v>22.98114</v>
      </c>
      <c r="K10" s="172">
        <f>'BD Team'!K15</f>
        <v>73.17</v>
      </c>
      <c r="L10" s="171">
        <f t="shared" si="1"/>
        <v>73.17</v>
      </c>
      <c r="M10" s="170">
        <f>L10*'Changable Values'!$D$4</f>
        <v>6073.1100000000006</v>
      </c>
      <c r="N10" s="170" t="str">
        <f>'BD Team'!E15</f>
        <v>12MM</v>
      </c>
      <c r="O10" s="172">
        <v>1890</v>
      </c>
      <c r="P10" s="241"/>
      <c r="Q10" s="173"/>
      <c r="R10" s="185"/>
      <c r="S10" s="312"/>
      <c r="T10" s="313">
        <f t="shared" si="2"/>
        <v>27.4</v>
      </c>
      <c r="U10" s="313">
        <f t="shared" si="3"/>
        <v>32.880000000000003</v>
      </c>
      <c r="V10" s="313">
        <f t="shared" si="4"/>
        <v>1.7124999999999999</v>
      </c>
      <c r="W10" s="313">
        <f t="shared" si="5"/>
        <v>27.4</v>
      </c>
      <c r="X10" s="313">
        <f t="shared" si="6"/>
        <v>54.8</v>
      </c>
      <c r="Y10" s="313">
        <f t="shared" si="7"/>
        <v>16.440000000000001</v>
      </c>
    </row>
    <row r="11" spans="1:25">
      <c r="A11" s="118">
        <f>'BD Team'!A16</f>
        <v>8</v>
      </c>
      <c r="B11" s="118" t="str">
        <f>'BD Team'!B16</f>
        <v>W5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FIRST FLOOR</v>
      </c>
      <c r="G11" s="118">
        <f>'BD Team'!H16</f>
        <v>1220</v>
      </c>
      <c r="H11" s="118">
        <f>'BD Team'!I16</f>
        <v>1678</v>
      </c>
      <c r="I11" s="118">
        <f>'BD Team'!J16</f>
        <v>2</v>
      </c>
      <c r="J11" s="103">
        <f t="shared" si="0"/>
        <v>44.071260479999999</v>
      </c>
      <c r="K11" s="172">
        <f>'BD Team'!K16</f>
        <v>160.05000000000001</v>
      </c>
      <c r="L11" s="171">
        <f t="shared" si="1"/>
        <v>320.10000000000002</v>
      </c>
      <c r="M11" s="170">
        <f>L11*'Changable Values'!$D$4</f>
        <v>26568.300000000003</v>
      </c>
      <c r="N11" s="170" t="str">
        <f>'BD Team'!E16</f>
        <v>8MM</v>
      </c>
      <c r="O11" s="172">
        <v>1322</v>
      </c>
      <c r="P11" s="241"/>
      <c r="Q11" s="173">
        <f>50*10.764</f>
        <v>538.19999999999993</v>
      </c>
      <c r="R11" s="185"/>
      <c r="S11" s="312"/>
      <c r="T11" s="313">
        <f t="shared" si="2"/>
        <v>38.64</v>
      </c>
      <c r="U11" s="313">
        <f t="shared" si="3"/>
        <v>46.368000000000002</v>
      </c>
      <c r="V11" s="313">
        <f t="shared" si="4"/>
        <v>2.415</v>
      </c>
      <c r="W11" s="313">
        <f t="shared" si="5"/>
        <v>38.64</v>
      </c>
      <c r="X11" s="313">
        <f t="shared" si="6"/>
        <v>77.28</v>
      </c>
      <c r="Y11" s="313">
        <f t="shared" si="7"/>
        <v>23.184000000000001</v>
      </c>
    </row>
    <row r="12" spans="1:25">
      <c r="A12" s="118">
        <f>'BD Team'!A17</f>
        <v>9</v>
      </c>
      <c r="B12" s="118" t="str">
        <f>'BD Team'!B17</f>
        <v>FD1</v>
      </c>
      <c r="C12" s="118" t="str">
        <f>'BD Team'!C17</f>
        <v>M9800</v>
      </c>
      <c r="D12" s="118" t="str">
        <f>'BD Team'!D17</f>
        <v>4 LEAF SLIDE &amp; FOLD DOOR</v>
      </c>
      <c r="E12" s="118" t="str">
        <f>'BD Team'!F17</f>
        <v>NO</v>
      </c>
      <c r="F12" s="121" t="str">
        <f>'BD Team'!G17</f>
        <v>FIRST FLOOR</v>
      </c>
      <c r="G12" s="118">
        <f>'BD Team'!H17</f>
        <v>2540</v>
      </c>
      <c r="H12" s="118">
        <f>'BD Team'!I17</f>
        <v>2744</v>
      </c>
      <c r="I12" s="118">
        <f>'BD Team'!J17</f>
        <v>1</v>
      </c>
      <c r="J12" s="103">
        <f t="shared" si="0"/>
        <v>75.02249664</v>
      </c>
      <c r="K12" s="172">
        <f>'BD Team'!K17</f>
        <v>810.77</v>
      </c>
      <c r="L12" s="171">
        <f t="shared" si="1"/>
        <v>810.77</v>
      </c>
      <c r="M12" s="170">
        <f>L12*'Changable Values'!$D$4</f>
        <v>67293.91</v>
      </c>
      <c r="N12" s="170" t="str">
        <f>'BD Team'!E17</f>
        <v>8MM</v>
      </c>
      <c r="O12" s="172">
        <v>1322</v>
      </c>
      <c r="P12" s="241"/>
      <c r="Q12" s="173"/>
      <c r="R12" s="185"/>
      <c r="S12" s="312"/>
      <c r="T12" s="313">
        <f t="shared" si="2"/>
        <v>35.226666666666667</v>
      </c>
      <c r="U12" s="313">
        <f t="shared" si="3"/>
        <v>42.271999999999998</v>
      </c>
      <c r="V12" s="313">
        <f t="shared" si="4"/>
        <v>2.2016666666666667</v>
      </c>
      <c r="W12" s="313">
        <f t="shared" si="5"/>
        <v>35.226666666666667</v>
      </c>
      <c r="X12" s="313">
        <f t="shared" si="6"/>
        <v>70.453333333333333</v>
      </c>
      <c r="Y12" s="313">
        <f t="shared" si="7"/>
        <v>21.135999999999999</v>
      </c>
    </row>
    <row r="13" spans="1:25">
      <c r="A13" s="118">
        <f>'BD Team'!A18</f>
        <v>10</v>
      </c>
      <c r="B13" s="118" t="str">
        <f>'BD Team'!B18</f>
        <v>W1</v>
      </c>
      <c r="C13" s="118" t="str">
        <f>'BD Team'!C18</f>
        <v>M14600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FIRST FLOOR</v>
      </c>
      <c r="G13" s="118">
        <f>'BD Team'!H18</f>
        <v>916</v>
      </c>
      <c r="H13" s="118">
        <f>'BD Team'!I18</f>
        <v>2338</v>
      </c>
      <c r="I13" s="118">
        <f>'BD Team'!J18</f>
        <v>1</v>
      </c>
      <c r="J13" s="103">
        <f t="shared" si="0"/>
        <v>23.052268511999998</v>
      </c>
      <c r="K13" s="172">
        <f>'BD Team'!K18</f>
        <v>379.92</v>
      </c>
      <c r="L13" s="171">
        <f t="shared" si="1"/>
        <v>379.92</v>
      </c>
      <c r="M13" s="170">
        <f>L13*'Changable Values'!$D$4</f>
        <v>31533.360000000001</v>
      </c>
      <c r="N13" s="170" t="str">
        <f>'BD Team'!E18</f>
        <v>8MM</v>
      </c>
      <c r="O13" s="172">
        <v>1322</v>
      </c>
      <c r="P13" s="241"/>
      <c r="Q13" s="173">
        <f>50*10.764</f>
        <v>538.19999999999993</v>
      </c>
      <c r="R13" s="185"/>
      <c r="S13" s="312"/>
      <c r="T13" s="313">
        <f t="shared" si="2"/>
        <v>21.693333333333332</v>
      </c>
      <c r="U13" s="313">
        <f t="shared" si="3"/>
        <v>26.032</v>
      </c>
      <c r="V13" s="313">
        <f t="shared" si="4"/>
        <v>1.3558333333333332</v>
      </c>
      <c r="W13" s="313">
        <f t="shared" si="5"/>
        <v>21.693333333333332</v>
      </c>
      <c r="X13" s="313">
        <f t="shared" si="6"/>
        <v>43.386666666666663</v>
      </c>
      <c r="Y13" s="313">
        <f t="shared" si="7"/>
        <v>13.016</v>
      </c>
    </row>
    <row r="14" spans="1:25">
      <c r="A14" s="118">
        <f>'BD Team'!A19</f>
        <v>11</v>
      </c>
      <c r="B14" s="118" t="str">
        <f>'BD Team'!B19</f>
        <v>W8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FIRST FLOOR</v>
      </c>
      <c r="G14" s="118">
        <f>'BD Team'!H19</f>
        <v>560</v>
      </c>
      <c r="H14" s="118">
        <f>'BD Team'!I19</f>
        <v>2388</v>
      </c>
      <c r="I14" s="118">
        <f>'BD Team'!J19</f>
        <v>1</v>
      </c>
      <c r="J14" s="103">
        <f t="shared" si="0"/>
        <v>14.39448192</v>
      </c>
      <c r="K14" s="172">
        <f>'BD Team'!K19</f>
        <v>55.5</v>
      </c>
      <c r="L14" s="171">
        <f t="shared" si="1"/>
        <v>55.5</v>
      </c>
      <c r="M14" s="170">
        <f>L14*'Changable Values'!$D$4</f>
        <v>4606.5</v>
      </c>
      <c r="N14" s="170" t="str">
        <f>'BD Team'!E19</f>
        <v>12MM</v>
      </c>
      <c r="O14" s="172">
        <v>1890</v>
      </c>
      <c r="P14" s="241"/>
      <c r="Q14" s="173"/>
      <c r="R14" s="185"/>
      <c r="S14" s="312"/>
      <c r="T14" s="313">
        <f t="shared" si="2"/>
        <v>19.653333333333332</v>
      </c>
      <c r="U14" s="313">
        <f t="shared" si="3"/>
        <v>23.584</v>
      </c>
      <c r="V14" s="313">
        <f t="shared" si="4"/>
        <v>1.2283333333333333</v>
      </c>
      <c r="W14" s="313">
        <f t="shared" si="5"/>
        <v>19.653333333333332</v>
      </c>
      <c r="X14" s="313">
        <f t="shared" si="6"/>
        <v>39.306666666666665</v>
      </c>
      <c r="Y14" s="313">
        <f t="shared" si="7"/>
        <v>11.792</v>
      </c>
    </row>
    <row r="15" spans="1:25">
      <c r="A15" s="118">
        <f>'BD Team'!A20</f>
        <v>12</v>
      </c>
      <c r="B15" s="118" t="str">
        <f>'BD Team'!B20</f>
        <v>W5 GR</v>
      </c>
      <c r="C15" s="118" t="str">
        <f>'BD Team'!C20</f>
        <v>M900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FIRST FLOOR</v>
      </c>
      <c r="G15" s="118">
        <f>'BD Team'!H20</f>
        <v>1220</v>
      </c>
      <c r="H15" s="118">
        <f>'BD Team'!I20</f>
        <v>1678</v>
      </c>
      <c r="I15" s="118">
        <f>'BD Team'!J20</f>
        <v>1</v>
      </c>
      <c r="J15" s="103">
        <f t="shared" si="0"/>
        <v>22.03563024</v>
      </c>
      <c r="K15" s="172">
        <f>'BD Team'!K20</f>
        <v>160.05000000000001</v>
      </c>
      <c r="L15" s="171">
        <f t="shared" si="1"/>
        <v>160.05000000000001</v>
      </c>
      <c r="M15" s="170">
        <f>L15*'Changable Values'!$D$4</f>
        <v>13284.150000000001</v>
      </c>
      <c r="N15" s="170" t="str">
        <f>'BD Team'!E20</f>
        <v>8MM</v>
      </c>
      <c r="O15" s="172">
        <v>1322</v>
      </c>
      <c r="P15" s="241"/>
      <c r="Q15" s="173">
        <f t="shared" ref="Q15:Q16" si="8">50*10.764</f>
        <v>538.19999999999993</v>
      </c>
      <c r="R15" s="185"/>
      <c r="S15" s="312"/>
      <c r="T15" s="313">
        <f t="shared" si="2"/>
        <v>19.32</v>
      </c>
      <c r="U15" s="313">
        <f t="shared" si="3"/>
        <v>23.184000000000001</v>
      </c>
      <c r="V15" s="313">
        <f t="shared" si="4"/>
        <v>1.2075</v>
      </c>
      <c r="W15" s="313">
        <f t="shared" si="5"/>
        <v>19.32</v>
      </c>
      <c r="X15" s="313">
        <f t="shared" si="6"/>
        <v>38.64</v>
      </c>
      <c r="Y15" s="313">
        <f t="shared" si="7"/>
        <v>11.592000000000001</v>
      </c>
    </row>
    <row r="16" spans="1:25">
      <c r="A16" s="118">
        <f>'BD Team'!A21</f>
        <v>13</v>
      </c>
      <c r="B16" s="118" t="str">
        <f>'BD Team'!B21</f>
        <v>W9A</v>
      </c>
      <c r="C16" s="118" t="str">
        <f>'BD Team'!C21</f>
        <v>M14600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FIRST FLOOR</v>
      </c>
      <c r="G16" s="118">
        <f>'BD Team'!H21</f>
        <v>916</v>
      </c>
      <c r="H16" s="118">
        <f>'BD Team'!I21</f>
        <v>2338</v>
      </c>
      <c r="I16" s="118">
        <f>'BD Team'!J21</f>
        <v>1</v>
      </c>
      <c r="J16" s="103">
        <f t="shared" si="0"/>
        <v>23.052268511999998</v>
      </c>
      <c r="K16" s="172">
        <f>'BD Team'!K21</f>
        <v>402.82</v>
      </c>
      <c r="L16" s="171">
        <f t="shared" si="1"/>
        <v>402.82</v>
      </c>
      <c r="M16" s="170">
        <f>L16*'Changable Values'!$D$4</f>
        <v>33434.06</v>
      </c>
      <c r="N16" s="170" t="str">
        <f>'BD Team'!E21</f>
        <v>8MM</v>
      </c>
      <c r="O16" s="172">
        <v>1322</v>
      </c>
      <c r="P16" s="241"/>
      <c r="Q16" s="173">
        <f t="shared" si="8"/>
        <v>538.19999999999993</v>
      </c>
      <c r="R16" s="185"/>
      <c r="S16" s="312"/>
      <c r="T16" s="313">
        <f t="shared" si="2"/>
        <v>21.693333333333332</v>
      </c>
      <c r="U16" s="313">
        <f t="shared" si="3"/>
        <v>26.032</v>
      </c>
      <c r="V16" s="313">
        <f t="shared" si="4"/>
        <v>1.3558333333333332</v>
      </c>
      <c r="W16" s="313">
        <f t="shared" si="5"/>
        <v>21.693333333333332</v>
      </c>
      <c r="X16" s="313">
        <f t="shared" si="6"/>
        <v>43.386666666666663</v>
      </c>
      <c r="Y16" s="313">
        <f t="shared" si="7"/>
        <v>13.016</v>
      </c>
    </row>
    <row r="17" spans="1:25">
      <c r="A17" s="118">
        <f>'BD Team'!A22</f>
        <v>14</v>
      </c>
      <c r="B17" s="118" t="str">
        <f>'BD Team'!B22</f>
        <v>W9B</v>
      </c>
      <c r="C17" s="118" t="str">
        <f>'BD Team'!C22</f>
        <v>M15000</v>
      </c>
      <c r="D17" s="118" t="str">
        <f>'BD Team'!D22</f>
        <v>FIXED GLASS CORNOR WINDOW</v>
      </c>
      <c r="E17" s="118" t="str">
        <f>'BD Team'!F22</f>
        <v>NO</v>
      </c>
      <c r="F17" s="121" t="str">
        <f>'BD Team'!G22</f>
        <v>FIRST FLOOR</v>
      </c>
      <c r="G17" s="118">
        <f>'BD Team'!H22</f>
        <v>1108</v>
      </c>
      <c r="H17" s="118">
        <f>'BD Team'!I22</f>
        <v>2338</v>
      </c>
      <c r="I17" s="118">
        <f>'BD Team'!J22</f>
        <v>1</v>
      </c>
      <c r="J17" s="103">
        <f t="shared" si="0"/>
        <v>27.884185056</v>
      </c>
      <c r="K17" s="172">
        <f>'BD Team'!K22</f>
        <v>63.19</v>
      </c>
      <c r="L17" s="171">
        <f t="shared" si="1"/>
        <v>63.19</v>
      </c>
      <c r="M17" s="170">
        <f>L17*'Changable Values'!$D$4</f>
        <v>5244.7699999999995</v>
      </c>
      <c r="N17" s="170" t="str">
        <f>'BD Team'!E22</f>
        <v>12MM</v>
      </c>
      <c r="O17" s="172">
        <v>1890</v>
      </c>
      <c r="P17" s="241"/>
      <c r="Q17" s="173"/>
      <c r="R17" s="185"/>
      <c r="S17" s="312"/>
      <c r="T17" s="313">
        <f t="shared" si="2"/>
        <v>22.973333333333333</v>
      </c>
      <c r="U17" s="313">
        <f t="shared" si="3"/>
        <v>27.568000000000001</v>
      </c>
      <c r="V17" s="313">
        <f t="shared" si="4"/>
        <v>1.4358333333333333</v>
      </c>
      <c r="W17" s="313">
        <f t="shared" si="5"/>
        <v>22.973333333333333</v>
      </c>
      <c r="X17" s="313">
        <f t="shared" si="6"/>
        <v>45.946666666666665</v>
      </c>
      <c r="Y17" s="313">
        <f t="shared" si="7"/>
        <v>13.784000000000001</v>
      </c>
    </row>
    <row r="18" spans="1:25">
      <c r="A18" s="118">
        <f>'BD Team'!A23</f>
        <v>15</v>
      </c>
      <c r="B18" s="118" t="str">
        <f>'BD Team'!B23</f>
        <v>W4</v>
      </c>
      <c r="C18" s="118" t="str">
        <f>'BD Team'!C23</f>
        <v>M15000</v>
      </c>
      <c r="D18" s="118" t="str">
        <f>'BD Team'!D23</f>
        <v>FIXED GLASS 3 NO'S</v>
      </c>
      <c r="E18" s="118" t="str">
        <f>'BD Team'!F23</f>
        <v>NO</v>
      </c>
      <c r="F18" s="121" t="str">
        <f>'BD Team'!G23</f>
        <v>SECOND FLOOR</v>
      </c>
      <c r="G18" s="118">
        <f>'BD Team'!H23</f>
        <v>2896</v>
      </c>
      <c r="H18" s="118">
        <f>'BD Team'!I23</f>
        <v>762</v>
      </c>
      <c r="I18" s="118">
        <f>'BD Team'!J23</f>
        <v>1</v>
      </c>
      <c r="J18" s="103">
        <f t="shared" si="0"/>
        <v>23.753478527999999</v>
      </c>
      <c r="K18" s="172">
        <f>'BD Team'!K23</f>
        <v>128.66999999999999</v>
      </c>
      <c r="L18" s="171">
        <f t="shared" si="1"/>
        <v>128.66999999999999</v>
      </c>
      <c r="M18" s="170">
        <f>L18*'Changable Values'!$D$4</f>
        <v>10679.609999999999</v>
      </c>
      <c r="N18" s="170" t="str">
        <f>'BD Team'!E23</f>
        <v>12MM</v>
      </c>
      <c r="O18" s="172">
        <v>1890</v>
      </c>
      <c r="P18" s="241"/>
      <c r="Q18" s="173"/>
      <c r="R18" s="185"/>
      <c r="S18" s="312"/>
      <c r="T18" s="313">
        <f t="shared" si="2"/>
        <v>24.386666666666667</v>
      </c>
      <c r="U18" s="313">
        <f t="shared" si="3"/>
        <v>29.263999999999999</v>
      </c>
      <c r="V18" s="313">
        <f t="shared" si="4"/>
        <v>1.5241666666666667</v>
      </c>
      <c r="W18" s="313">
        <f t="shared" si="5"/>
        <v>24.386666666666667</v>
      </c>
      <c r="X18" s="313">
        <f t="shared" si="6"/>
        <v>48.773333333333333</v>
      </c>
      <c r="Y18" s="313">
        <f t="shared" si="7"/>
        <v>14.632</v>
      </c>
    </row>
    <row r="19" spans="1:25">
      <c r="A19" s="118">
        <f>'BD Team'!A24</f>
        <v>16</v>
      </c>
      <c r="B19" s="118" t="str">
        <f>'BD Team'!B24</f>
        <v>FD1 TOP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SECOND FLOOR</v>
      </c>
      <c r="G19" s="118">
        <f>'BD Team'!H24</f>
        <v>3658</v>
      </c>
      <c r="H19" s="118">
        <f>'BD Team'!I24</f>
        <v>610</v>
      </c>
      <c r="I19" s="118">
        <f>'BD Team'!J24</f>
        <v>1</v>
      </c>
      <c r="J19" s="103">
        <f t="shared" si="0"/>
        <v>24.018574319999999</v>
      </c>
      <c r="K19" s="172">
        <f>'BD Team'!K24</f>
        <v>75.569999999999993</v>
      </c>
      <c r="L19" s="171">
        <f t="shared" si="1"/>
        <v>75.569999999999993</v>
      </c>
      <c r="M19" s="170">
        <f>L19*'Changable Values'!$D$4</f>
        <v>6272.3099999999995</v>
      </c>
      <c r="N19" s="170" t="str">
        <f>'BD Team'!E24</f>
        <v>12MM</v>
      </c>
      <c r="O19" s="172">
        <v>1890</v>
      </c>
      <c r="P19" s="241"/>
      <c r="Q19" s="173"/>
      <c r="R19" s="185"/>
      <c r="S19" s="312"/>
      <c r="T19" s="313">
        <f t="shared" si="2"/>
        <v>28.453333333333333</v>
      </c>
      <c r="U19" s="313">
        <f t="shared" si="3"/>
        <v>34.143999999999998</v>
      </c>
      <c r="V19" s="313">
        <f t="shared" si="4"/>
        <v>1.7783333333333333</v>
      </c>
      <c r="W19" s="313">
        <f t="shared" si="5"/>
        <v>28.453333333333333</v>
      </c>
      <c r="X19" s="313">
        <f t="shared" si="6"/>
        <v>56.906666666666666</v>
      </c>
      <c r="Y19" s="313">
        <f t="shared" si="7"/>
        <v>17.071999999999999</v>
      </c>
    </row>
    <row r="20" spans="1:25">
      <c r="A20" s="118">
        <f>'BD Team'!A25</f>
        <v>17</v>
      </c>
      <c r="B20" s="118" t="str">
        <f>'BD Team'!B25</f>
        <v>FD1</v>
      </c>
      <c r="C20" s="118" t="str">
        <f>'BD Team'!C25</f>
        <v>M9800</v>
      </c>
      <c r="D20" s="118" t="str">
        <f>'BD Team'!D25</f>
        <v>6 LEAF SLIDE &amp; FOLD DOOR</v>
      </c>
      <c r="E20" s="118" t="str">
        <f>'BD Team'!F25</f>
        <v>NO</v>
      </c>
      <c r="F20" s="121" t="str">
        <f>'BD Team'!G25</f>
        <v>SECOND FLOOR</v>
      </c>
      <c r="G20" s="118">
        <f>'BD Team'!H25</f>
        <v>3658</v>
      </c>
      <c r="H20" s="118">
        <f>'BD Team'!I25</f>
        <v>2744</v>
      </c>
      <c r="I20" s="118">
        <f>'BD Team'!J25</f>
        <v>1</v>
      </c>
      <c r="J20" s="103">
        <f t="shared" si="0"/>
        <v>108.044209728</v>
      </c>
      <c r="K20" s="172">
        <f>'BD Team'!K25</f>
        <v>1176.74</v>
      </c>
      <c r="L20" s="171">
        <f t="shared" si="1"/>
        <v>1176.74</v>
      </c>
      <c r="M20" s="170">
        <f>L20*'Changable Values'!$D$4</f>
        <v>97669.42</v>
      </c>
      <c r="N20" s="170" t="str">
        <f>'BD Team'!E25</f>
        <v>8MM</v>
      </c>
      <c r="O20" s="172">
        <v>1322</v>
      </c>
      <c r="P20" s="241"/>
      <c r="Q20" s="173"/>
      <c r="R20" s="185"/>
      <c r="S20" s="312"/>
      <c r="T20" s="313">
        <f t="shared" si="2"/>
        <v>42.68</v>
      </c>
      <c r="U20" s="313">
        <f t="shared" si="3"/>
        <v>51.216000000000001</v>
      </c>
      <c r="V20" s="313">
        <f t="shared" si="4"/>
        <v>2.6675</v>
      </c>
      <c r="W20" s="313">
        <f t="shared" si="5"/>
        <v>42.68</v>
      </c>
      <c r="X20" s="313">
        <f t="shared" si="6"/>
        <v>85.36</v>
      </c>
      <c r="Y20" s="313">
        <f t="shared" si="7"/>
        <v>25.608000000000001</v>
      </c>
    </row>
    <row r="21" spans="1:25">
      <c r="A21" s="118">
        <f>'BD Team'!A26</f>
        <v>18</v>
      </c>
      <c r="B21" s="118" t="str">
        <f>'BD Team'!B26</f>
        <v>FD2</v>
      </c>
      <c r="C21" s="118" t="str">
        <f>'BD Team'!C26</f>
        <v>M9800</v>
      </c>
      <c r="D21" s="118" t="str">
        <f>'BD Team'!D26</f>
        <v>4 LEAF SLIDE &amp; FOLD DOOR</v>
      </c>
      <c r="E21" s="118" t="str">
        <f>'BD Team'!F26</f>
        <v>NO</v>
      </c>
      <c r="F21" s="121" t="str">
        <f>'BD Team'!G26</f>
        <v>SECOND FLOOR</v>
      </c>
      <c r="G21" s="118">
        <f>'BD Team'!H26</f>
        <v>2440</v>
      </c>
      <c r="H21" s="118">
        <f>'BD Team'!I26</f>
        <v>2744</v>
      </c>
      <c r="I21" s="118">
        <f>'BD Team'!J26</f>
        <v>1</v>
      </c>
      <c r="J21" s="103">
        <f t="shared" si="0"/>
        <v>72.068855039999988</v>
      </c>
      <c r="K21" s="172">
        <f>'BD Team'!K26</f>
        <v>805.28</v>
      </c>
      <c r="L21" s="171">
        <f t="shared" si="1"/>
        <v>805.28</v>
      </c>
      <c r="M21" s="170">
        <f>L21*'Changable Values'!$D$4</f>
        <v>66838.239999999991</v>
      </c>
      <c r="N21" s="170" t="str">
        <f>'BD Team'!E26</f>
        <v>8MM</v>
      </c>
      <c r="O21" s="172">
        <v>1322</v>
      </c>
      <c r="P21" s="241"/>
      <c r="Q21" s="173"/>
      <c r="R21" s="185"/>
      <c r="S21" s="312"/>
      <c r="T21" s="313">
        <f t="shared" si="2"/>
        <v>34.56</v>
      </c>
      <c r="U21" s="313">
        <f t="shared" si="3"/>
        <v>41.472000000000001</v>
      </c>
      <c r="V21" s="313">
        <f t="shared" si="4"/>
        <v>2.16</v>
      </c>
      <c r="W21" s="313">
        <f t="shared" si="5"/>
        <v>34.56</v>
      </c>
      <c r="X21" s="313">
        <f t="shared" si="6"/>
        <v>69.12</v>
      </c>
      <c r="Y21" s="313">
        <f t="shared" si="7"/>
        <v>20.736000000000001</v>
      </c>
    </row>
    <row r="22" spans="1:25">
      <c r="A22" s="118">
        <f>'BD Team'!A27</f>
        <v>19</v>
      </c>
      <c r="B22" s="118" t="str">
        <f>'BD Team'!B27</f>
        <v>W3</v>
      </c>
      <c r="C22" s="118" t="str">
        <f>'BD Team'!C27</f>
        <v>M900</v>
      </c>
      <c r="D22" s="118" t="str">
        <f>'BD Team'!D27</f>
        <v>3 TRACK 2 SHUTTER SLIDING WINDOW</v>
      </c>
      <c r="E22" s="118" t="str">
        <f>'BD Team'!F27</f>
        <v>SS</v>
      </c>
      <c r="F22" s="121" t="str">
        <f>'BD Team'!G27</f>
        <v>SECOND FLOOR</v>
      </c>
      <c r="G22" s="118">
        <f>'BD Team'!H27</f>
        <v>1754</v>
      </c>
      <c r="H22" s="118">
        <f>'BD Team'!I27</f>
        <v>1220</v>
      </c>
      <c r="I22" s="118">
        <f>'BD Team'!J27</f>
        <v>1</v>
      </c>
      <c r="J22" s="103">
        <f t="shared" si="0"/>
        <v>23.03366832</v>
      </c>
      <c r="K22" s="172">
        <f>'BD Team'!K27</f>
        <v>151.19</v>
      </c>
      <c r="L22" s="171">
        <f t="shared" si="1"/>
        <v>151.19</v>
      </c>
      <c r="M22" s="170">
        <f>L22*'Changable Values'!$D$4</f>
        <v>12548.77</v>
      </c>
      <c r="N22" s="170" t="str">
        <f>'BD Team'!E27</f>
        <v>8MM</v>
      </c>
      <c r="O22" s="172">
        <v>1322</v>
      </c>
      <c r="P22" s="241"/>
      <c r="Q22" s="173">
        <f t="shared" ref="Q22:Q23" si="9">50*10.764</f>
        <v>538.19999999999993</v>
      </c>
      <c r="R22" s="185"/>
      <c r="S22" s="312"/>
      <c r="T22" s="313">
        <f t="shared" si="2"/>
        <v>19.826666666666668</v>
      </c>
      <c r="U22" s="313">
        <f t="shared" si="3"/>
        <v>23.792000000000002</v>
      </c>
      <c r="V22" s="313">
        <f t="shared" si="4"/>
        <v>1.2391666666666667</v>
      </c>
      <c r="W22" s="313">
        <f t="shared" si="5"/>
        <v>19.826666666666668</v>
      </c>
      <c r="X22" s="313">
        <f t="shared" si="6"/>
        <v>39.653333333333336</v>
      </c>
      <c r="Y22" s="313">
        <f t="shared" si="7"/>
        <v>11.896000000000001</v>
      </c>
    </row>
    <row r="23" spans="1:25">
      <c r="A23" s="118">
        <f>'BD Team'!A28</f>
        <v>20</v>
      </c>
      <c r="B23" s="118" t="str">
        <f>'BD Team'!B28</f>
        <v>W2A</v>
      </c>
      <c r="C23" s="118" t="str">
        <f>'BD Team'!C28</f>
        <v>M14600</v>
      </c>
      <c r="D23" s="118" t="str">
        <f>'BD Team'!D28</f>
        <v>3 TRACK 2 SHUTTER SLIDING WINDOW</v>
      </c>
      <c r="E23" s="118" t="str">
        <f>'BD Team'!F28</f>
        <v>SS</v>
      </c>
      <c r="F23" s="121" t="str">
        <f>'BD Team'!G28</f>
        <v>SECOND FLOOR</v>
      </c>
      <c r="G23" s="118">
        <f>'BD Team'!H28</f>
        <v>1068</v>
      </c>
      <c r="H23" s="118">
        <f>'BD Team'!I28</f>
        <v>1830</v>
      </c>
      <c r="I23" s="118">
        <f>'BD Team'!J28</f>
        <v>1</v>
      </c>
      <c r="J23" s="103">
        <f t="shared" si="0"/>
        <v>21.037592159999999</v>
      </c>
      <c r="K23" s="172">
        <f>'BD Team'!K28</f>
        <v>345.5</v>
      </c>
      <c r="L23" s="171">
        <f t="shared" si="1"/>
        <v>345.5</v>
      </c>
      <c r="M23" s="170">
        <f>L23*'Changable Values'!$D$4</f>
        <v>28676.5</v>
      </c>
      <c r="N23" s="170" t="str">
        <f>'BD Team'!E28</f>
        <v>8MM</v>
      </c>
      <c r="O23" s="172">
        <v>1322</v>
      </c>
      <c r="P23" s="241"/>
      <c r="Q23" s="173">
        <f t="shared" si="9"/>
        <v>538.19999999999993</v>
      </c>
      <c r="R23" s="185"/>
      <c r="S23" s="312"/>
      <c r="T23" s="313">
        <f t="shared" si="2"/>
        <v>19.32</v>
      </c>
      <c r="U23" s="313">
        <f t="shared" si="3"/>
        <v>23.184000000000001</v>
      </c>
      <c r="V23" s="313">
        <f t="shared" si="4"/>
        <v>1.2075</v>
      </c>
      <c r="W23" s="313">
        <f t="shared" si="5"/>
        <v>19.32</v>
      </c>
      <c r="X23" s="313">
        <f t="shared" si="6"/>
        <v>38.64</v>
      </c>
      <c r="Y23" s="313">
        <f t="shared" si="7"/>
        <v>11.592000000000001</v>
      </c>
    </row>
    <row r="24" spans="1:25">
      <c r="A24" s="118">
        <f>'BD Team'!A29</f>
        <v>21</v>
      </c>
      <c r="B24" s="118" t="str">
        <f>'BD Team'!B29</f>
        <v>W2B</v>
      </c>
      <c r="C24" s="118" t="str">
        <f>'BD Team'!C29</f>
        <v>M15000</v>
      </c>
      <c r="D24" s="118" t="str">
        <f>'BD Team'!D29</f>
        <v>FIXED GLASS CORNOR WINDOW</v>
      </c>
      <c r="E24" s="118" t="str">
        <f>'BD Team'!F29</f>
        <v>NO</v>
      </c>
      <c r="F24" s="121" t="str">
        <f>'BD Team'!G29</f>
        <v>SECOND FLOOR</v>
      </c>
      <c r="G24" s="118">
        <f>'BD Team'!H29</f>
        <v>2296</v>
      </c>
      <c r="H24" s="118">
        <f>'BD Team'!I29</f>
        <v>1830</v>
      </c>
      <c r="I24" s="118">
        <f>'BD Team'!J29</f>
        <v>1</v>
      </c>
      <c r="J24" s="103">
        <f t="shared" si="0"/>
        <v>45.226883519999994</v>
      </c>
      <c r="K24" s="172">
        <f>'BD Team'!K29</f>
        <v>230.33</v>
      </c>
      <c r="L24" s="171">
        <f t="shared" si="1"/>
        <v>230.33</v>
      </c>
      <c r="M24" s="170">
        <f>L24*'Changable Values'!$D$4</f>
        <v>19117.39</v>
      </c>
      <c r="N24" s="170" t="str">
        <f>'BD Team'!E29</f>
        <v>12MM</v>
      </c>
      <c r="O24" s="172">
        <v>1890</v>
      </c>
      <c r="P24" s="241"/>
      <c r="Q24" s="173"/>
      <c r="R24" s="185"/>
      <c r="S24" s="312"/>
      <c r="T24" s="313">
        <f t="shared" si="2"/>
        <v>27.506666666666668</v>
      </c>
      <c r="U24" s="313">
        <f t="shared" si="3"/>
        <v>33.008000000000003</v>
      </c>
      <c r="V24" s="313">
        <f t="shared" si="4"/>
        <v>1.7191666666666667</v>
      </c>
      <c r="W24" s="313">
        <f t="shared" si="5"/>
        <v>27.506666666666668</v>
      </c>
      <c r="X24" s="313">
        <f t="shared" si="6"/>
        <v>55.013333333333335</v>
      </c>
      <c r="Y24" s="313">
        <f t="shared" si="7"/>
        <v>16.504000000000001</v>
      </c>
    </row>
    <row r="25" spans="1:25">
      <c r="A25" s="118">
        <f>'BD Team'!A30</f>
        <v>22</v>
      </c>
      <c r="B25" s="118" t="str">
        <f>'BD Team'!B30</f>
        <v>W5</v>
      </c>
      <c r="C25" s="118" t="str">
        <f>'BD Team'!C30</f>
        <v>M15000</v>
      </c>
      <c r="D25" s="118" t="str">
        <f>'BD Team'!D30</f>
        <v>FIXED GLASS WITH EXHAUST FAN PROVISION</v>
      </c>
      <c r="E25" s="118" t="str">
        <f>'BD Team'!F30</f>
        <v>NO</v>
      </c>
      <c r="F25" s="121" t="str">
        <f>'BD Team'!G30</f>
        <v>SECOND FLOOR</v>
      </c>
      <c r="G25" s="118">
        <f>'BD Team'!H30</f>
        <v>382</v>
      </c>
      <c r="H25" s="118">
        <f>'BD Team'!I30</f>
        <v>1754</v>
      </c>
      <c r="I25" s="118">
        <f>'BD Team'!J30</f>
        <v>1</v>
      </c>
      <c r="J25" s="103">
        <f t="shared" si="0"/>
        <v>7.2121813919999997</v>
      </c>
      <c r="K25" s="172">
        <f>'BD Team'!K30</f>
        <v>66.3</v>
      </c>
      <c r="L25" s="171">
        <f t="shared" si="1"/>
        <v>66.3</v>
      </c>
      <c r="M25" s="170">
        <f>L25*'Changable Values'!$D$4</f>
        <v>5502.9</v>
      </c>
      <c r="N25" s="170" t="str">
        <f>'BD Team'!E30</f>
        <v>12MM (F)</v>
      </c>
      <c r="O25" s="172">
        <v>2892</v>
      </c>
      <c r="P25" s="241"/>
      <c r="Q25" s="173"/>
      <c r="R25" s="185"/>
      <c r="S25" s="312"/>
      <c r="T25" s="313">
        <f t="shared" si="2"/>
        <v>14.24</v>
      </c>
      <c r="U25" s="313">
        <f t="shared" si="3"/>
        <v>17.088000000000001</v>
      </c>
      <c r="V25" s="313">
        <f t="shared" si="4"/>
        <v>0.89</v>
      </c>
      <c r="W25" s="313">
        <f t="shared" si="5"/>
        <v>14.24</v>
      </c>
      <c r="X25" s="313">
        <f t="shared" si="6"/>
        <v>28.48</v>
      </c>
      <c r="Y25" s="313">
        <f t="shared" si="7"/>
        <v>8.5440000000000005</v>
      </c>
    </row>
    <row r="26" spans="1:25">
      <c r="A26" s="118">
        <f>'BD Team'!A31</f>
        <v>23</v>
      </c>
      <c r="B26" s="118" t="str">
        <f>'BD Team'!B31</f>
        <v>W6</v>
      </c>
      <c r="C26" s="118" t="str">
        <f>'BD Team'!C31</f>
        <v>M14600</v>
      </c>
      <c r="D26" s="118" t="str">
        <f>'BD Team'!D31</f>
        <v>3 TRACK 2 SHUTTER SLIDING WITH CENTER FIXED WITH SILICON JOINT</v>
      </c>
      <c r="E26" s="118" t="str">
        <f>'BD Team'!F31</f>
        <v>SS</v>
      </c>
      <c r="F26" s="121" t="str">
        <f>'BD Team'!G31</f>
        <v>SECOND FLOOR</v>
      </c>
      <c r="G26" s="118">
        <f>'BD Team'!H31</f>
        <v>5666</v>
      </c>
      <c r="H26" s="118">
        <f>'BD Team'!I31</f>
        <v>2744</v>
      </c>
      <c r="I26" s="118">
        <f>'BD Team'!J31</f>
        <v>1</v>
      </c>
      <c r="J26" s="103">
        <f t="shared" si="0"/>
        <v>167.353333056</v>
      </c>
      <c r="K26" s="172">
        <f>'BD Team'!K31</f>
        <v>870.88</v>
      </c>
      <c r="L26" s="171">
        <f t="shared" si="1"/>
        <v>870.88</v>
      </c>
      <c r="M26" s="170">
        <f>L26*'Changable Values'!$D$4</f>
        <v>72283.039999999994</v>
      </c>
      <c r="N26" s="170" t="str">
        <f>'BD Team'!E31</f>
        <v>8MM</v>
      </c>
      <c r="O26" s="172">
        <v>1322</v>
      </c>
      <c r="P26" s="241"/>
      <c r="Q26" s="173">
        <f>50*10.764</f>
        <v>538.19999999999993</v>
      </c>
      <c r="R26" s="185"/>
      <c r="S26" s="312"/>
      <c r="T26" s="313">
        <f t="shared" si="2"/>
        <v>56.06666666666667</v>
      </c>
      <c r="U26" s="313">
        <f t="shared" si="3"/>
        <v>67.28</v>
      </c>
      <c r="V26" s="313">
        <f t="shared" si="4"/>
        <v>3.5041666666666669</v>
      </c>
      <c r="W26" s="313">
        <f t="shared" si="5"/>
        <v>56.06666666666667</v>
      </c>
      <c r="X26" s="313">
        <f t="shared" si="6"/>
        <v>112.13333333333334</v>
      </c>
      <c r="Y26" s="313">
        <f t="shared" si="7"/>
        <v>33.64</v>
      </c>
    </row>
    <row r="27" spans="1:25">
      <c r="A27" s="118">
        <f>'BD Team'!A32</f>
        <v>24</v>
      </c>
      <c r="B27" s="118" t="str">
        <f>'BD Team'!B32</f>
        <v>FD2</v>
      </c>
      <c r="C27" s="118" t="str">
        <f>'BD Team'!C32</f>
        <v>M15000</v>
      </c>
      <c r="D27" s="118" t="str">
        <f>'BD Team'!D32</f>
        <v>FRENCH CASEMENT DOOR</v>
      </c>
      <c r="E27" s="118" t="str">
        <f>'BD Team'!F32</f>
        <v>NO</v>
      </c>
      <c r="F27" s="121" t="str">
        <f>'BD Team'!G32</f>
        <v>THIRD FLOOR</v>
      </c>
      <c r="G27" s="118">
        <f>'BD Team'!H32</f>
        <v>1524</v>
      </c>
      <c r="H27" s="118">
        <f>'BD Team'!I32</f>
        <v>2744</v>
      </c>
      <c r="I27" s="118">
        <f>'BD Team'!J32</f>
        <v>1</v>
      </c>
      <c r="J27" s="103">
        <f t="shared" si="0"/>
        <v>45.013497983999997</v>
      </c>
      <c r="K27" s="172">
        <f>'BD Team'!K32</f>
        <v>604.5</v>
      </c>
      <c r="L27" s="171">
        <f t="shared" si="1"/>
        <v>604.5</v>
      </c>
      <c r="M27" s="170">
        <f>L27*'Changable Values'!$D$4</f>
        <v>50173.5</v>
      </c>
      <c r="N27" s="170" t="str">
        <f>'BD Team'!E32</f>
        <v>8MM</v>
      </c>
      <c r="O27" s="172">
        <v>1322</v>
      </c>
      <c r="P27" s="241"/>
      <c r="Q27" s="173"/>
      <c r="R27" s="185"/>
      <c r="S27" s="312"/>
      <c r="T27" s="313">
        <f t="shared" si="2"/>
        <v>28.453333333333333</v>
      </c>
      <c r="U27" s="313">
        <f t="shared" si="3"/>
        <v>34.143999999999998</v>
      </c>
      <c r="V27" s="313">
        <f t="shared" si="4"/>
        <v>1.7783333333333333</v>
      </c>
      <c r="W27" s="313">
        <f t="shared" si="5"/>
        <v>28.453333333333333</v>
      </c>
      <c r="X27" s="313">
        <f t="shared" si="6"/>
        <v>56.906666666666666</v>
      </c>
      <c r="Y27" s="313">
        <f t="shared" si="7"/>
        <v>17.071999999999999</v>
      </c>
    </row>
    <row r="28" spans="1:25">
      <c r="A28" s="118">
        <f>'BD Team'!A33</f>
        <v>25</v>
      </c>
      <c r="B28" s="118" t="str">
        <f>'BD Team'!B33</f>
        <v>W1</v>
      </c>
      <c r="C28" s="118" t="str">
        <f>'BD Team'!C33</f>
        <v>M14600 &amp; M15000</v>
      </c>
      <c r="D28" s="118" t="str">
        <f>'BD Team'!D33</f>
        <v>3 TRACK 2 SHUTTER SLIDING DOOR WITH TOP FIXED AND FIXED GLASS WITH SILICON JOINT</v>
      </c>
      <c r="E28" s="118" t="str">
        <f>'BD Team'!F33</f>
        <v>SS</v>
      </c>
      <c r="F28" s="121" t="str">
        <f>'BD Team'!G33</f>
        <v>THIRD FLOOR</v>
      </c>
      <c r="G28" s="118">
        <f>'BD Team'!H33</f>
        <v>4116</v>
      </c>
      <c r="H28" s="118">
        <f>'BD Team'!I33</f>
        <v>3202</v>
      </c>
      <c r="I28" s="118">
        <f>'BD Team'!J33</f>
        <v>1</v>
      </c>
      <c r="J28" s="103">
        <f t="shared" si="0"/>
        <v>141.86340604799997</v>
      </c>
      <c r="K28" s="172">
        <f>'BD Team'!K33</f>
        <v>655.45</v>
      </c>
      <c r="L28" s="171">
        <f t="shared" si="1"/>
        <v>655.45</v>
      </c>
      <c r="M28" s="170">
        <f>L28*'Changable Values'!$D$4</f>
        <v>54402.350000000006</v>
      </c>
      <c r="N28" s="170" t="str">
        <f>'BD Team'!E33</f>
        <v>12MM &amp; 8MM</v>
      </c>
      <c r="O28" s="172">
        <v>1890</v>
      </c>
      <c r="P28" s="241"/>
      <c r="Q28" s="173">
        <f>50*10.764</f>
        <v>538.19999999999993</v>
      </c>
      <c r="R28" s="185"/>
      <c r="S28" s="312"/>
      <c r="T28" s="313">
        <f t="shared" si="2"/>
        <v>48.786666666666669</v>
      </c>
      <c r="U28" s="313">
        <f t="shared" si="3"/>
        <v>58.543999999999997</v>
      </c>
      <c r="V28" s="313">
        <f t="shared" si="4"/>
        <v>3.0491666666666668</v>
      </c>
      <c r="W28" s="313">
        <f t="shared" si="5"/>
        <v>48.786666666666669</v>
      </c>
      <c r="X28" s="313">
        <f t="shared" si="6"/>
        <v>97.573333333333338</v>
      </c>
      <c r="Y28" s="313">
        <f t="shared" si="7"/>
        <v>29.271999999999998</v>
      </c>
    </row>
    <row r="29" spans="1:25">
      <c r="A29" s="118">
        <f>'BD Team'!A34</f>
        <v>26</v>
      </c>
      <c r="B29" s="118" t="str">
        <f>'BD Team'!B34</f>
        <v>W2</v>
      </c>
      <c r="C29" s="118" t="str">
        <f>'BD Team'!C34</f>
        <v>M15000</v>
      </c>
      <c r="D29" s="118" t="str">
        <f>'BD Team'!D34</f>
        <v>FIXED GLASS TOP &amp; BOTTOM WITH SILICON JOINT</v>
      </c>
      <c r="E29" s="118" t="str">
        <f>'BD Team'!F34</f>
        <v>NO</v>
      </c>
      <c r="F29" s="121" t="str">
        <f>'BD Team'!G34</f>
        <v>THIRD FLOOR</v>
      </c>
      <c r="G29" s="118">
        <f>'BD Team'!H34</f>
        <v>4116</v>
      </c>
      <c r="H29" s="118">
        <f>'BD Team'!I34</f>
        <v>3202</v>
      </c>
      <c r="I29" s="118">
        <f>'BD Team'!J34</f>
        <v>1</v>
      </c>
      <c r="J29" s="103">
        <f t="shared" si="0"/>
        <v>141.86340604799997</v>
      </c>
      <c r="K29" s="172">
        <f>'BD Team'!K34</f>
        <v>364.91</v>
      </c>
      <c r="L29" s="171">
        <f t="shared" si="1"/>
        <v>364.91</v>
      </c>
      <c r="M29" s="170">
        <f>L29*'Changable Values'!$D$4</f>
        <v>30287.530000000002</v>
      </c>
      <c r="N29" s="170" t="str">
        <f>'BD Team'!E34</f>
        <v>12MM</v>
      </c>
      <c r="O29" s="172">
        <v>1890</v>
      </c>
      <c r="P29" s="241"/>
      <c r="Q29" s="173"/>
      <c r="R29" s="185"/>
      <c r="S29" s="312"/>
      <c r="T29" s="313">
        <f t="shared" si="2"/>
        <v>48.786666666666669</v>
      </c>
      <c r="U29" s="313">
        <f t="shared" si="3"/>
        <v>58.543999999999997</v>
      </c>
      <c r="V29" s="313">
        <f t="shared" si="4"/>
        <v>3.0491666666666668</v>
      </c>
      <c r="W29" s="313">
        <f t="shared" si="5"/>
        <v>48.786666666666669</v>
      </c>
      <c r="X29" s="313">
        <f t="shared" si="6"/>
        <v>97.573333333333338</v>
      </c>
      <c r="Y29" s="313">
        <f t="shared" si="7"/>
        <v>29.271999999999998</v>
      </c>
    </row>
    <row r="30" spans="1:25">
      <c r="A30" s="118">
        <f>'BD Team'!A35</f>
        <v>27</v>
      </c>
      <c r="B30" s="118" t="str">
        <f>'BD Team'!B35</f>
        <v>W4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THIRD FLOOR</v>
      </c>
      <c r="G30" s="118">
        <f>'BD Team'!H35</f>
        <v>1932</v>
      </c>
      <c r="H30" s="118">
        <f>'BD Team'!I35</f>
        <v>2134</v>
      </c>
      <c r="I30" s="118">
        <f>'BD Team'!J35</f>
        <v>1</v>
      </c>
      <c r="J30" s="103">
        <f t="shared" si="0"/>
        <v>44.378766431999999</v>
      </c>
      <c r="K30" s="172">
        <f>'BD Team'!K35</f>
        <v>446.34</v>
      </c>
      <c r="L30" s="171">
        <f t="shared" si="1"/>
        <v>446.34</v>
      </c>
      <c r="M30" s="170">
        <f>L30*'Changable Values'!$D$4</f>
        <v>37046.22</v>
      </c>
      <c r="N30" s="170" t="str">
        <f>'BD Team'!E35</f>
        <v>8MM</v>
      </c>
      <c r="O30" s="172">
        <v>1322</v>
      </c>
      <c r="P30" s="241"/>
      <c r="Q30" s="173">
        <f>50*10.764</f>
        <v>538.19999999999993</v>
      </c>
      <c r="R30" s="185"/>
      <c r="S30" s="312"/>
      <c r="T30" s="313">
        <f t="shared" si="2"/>
        <v>27.106666666666666</v>
      </c>
      <c r="U30" s="313">
        <f t="shared" si="3"/>
        <v>32.527999999999999</v>
      </c>
      <c r="V30" s="313">
        <f t="shared" si="4"/>
        <v>1.6941666666666666</v>
      </c>
      <c r="W30" s="313">
        <f t="shared" si="5"/>
        <v>27.106666666666666</v>
      </c>
      <c r="X30" s="313">
        <f t="shared" si="6"/>
        <v>54.213333333333331</v>
      </c>
      <c r="Y30" s="313">
        <f t="shared" si="7"/>
        <v>16.263999999999999</v>
      </c>
    </row>
    <row r="31" spans="1:25">
      <c r="A31" s="118">
        <f>'BD Team'!A36</f>
        <v>28</v>
      </c>
      <c r="B31" s="118" t="str">
        <f>'BD Team'!B36</f>
        <v>W6</v>
      </c>
      <c r="C31" s="118" t="str">
        <f>'BD Team'!C36</f>
        <v>M15000</v>
      </c>
      <c r="D31" s="118" t="str">
        <f>'BD Team'!D36</f>
        <v>FIXED GLASS WITH SILICON JOINT</v>
      </c>
      <c r="E31" s="118" t="str">
        <f>'BD Team'!F36</f>
        <v>NO</v>
      </c>
      <c r="F31" s="121" t="str">
        <f>'BD Team'!G36</f>
        <v>THIRD FLOOR</v>
      </c>
      <c r="G31" s="118">
        <f>'BD Team'!H36</f>
        <v>3964</v>
      </c>
      <c r="H31" s="118">
        <f>'BD Team'!I36</f>
        <v>610</v>
      </c>
      <c r="I31" s="118">
        <f>'BD Team'!J36</f>
        <v>1</v>
      </c>
      <c r="J31" s="103">
        <f t="shared" si="0"/>
        <v>26.027782559999999</v>
      </c>
      <c r="K31" s="172">
        <f>'BD Team'!K36</f>
        <v>80.23</v>
      </c>
      <c r="L31" s="171">
        <f t="shared" si="1"/>
        <v>80.23</v>
      </c>
      <c r="M31" s="170">
        <f>L31*'Changable Values'!$D$4</f>
        <v>6659.09</v>
      </c>
      <c r="N31" s="170" t="str">
        <f>'BD Team'!E36</f>
        <v>12MM</v>
      </c>
      <c r="O31" s="172">
        <v>1890</v>
      </c>
      <c r="P31" s="241"/>
      <c r="Q31" s="173"/>
      <c r="R31" s="185"/>
      <c r="S31" s="312"/>
      <c r="T31" s="313">
        <f t="shared" si="2"/>
        <v>30.493333333333332</v>
      </c>
      <c r="U31" s="313">
        <f t="shared" si="3"/>
        <v>36.591999999999999</v>
      </c>
      <c r="V31" s="313">
        <f t="shared" si="4"/>
        <v>1.9058333333333333</v>
      </c>
      <c r="W31" s="313">
        <f t="shared" si="5"/>
        <v>30.493333333333332</v>
      </c>
      <c r="X31" s="313">
        <f t="shared" si="6"/>
        <v>60.986666666666665</v>
      </c>
      <c r="Y31" s="313">
        <f t="shared" si="7"/>
        <v>18.295999999999999</v>
      </c>
    </row>
    <row r="32" spans="1:25">
      <c r="A32" s="118">
        <f>'BD Team'!A37</f>
        <v>29</v>
      </c>
      <c r="B32" s="118" t="str">
        <f>'BD Team'!B37</f>
        <v>W3</v>
      </c>
      <c r="C32" s="118" t="str">
        <f>'BD Team'!C37</f>
        <v>M14600 &amp; M15000</v>
      </c>
      <c r="D32" s="118" t="str">
        <f>'BD Team'!D37</f>
        <v>3 TRACK 2 SHUTTER SLIDING DOOR WITH TOP FIXED AND FIXED GLASS WITH SILICON JOINT</v>
      </c>
      <c r="E32" s="118" t="str">
        <f>'BD Team'!F37</f>
        <v>SS</v>
      </c>
      <c r="F32" s="121" t="str">
        <f>'BD Team'!G37</f>
        <v>THIRD FLOOR</v>
      </c>
      <c r="G32" s="118">
        <f>'BD Team'!H37</f>
        <v>4116</v>
      </c>
      <c r="H32" s="118">
        <f>'BD Team'!I37</f>
        <v>2592</v>
      </c>
      <c r="I32" s="118">
        <f>'BD Team'!J37</f>
        <v>1</v>
      </c>
      <c r="J32" s="103">
        <f t="shared" si="0"/>
        <v>114.837585408</v>
      </c>
      <c r="K32" s="172">
        <f>'BD Team'!K37</f>
        <v>555.51</v>
      </c>
      <c r="L32" s="171">
        <f t="shared" si="1"/>
        <v>555.51</v>
      </c>
      <c r="M32" s="170">
        <f>L32*'Changable Values'!$D$4</f>
        <v>46107.33</v>
      </c>
      <c r="N32" s="170" t="str">
        <f>'BD Team'!E37</f>
        <v>12MM &amp; 8MM</v>
      </c>
      <c r="O32" s="172">
        <v>1890</v>
      </c>
      <c r="P32" s="241"/>
      <c r="Q32" s="173">
        <f>50*10.764</f>
        <v>538.19999999999993</v>
      </c>
      <c r="R32" s="185"/>
      <c r="S32" s="312"/>
      <c r="T32" s="313">
        <f t="shared" si="2"/>
        <v>44.72</v>
      </c>
      <c r="U32" s="313">
        <f t="shared" si="3"/>
        <v>53.664000000000001</v>
      </c>
      <c r="V32" s="313">
        <f t="shared" si="4"/>
        <v>2.7949999999999999</v>
      </c>
      <c r="W32" s="313">
        <f t="shared" si="5"/>
        <v>44.72</v>
      </c>
      <c r="X32" s="313">
        <f t="shared" si="6"/>
        <v>89.44</v>
      </c>
      <c r="Y32" s="313">
        <f t="shared" si="7"/>
        <v>26.832000000000001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10743.44</v>
      </c>
      <c r="L104" s="168">
        <f>SUM(L4:L103)</f>
        <v>10903.489999999998</v>
      </c>
      <c r="M104" s="168">
        <f>SUM(M4:M103)</f>
        <v>904989.67</v>
      </c>
      <c r="T104" s="314">
        <f t="shared" ref="T104:Y104" si="18">SUM(T4:T103)</f>
        <v>906.62666666666678</v>
      </c>
      <c r="U104" s="314">
        <f t="shared" si="18"/>
        <v>1087.952</v>
      </c>
      <c r="V104" s="314">
        <f t="shared" si="18"/>
        <v>56.664166666666674</v>
      </c>
      <c r="W104" s="314">
        <f t="shared" si="18"/>
        <v>906.62666666666678</v>
      </c>
      <c r="X104" s="314">
        <f t="shared" si="18"/>
        <v>1813.2533333333336</v>
      </c>
      <c r="Y104" s="314">
        <f t="shared" si="18"/>
        <v>543.976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1322.2439999999999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WITH SILICON JOINT</v>
      </c>
      <c r="D8" s="131" t="str">
        <f>Pricing!B4</f>
        <v>FW1</v>
      </c>
      <c r="E8" s="132" t="str">
        <f>Pricing!N4</f>
        <v>12MM</v>
      </c>
      <c r="F8" s="68">
        <f>Pricing!G4</f>
        <v>5488</v>
      </c>
      <c r="G8" s="68">
        <f>Pricing!H4</f>
        <v>1982</v>
      </c>
      <c r="H8" s="100">
        <f t="shared" ref="H8:H57" si="0">(F8*G8)/1000000</f>
        <v>10.877216000000001</v>
      </c>
      <c r="I8" s="70">
        <f>Pricing!I4</f>
        <v>1</v>
      </c>
      <c r="J8" s="69">
        <f t="shared" ref="J8" si="1">H8*I8</f>
        <v>10.877216000000001</v>
      </c>
      <c r="K8" s="71">
        <f t="shared" ref="K8" si="2">J8*10.764</f>
        <v>117.082353024</v>
      </c>
      <c r="L8" s="69"/>
      <c r="M8" s="72"/>
      <c r="N8" s="72"/>
      <c r="O8" s="72">
        <f t="shared" ref="O8:O35" si="3">N8*M8*L8/1000000</f>
        <v>0</v>
      </c>
      <c r="P8" s="73">
        <f>Pricing!M4</f>
        <v>10314.41</v>
      </c>
      <c r="Q8" s="74">
        <f t="shared" ref="Q8:Q56" si="4">P8*$Q$6</f>
        <v>1031.441</v>
      </c>
      <c r="R8" s="74">
        <f t="shared" ref="R8:R56" si="5">(P8+Q8)*$R$6</f>
        <v>1248.0436100000002</v>
      </c>
      <c r="S8" s="74">
        <f t="shared" ref="S8:S56" si="6">(P8+Q8+R8)*$S$6</f>
        <v>62.969473050000005</v>
      </c>
      <c r="T8" s="74">
        <f t="shared" ref="T8:T56" si="7">(P8+Q8+R8+S8)*$T$6</f>
        <v>126.56864083050002</v>
      </c>
      <c r="U8" s="72">
        <f t="shared" ref="U8:U56" si="8">SUM(P8:T8)</f>
        <v>12783.4327238805</v>
      </c>
      <c r="V8" s="74">
        <f t="shared" ref="V8:V56" si="9">U8*$V$6</f>
        <v>191.75149085820749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20557.938239999999</v>
      </c>
      <c r="AE8" s="76">
        <f>((((F8+G8)*2)/305)*I8*$AE$7)</f>
        <v>1224.5901639344263</v>
      </c>
      <c r="AF8" s="342">
        <f>(((((F8*4)+(G8*4))/1000)*$AF$6*$AG$6)/300)*I8*$AF$7</f>
        <v>1254.96</v>
      </c>
      <c r="AG8" s="343"/>
      <c r="AH8" s="76">
        <f>(((F8+G8))*I8/1000)*8*$AH$7</f>
        <v>44.82</v>
      </c>
      <c r="AI8" s="76">
        <f t="shared" ref="AI8:AI57" si="15">(((F8+G8)*2*I8)/1000)*2*$AI$7</f>
        <v>149.4</v>
      </c>
      <c r="AJ8" s="76">
        <f>J8*Pricing!Q4</f>
        <v>0</v>
      </c>
      <c r="AK8" s="76">
        <f>J8*Pricing!R4</f>
        <v>0</v>
      </c>
      <c r="AL8" s="76">
        <f t="shared" ref="AL8:AL39" si="16">J8*$AL$6</f>
        <v>11708.235302399999</v>
      </c>
      <c r="AM8" s="77">
        <f t="shared" ref="AM8:AM39" si="17">$AM$6*J8</f>
        <v>0</v>
      </c>
      <c r="AN8" s="76">
        <f t="shared" ref="AN8:AN39" si="18">$AN$6*J8</f>
        <v>9366.5882419199988</v>
      </c>
      <c r="AO8" s="72">
        <f t="shared" ref="AO8:AO39" si="19">SUM(U8:V8)+SUM(AC8:AI8)-AD8</f>
        <v>15648.954378673134</v>
      </c>
      <c r="AP8" s="74">
        <f t="shared" ref="AP8:AP39" si="20">AO8*$AP$6</f>
        <v>23473.431568009699</v>
      </c>
      <c r="AQ8" s="74">
        <f t="shared" ref="AQ8:AQ56" si="21">(AO8+AP8)*$AQ$6</f>
        <v>0</v>
      </c>
      <c r="AR8" s="74">
        <f t="shared" ref="AR8:AR39" si="22">SUM(AO8:AQ8)/J8</f>
        <v>3596.7278710547648</v>
      </c>
      <c r="AS8" s="72">
        <f t="shared" ref="AS8:AS39" si="23">SUM(AJ8:AQ8)+AD8+AB8</f>
        <v>80755.147731002828</v>
      </c>
      <c r="AT8" s="72">
        <f t="shared" ref="AT8:AT39" si="24">AS8/J8</f>
        <v>7424.2478710547648</v>
      </c>
      <c r="AU8" s="78">
        <f t="shared" ref="AU8:AU56" si="25">AT8/10.764</f>
        <v>689.72945661972926</v>
      </c>
      <c r="AV8" s="79">
        <f t="shared" ref="AV8:AV39" si="26">K8/$K$109</f>
        <v>6.8820627055134698E-2</v>
      </c>
      <c r="AW8" s="80">
        <f t="shared" ref="AW8:AW39" si="27">(U8+V8)/(J8*10.764)</f>
        <v>110.82100657883944</v>
      </c>
      <c r="AX8" s="81">
        <f t="shared" ref="AX8:AX39" si="28">SUM(W8:AN8,AP8)/(J8*10.764)</f>
        <v>578.90845004088976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TOP &amp; BOTTOM</v>
      </c>
      <c r="D9" s="131" t="str">
        <f>Pricing!B5</f>
        <v>W</v>
      </c>
      <c r="E9" s="132" t="str">
        <f>Pricing!N5</f>
        <v>12MM</v>
      </c>
      <c r="F9" s="68">
        <f>Pricing!G5</f>
        <v>916</v>
      </c>
      <c r="G9" s="68">
        <f>Pricing!H5</f>
        <v>1220</v>
      </c>
      <c r="H9" s="100">
        <f t="shared" si="0"/>
        <v>1.1175200000000001</v>
      </c>
      <c r="I9" s="70">
        <f>Pricing!I5</f>
        <v>1</v>
      </c>
      <c r="J9" s="69">
        <f t="shared" ref="J9:J58" si="30">H9*I9</f>
        <v>1.1175200000000001</v>
      </c>
      <c r="K9" s="71">
        <f t="shared" ref="K9:K58" si="31">J9*10.764</f>
        <v>12.028985280000001</v>
      </c>
      <c r="L9" s="69"/>
      <c r="M9" s="72"/>
      <c r="N9" s="72"/>
      <c r="O9" s="72">
        <f t="shared" si="3"/>
        <v>0</v>
      </c>
      <c r="P9" s="73">
        <f>Pricing!M5</f>
        <v>9345.7999999999993</v>
      </c>
      <c r="Q9" s="74">
        <f t="shared" ref="Q9:Q14" si="32">P9*$Q$6</f>
        <v>934.57999999999993</v>
      </c>
      <c r="R9" s="74">
        <f t="shared" ref="R9:R14" si="33">(P9+Q9)*$R$6</f>
        <v>1130.8417999999999</v>
      </c>
      <c r="S9" s="74">
        <f t="shared" ref="S9:S14" si="34">(P9+Q9+R9)*$S$6</f>
        <v>57.056108999999999</v>
      </c>
      <c r="T9" s="74">
        <f t="shared" ref="T9:T14" si="35">(P9+Q9+R9+S9)*$T$6</f>
        <v>114.68277908999998</v>
      </c>
      <c r="U9" s="72">
        <f t="shared" ref="U9:U14" si="36">SUM(P9:T9)</f>
        <v>11582.960688089999</v>
      </c>
      <c r="V9" s="74">
        <f t="shared" ref="V9:V14" si="37">U9*$V$6</f>
        <v>173.74441032134999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2112.1128000000003</v>
      </c>
      <c r="AE9" s="76">
        <f t="shared" ref="AE9:AE57" si="43">((((F9+G9)*2)/305)*I9*$AE$7)</f>
        <v>350.1639344262295</v>
      </c>
      <c r="AF9" s="342">
        <f t="shared" ref="AF9:AF57" si="44">(((((F9*4)+(G9*4))/1000)*$AF$6*$AG$6)/300)*I9*$AF$7</f>
        <v>358.84800000000001</v>
      </c>
      <c r="AG9" s="343"/>
      <c r="AH9" s="76">
        <f t="shared" ref="AH9:AH72" si="45">(((F9+G9))*I9/1000)*8*$AH$7</f>
        <v>12.816000000000001</v>
      </c>
      <c r="AI9" s="76">
        <f t="shared" si="15"/>
        <v>42.72</v>
      </c>
      <c r="AJ9" s="76">
        <f>J9*Pricing!Q5</f>
        <v>0</v>
      </c>
      <c r="AK9" s="76">
        <f>J9*Pricing!R5</f>
        <v>0</v>
      </c>
      <c r="AL9" s="76">
        <f t="shared" si="16"/>
        <v>1202.8985279999999</v>
      </c>
      <c r="AM9" s="77">
        <f t="shared" si="17"/>
        <v>0</v>
      </c>
      <c r="AN9" s="76">
        <f t="shared" si="18"/>
        <v>962.31882239999993</v>
      </c>
      <c r="AO9" s="72">
        <f t="shared" si="19"/>
        <v>12521.253032837578</v>
      </c>
      <c r="AP9" s="74">
        <f t="shared" si="20"/>
        <v>18781.879549256366</v>
      </c>
      <c r="AQ9" s="74">
        <f t="shared" ref="AQ9:AQ14" si="46">(AO9+AP9)*$AQ$6</f>
        <v>0</v>
      </c>
      <c r="AR9" s="74">
        <f t="shared" si="22"/>
        <v>28011.250431396256</v>
      </c>
      <c r="AS9" s="72">
        <f t="shared" si="23"/>
        <v>35580.46273249395</v>
      </c>
      <c r="AT9" s="72">
        <f t="shared" si="24"/>
        <v>31838.77043139626</v>
      </c>
      <c r="AU9" s="78">
        <f t="shared" ref="AU9:AU14" si="47">AT9/10.764</f>
        <v>2957.8939456889875</v>
      </c>
      <c r="AV9" s="79">
        <f t="shared" si="26"/>
        <v>7.0705985011839554E-3</v>
      </c>
      <c r="AW9" s="80">
        <f t="shared" si="27"/>
        <v>977.36465917525402</v>
      </c>
      <c r="AX9" s="81">
        <f t="shared" si="28"/>
        <v>1980.5292865137328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2 FIXED</v>
      </c>
      <c r="D10" s="131" t="str">
        <f>Pricing!B6</f>
        <v>W4</v>
      </c>
      <c r="E10" s="132" t="str">
        <f>Pricing!N6</f>
        <v>12MM &amp; 8MM</v>
      </c>
      <c r="F10" s="68">
        <f>Pricing!G6</f>
        <v>3354</v>
      </c>
      <c r="G10" s="68">
        <f>Pricing!H6</f>
        <v>2440</v>
      </c>
      <c r="H10" s="100">
        <f t="shared" si="0"/>
        <v>8.1837599999999995</v>
      </c>
      <c r="I10" s="70">
        <f>Pricing!I6</f>
        <v>1</v>
      </c>
      <c r="J10" s="69">
        <f t="shared" si="30"/>
        <v>8.1837599999999995</v>
      </c>
      <c r="K10" s="71">
        <f t="shared" si="31"/>
        <v>88.089992639999991</v>
      </c>
      <c r="L10" s="69"/>
      <c r="M10" s="72"/>
      <c r="N10" s="72"/>
      <c r="O10" s="72">
        <f t="shared" si="3"/>
        <v>0</v>
      </c>
      <c r="P10" s="73">
        <f>Pricing!M6</f>
        <v>50332.859999999993</v>
      </c>
      <c r="Q10" s="74">
        <f t="shared" si="32"/>
        <v>5033.2860000000001</v>
      </c>
      <c r="R10" s="74">
        <f t="shared" si="33"/>
        <v>6090.2760599999992</v>
      </c>
      <c r="S10" s="74">
        <f t="shared" si="34"/>
        <v>307.28211029999994</v>
      </c>
      <c r="T10" s="74">
        <f t="shared" si="35"/>
        <v>617.63704170299991</v>
      </c>
      <c r="U10" s="72">
        <f t="shared" si="36"/>
        <v>62381.34121200299</v>
      </c>
      <c r="V10" s="74">
        <f t="shared" si="37"/>
        <v>935.72011818004478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15467.306399999999</v>
      </c>
      <c r="AE10" s="76">
        <f t="shared" si="43"/>
        <v>949.83606557377038</v>
      </c>
      <c r="AF10" s="342">
        <f t="shared" si="44"/>
        <v>973.39199999999983</v>
      </c>
      <c r="AG10" s="343"/>
      <c r="AH10" s="76">
        <f t="shared" si="45"/>
        <v>34.763999999999996</v>
      </c>
      <c r="AI10" s="76">
        <f t="shared" si="15"/>
        <v>115.88</v>
      </c>
      <c r="AJ10" s="76">
        <f>J10*Pricing!Q6</f>
        <v>4404.4996319999991</v>
      </c>
      <c r="AK10" s="76">
        <f>J10*Pricing!R6</f>
        <v>0</v>
      </c>
      <c r="AL10" s="76">
        <f t="shared" si="16"/>
        <v>8808.9992639999982</v>
      </c>
      <c r="AM10" s="77">
        <f t="shared" si="17"/>
        <v>0</v>
      </c>
      <c r="AN10" s="76">
        <f t="shared" si="18"/>
        <v>7047.1994111999984</v>
      </c>
      <c r="AO10" s="72">
        <f t="shared" si="19"/>
        <v>65390.933395756801</v>
      </c>
      <c r="AP10" s="74">
        <f t="shared" si="20"/>
        <v>98086.400093635195</v>
      </c>
      <c r="AQ10" s="74">
        <f t="shared" si="46"/>
        <v>0</v>
      </c>
      <c r="AR10" s="74">
        <f t="shared" si="22"/>
        <v>19975.822053602747</v>
      </c>
      <c r="AS10" s="72">
        <f t="shared" si="23"/>
        <v>199205.338196592</v>
      </c>
      <c r="AT10" s="72">
        <f t="shared" si="24"/>
        <v>24341.542053602745</v>
      </c>
      <c r="AU10" s="78">
        <f t="shared" si="47"/>
        <v>2261.3844345598986</v>
      </c>
      <c r="AV10" s="79">
        <f t="shared" si="26"/>
        <v>5.1779011731377687E-2</v>
      </c>
      <c r="AW10" s="80">
        <f t="shared" si="27"/>
        <v>718.77700783723265</v>
      </c>
      <c r="AX10" s="81">
        <f t="shared" si="28"/>
        <v>1542.6074267226659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W1</v>
      </c>
      <c r="E11" s="132" t="str">
        <f>Pricing!N7</f>
        <v>8MM</v>
      </c>
      <c r="F11" s="68">
        <f>Pricing!G7</f>
        <v>1372</v>
      </c>
      <c r="G11" s="68">
        <f>Pricing!H7</f>
        <v>1220</v>
      </c>
      <c r="H11" s="100">
        <f t="shared" si="0"/>
        <v>1.67384</v>
      </c>
      <c r="I11" s="70">
        <f>Pricing!I7</f>
        <v>1</v>
      </c>
      <c r="J11" s="69">
        <f t="shared" si="30"/>
        <v>1.67384</v>
      </c>
      <c r="K11" s="71">
        <f t="shared" si="31"/>
        <v>18.017213759999997</v>
      </c>
      <c r="L11" s="69"/>
      <c r="M11" s="72"/>
      <c r="N11" s="72"/>
      <c r="O11" s="72">
        <f t="shared" si="3"/>
        <v>0</v>
      </c>
      <c r="P11" s="73">
        <f>Pricing!M7</f>
        <v>11537.83</v>
      </c>
      <c r="Q11" s="74">
        <f t="shared" si="32"/>
        <v>1153.7830000000001</v>
      </c>
      <c r="R11" s="74">
        <f t="shared" si="33"/>
        <v>1396.07743</v>
      </c>
      <c r="S11" s="74">
        <f t="shared" si="34"/>
        <v>70.438452149999989</v>
      </c>
      <c r="T11" s="74">
        <f t="shared" si="35"/>
        <v>141.58128882149998</v>
      </c>
      <c r="U11" s="72">
        <f t="shared" si="36"/>
        <v>14299.710170971499</v>
      </c>
      <c r="V11" s="74">
        <f t="shared" si="37"/>
        <v>214.49565256457248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2212.81648</v>
      </c>
      <c r="AE11" s="76">
        <f t="shared" si="43"/>
        <v>424.91803278688519</v>
      </c>
      <c r="AF11" s="342">
        <f t="shared" si="44"/>
        <v>435.45599999999996</v>
      </c>
      <c r="AG11" s="343"/>
      <c r="AH11" s="76">
        <f t="shared" si="45"/>
        <v>15.552</v>
      </c>
      <c r="AI11" s="76">
        <f t="shared" si="15"/>
        <v>51.84</v>
      </c>
      <c r="AJ11" s="76">
        <f>J11*Pricing!Q7</f>
        <v>900.86068799999987</v>
      </c>
      <c r="AK11" s="76">
        <f>J11*Pricing!R7</f>
        <v>0</v>
      </c>
      <c r="AL11" s="76">
        <f t="shared" si="16"/>
        <v>1801.7213759999997</v>
      </c>
      <c r="AM11" s="77">
        <f t="shared" si="17"/>
        <v>0</v>
      </c>
      <c r="AN11" s="76">
        <f t="shared" si="18"/>
        <v>1441.3771007999999</v>
      </c>
      <c r="AO11" s="72">
        <f t="shared" si="19"/>
        <v>15441.971856322956</v>
      </c>
      <c r="AP11" s="74">
        <f t="shared" si="20"/>
        <v>23162.957784484435</v>
      </c>
      <c r="AQ11" s="74">
        <f t="shared" si="46"/>
        <v>0</v>
      </c>
      <c r="AR11" s="74">
        <f t="shared" si="22"/>
        <v>23063.691655598737</v>
      </c>
      <c r="AS11" s="72">
        <f t="shared" si="23"/>
        <v>44961.705285607393</v>
      </c>
      <c r="AT11" s="72">
        <f t="shared" si="24"/>
        <v>26861.411655598738</v>
      </c>
      <c r="AU11" s="78">
        <f t="shared" si="47"/>
        <v>2495.4860326643197</v>
      </c>
      <c r="AV11" s="79">
        <f t="shared" si="26"/>
        <v>1.0590459763782079E-2</v>
      </c>
      <c r="AW11" s="80">
        <f t="shared" si="27"/>
        <v>805.57438108210988</v>
      </c>
      <c r="AX11" s="81">
        <f t="shared" si="28"/>
        <v>1689.9116515822102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SIDE HUNG DOORS WITH CENTER FIXED WITH SILICON JOINT</v>
      </c>
      <c r="D12" s="131" t="str">
        <f>Pricing!B8</f>
        <v>W3</v>
      </c>
      <c r="E12" s="132" t="str">
        <f>Pricing!N8</f>
        <v>12MM &amp; 8MM</v>
      </c>
      <c r="F12" s="68">
        <f>Pricing!G8</f>
        <v>5640</v>
      </c>
      <c r="G12" s="68">
        <f>Pricing!H8</f>
        <v>2592</v>
      </c>
      <c r="H12" s="100">
        <f t="shared" si="0"/>
        <v>14.618880000000001</v>
      </c>
      <c r="I12" s="70">
        <f>Pricing!I8</f>
        <v>1</v>
      </c>
      <c r="J12" s="69">
        <f t="shared" si="30"/>
        <v>14.618880000000001</v>
      </c>
      <c r="K12" s="71">
        <f t="shared" si="31"/>
        <v>157.35762431999999</v>
      </c>
      <c r="L12" s="69"/>
      <c r="M12" s="72"/>
      <c r="N12" s="72"/>
      <c r="O12" s="72">
        <f t="shared" si="3"/>
        <v>0</v>
      </c>
      <c r="P12" s="73">
        <f>Pricing!M8</f>
        <v>84625.97</v>
      </c>
      <c r="Q12" s="74">
        <f t="shared" si="32"/>
        <v>8462.5969999999998</v>
      </c>
      <c r="R12" s="74">
        <f t="shared" si="33"/>
        <v>10239.74237</v>
      </c>
      <c r="S12" s="74">
        <f t="shared" si="34"/>
        <v>516.64154685000005</v>
      </c>
      <c r="T12" s="74">
        <f t="shared" si="35"/>
        <v>1038.4495091685001</v>
      </c>
      <c r="U12" s="72">
        <f t="shared" si="36"/>
        <v>104883.4004260185</v>
      </c>
      <c r="V12" s="74">
        <f t="shared" si="37"/>
        <v>1573.2510063902776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27629.683200000003</v>
      </c>
      <c r="AE12" s="76">
        <f t="shared" si="43"/>
        <v>1349.5081967213114</v>
      </c>
      <c r="AF12" s="342">
        <f t="shared" si="44"/>
        <v>1382.9759999999999</v>
      </c>
      <c r="AG12" s="343"/>
      <c r="AH12" s="76">
        <f t="shared" si="45"/>
        <v>49.391999999999996</v>
      </c>
      <c r="AI12" s="76">
        <f t="shared" si="15"/>
        <v>164.64</v>
      </c>
      <c r="AJ12" s="76">
        <f>J12*Pricing!Q8</f>
        <v>0</v>
      </c>
      <c r="AK12" s="76">
        <f>J12*Pricing!R8</f>
        <v>0</v>
      </c>
      <c r="AL12" s="76">
        <f t="shared" si="16"/>
        <v>15735.762432</v>
      </c>
      <c r="AM12" s="77">
        <f t="shared" si="17"/>
        <v>0</v>
      </c>
      <c r="AN12" s="76">
        <f t="shared" si="18"/>
        <v>12588.609945599999</v>
      </c>
      <c r="AO12" s="72">
        <f t="shared" si="19"/>
        <v>109403.1676291301</v>
      </c>
      <c r="AP12" s="74">
        <f t="shared" si="20"/>
        <v>164104.75144369516</v>
      </c>
      <c r="AQ12" s="74">
        <f t="shared" si="46"/>
        <v>0</v>
      </c>
      <c r="AR12" s="74">
        <f t="shared" si="22"/>
        <v>18709.22526710837</v>
      </c>
      <c r="AS12" s="72">
        <f t="shared" si="23"/>
        <v>329461.97465042531</v>
      </c>
      <c r="AT12" s="72">
        <f t="shared" si="24"/>
        <v>22536.745267108377</v>
      </c>
      <c r="AU12" s="78">
        <f t="shared" si="47"/>
        <v>2093.7147219535841</v>
      </c>
      <c r="AV12" s="79">
        <f t="shared" si="26"/>
        <v>9.2494300788342115E-2</v>
      </c>
      <c r="AW12" s="80">
        <f t="shared" si="27"/>
        <v>676.52680886895064</v>
      </c>
      <c r="AX12" s="81">
        <f t="shared" si="28"/>
        <v>1417.187913084633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W10</v>
      </c>
      <c r="E13" s="132" t="str">
        <f>Pricing!N9</f>
        <v>12MM</v>
      </c>
      <c r="F13" s="68">
        <f>Pricing!G9</f>
        <v>2794</v>
      </c>
      <c r="G13" s="68">
        <f>Pricing!H9</f>
        <v>1678</v>
      </c>
      <c r="H13" s="100">
        <f t="shared" si="0"/>
        <v>4.6883319999999999</v>
      </c>
      <c r="I13" s="70">
        <f>Pricing!I9</f>
        <v>1</v>
      </c>
      <c r="J13" s="69">
        <f t="shared" si="30"/>
        <v>4.6883319999999999</v>
      </c>
      <c r="K13" s="71">
        <f t="shared" si="31"/>
        <v>50.465205647999994</v>
      </c>
      <c r="L13" s="69"/>
      <c r="M13" s="72"/>
      <c r="N13" s="72"/>
      <c r="O13" s="72">
        <f t="shared" si="3"/>
        <v>0</v>
      </c>
      <c r="P13" s="73">
        <f>Pricing!M9</f>
        <v>6530.4400000000005</v>
      </c>
      <c r="Q13" s="74">
        <f t="shared" si="32"/>
        <v>653.0440000000001</v>
      </c>
      <c r="R13" s="74">
        <f t="shared" si="33"/>
        <v>790.18324000000007</v>
      </c>
      <c r="S13" s="74">
        <f t="shared" si="34"/>
        <v>39.868336200000002</v>
      </c>
      <c r="T13" s="74">
        <f t="shared" si="35"/>
        <v>80.135355762000003</v>
      </c>
      <c r="U13" s="72">
        <f t="shared" si="36"/>
        <v>8093.6709319620004</v>
      </c>
      <c r="V13" s="74">
        <f t="shared" si="37"/>
        <v>121.40506397943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8860.9474800000007</v>
      </c>
      <c r="AE13" s="76">
        <f t="shared" si="43"/>
        <v>733.11475409836066</v>
      </c>
      <c r="AF13" s="342">
        <f t="shared" si="44"/>
        <v>751.29600000000016</v>
      </c>
      <c r="AG13" s="343"/>
      <c r="AH13" s="76">
        <f t="shared" si="45"/>
        <v>26.832000000000001</v>
      </c>
      <c r="AI13" s="76">
        <f t="shared" si="15"/>
        <v>89.440000000000012</v>
      </c>
      <c r="AJ13" s="76">
        <f>J13*Pricing!Q9</f>
        <v>0</v>
      </c>
      <c r="AK13" s="76">
        <f>J13*Pricing!R9</f>
        <v>0</v>
      </c>
      <c r="AL13" s="76">
        <f t="shared" si="16"/>
        <v>5046.5205647999992</v>
      </c>
      <c r="AM13" s="77">
        <f t="shared" si="17"/>
        <v>0</v>
      </c>
      <c r="AN13" s="76">
        <f t="shared" si="18"/>
        <v>4037.2164518399995</v>
      </c>
      <c r="AO13" s="72">
        <f t="shared" si="19"/>
        <v>9815.7587500397913</v>
      </c>
      <c r="AP13" s="74">
        <f t="shared" si="20"/>
        <v>14723.638125059686</v>
      </c>
      <c r="AQ13" s="74">
        <f t="shared" si="46"/>
        <v>0</v>
      </c>
      <c r="AR13" s="74">
        <f t="shared" si="22"/>
        <v>5234.1423079891692</v>
      </c>
      <c r="AS13" s="72">
        <f t="shared" si="23"/>
        <v>42484.081371739478</v>
      </c>
      <c r="AT13" s="72">
        <f t="shared" si="24"/>
        <v>9061.6623079891688</v>
      </c>
      <c r="AU13" s="78">
        <f t="shared" si="47"/>
        <v>841.84896952705026</v>
      </c>
      <c r="AV13" s="79">
        <f t="shared" si="26"/>
        <v>2.9663284068520267E-2</v>
      </c>
      <c r="AW13" s="80">
        <f t="shared" si="27"/>
        <v>162.78693191587152</v>
      </c>
      <c r="AX13" s="81">
        <f t="shared" si="28"/>
        <v>679.06203761117888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WITH SILICON JOINT</v>
      </c>
      <c r="D14" s="131" t="str">
        <f>Pricing!B10</f>
        <v>W7</v>
      </c>
      <c r="E14" s="132" t="str">
        <f>Pricing!N10</f>
        <v>12MM</v>
      </c>
      <c r="F14" s="68">
        <f>Pricing!G10</f>
        <v>3500</v>
      </c>
      <c r="G14" s="68">
        <f>Pricing!H10</f>
        <v>610</v>
      </c>
      <c r="H14" s="100">
        <f t="shared" si="0"/>
        <v>2.1349999999999998</v>
      </c>
      <c r="I14" s="70">
        <f>Pricing!I10</f>
        <v>1</v>
      </c>
      <c r="J14" s="69">
        <f t="shared" si="30"/>
        <v>2.1349999999999998</v>
      </c>
      <c r="K14" s="71">
        <f t="shared" si="31"/>
        <v>22.981139999999996</v>
      </c>
      <c r="L14" s="69"/>
      <c r="M14" s="72"/>
      <c r="N14" s="72"/>
      <c r="O14" s="72">
        <f t="shared" si="3"/>
        <v>0</v>
      </c>
      <c r="P14" s="73">
        <f>Pricing!M10</f>
        <v>6073.1100000000006</v>
      </c>
      <c r="Q14" s="74">
        <f t="shared" si="32"/>
        <v>607.31100000000004</v>
      </c>
      <c r="R14" s="74">
        <f t="shared" si="33"/>
        <v>734.84631000000002</v>
      </c>
      <c r="S14" s="74">
        <f t="shared" si="34"/>
        <v>37.076336550000001</v>
      </c>
      <c r="T14" s="74">
        <f t="shared" si="35"/>
        <v>74.523436465499998</v>
      </c>
      <c r="U14" s="72">
        <f t="shared" si="36"/>
        <v>7526.8670830154997</v>
      </c>
      <c r="V14" s="74">
        <f t="shared" si="37"/>
        <v>112.90300624523249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4035.1499999999996</v>
      </c>
      <c r="AE14" s="76">
        <f t="shared" si="43"/>
        <v>673.77049180327867</v>
      </c>
      <c r="AF14" s="342">
        <f t="shared" si="44"/>
        <v>690.48000000000025</v>
      </c>
      <c r="AG14" s="343"/>
      <c r="AH14" s="76">
        <f t="shared" si="45"/>
        <v>24.660000000000004</v>
      </c>
      <c r="AI14" s="76">
        <f t="shared" si="15"/>
        <v>82.2</v>
      </c>
      <c r="AJ14" s="76">
        <f>J14*Pricing!Q10</f>
        <v>0</v>
      </c>
      <c r="AK14" s="76">
        <f>J14*Pricing!R10</f>
        <v>0</v>
      </c>
      <c r="AL14" s="76">
        <f t="shared" si="16"/>
        <v>2298.1139999999996</v>
      </c>
      <c r="AM14" s="77">
        <f t="shared" si="17"/>
        <v>0</v>
      </c>
      <c r="AN14" s="76">
        <f t="shared" si="18"/>
        <v>1838.4911999999995</v>
      </c>
      <c r="AO14" s="72">
        <f t="shared" si="19"/>
        <v>9110.8805810640097</v>
      </c>
      <c r="AP14" s="74">
        <f t="shared" si="20"/>
        <v>13666.320871596014</v>
      </c>
      <c r="AQ14" s="74">
        <f t="shared" si="46"/>
        <v>0</v>
      </c>
      <c r="AR14" s="74">
        <f t="shared" si="22"/>
        <v>10668.478432159263</v>
      </c>
      <c r="AS14" s="72">
        <f t="shared" si="23"/>
        <v>30948.956652660025</v>
      </c>
      <c r="AT14" s="72">
        <f t="shared" si="24"/>
        <v>14495.998432159264</v>
      </c>
      <c r="AU14" s="78">
        <f t="shared" si="47"/>
        <v>1346.7111140987797</v>
      </c>
      <c r="AV14" s="79">
        <f t="shared" si="26"/>
        <v>1.3508239494619999E-2</v>
      </c>
      <c r="AW14" s="80">
        <f t="shared" si="27"/>
        <v>332.43651486657029</v>
      </c>
      <c r="AX14" s="81">
        <f t="shared" si="28"/>
        <v>1014.2745992322094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W5</v>
      </c>
      <c r="E15" s="132" t="str">
        <f>Pricing!N11</f>
        <v>8MM</v>
      </c>
      <c r="F15" s="68">
        <f>Pricing!G11</f>
        <v>1220</v>
      </c>
      <c r="G15" s="68">
        <f>Pricing!H11</f>
        <v>1678</v>
      </c>
      <c r="H15" s="100">
        <f t="shared" si="0"/>
        <v>2.0471599999999999</v>
      </c>
      <c r="I15" s="70">
        <f>Pricing!I11</f>
        <v>2</v>
      </c>
      <c r="J15" s="69">
        <f t="shared" si="30"/>
        <v>4.0943199999999997</v>
      </c>
      <c r="K15" s="71">
        <f t="shared" si="31"/>
        <v>44.071260479999992</v>
      </c>
      <c r="L15" s="69"/>
      <c r="M15" s="72"/>
      <c r="N15" s="72"/>
      <c r="O15" s="72">
        <f t="shared" si="3"/>
        <v>0</v>
      </c>
      <c r="P15" s="73">
        <f>Pricing!M11</f>
        <v>26568.300000000003</v>
      </c>
      <c r="Q15" s="74">
        <f t="shared" si="4"/>
        <v>2656.8300000000004</v>
      </c>
      <c r="R15" s="74">
        <f t="shared" si="5"/>
        <v>3214.7643000000007</v>
      </c>
      <c r="S15" s="74">
        <f t="shared" si="6"/>
        <v>162.19947150000004</v>
      </c>
      <c r="T15" s="74">
        <f t="shared" si="7"/>
        <v>326.02093771500006</v>
      </c>
      <c r="U15" s="72">
        <f t="shared" si="8"/>
        <v>32928.114709215006</v>
      </c>
      <c r="V15" s="74">
        <f t="shared" si="9"/>
        <v>493.92172063822505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5412.6910399999997</v>
      </c>
      <c r="AE15" s="76">
        <f t="shared" si="43"/>
        <v>950.16393442622962</v>
      </c>
      <c r="AF15" s="342">
        <f t="shared" si="44"/>
        <v>973.72800000000007</v>
      </c>
      <c r="AG15" s="343"/>
      <c r="AH15" s="76">
        <f t="shared" si="45"/>
        <v>34.776000000000003</v>
      </c>
      <c r="AI15" s="76">
        <f t="shared" ref="AI15:AI20" si="49">(((F15+G15)*2*I15)/1000)*2*$AI$7</f>
        <v>115.92</v>
      </c>
      <c r="AJ15" s="76">
        <f>J15*Pricing!Q11</f>
        <v>2203.5630239999996</v>
      </c>
      <c r="AK15" s="76">
        <f>J15*Pricing!R11</f>
        <v>0</v>
      </c>
      <c r="AL15" s="76">
        <f t="shared" si="16"/>
        <v>4407.1260479999992</v>
      </c>
      <c r="AM15" s="77">
        <f t="shared" si="17"/>
        <v>0</v>
      </c>
      <c r="AN15" s="76">
        <f t="shared" si="18"/>
        <v>3525.7008383999992</v>
      </c>
      <c r="AO15" s="72">
        <f t="shared" si="19"/>
        <v>35496.624364279458</v>
      </c>
      <c r="AP15" s="74">
        <f t="shared" si="20"/>
        <v>53244.936546419187</v>
      </c>
      <c r="AQ15" s="74">
        <f t="shared" si="21"/>
        <v>0</v>
      </c>
      <c r="AR15" s="74">
        <f t="shared" si="22"/>
        <v>21674.309997923621</v>
      </c>
      <c r="AS15" s="72">
        <f t="shared" si="23"/>
        <v>104290.64186109864</v>
      </c>
      <c r="AT15" s="72">
        <f t="shared" si="24"/>
        <v>25472.029997923622</v>
      </c>
      <c r="AU15" s="78">
        <f t="shared" si="25"/>
        <v>2366.4093271946881</v>
      </c>
      <c r="AV15" s="79">
        <f t="shared" si="26"/>
        <v>2.5904943853682694E-2</v>
      </c>
      <c r="AW15" s="80">
        <f t="shared" si="27"/>
        <v>758.36352456995201</v>
      </c>
      <c r="AX15" s="81">
        <f t="shared" si="28"/>
        <v>1608.0458026247363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4 LEAF SLIDE &amp; FOLD DOOR</v>
      </c>
      <c r="D16" s="131" t="str">
        <f>Pricing!B12</f>
        <v>FD1</v>
      </c>
      <c r="E16" s="132" t="str">
        <f>Pricing!N12</f>
        <v>8MM</v>
      </c>
      <c r="F16" s="68">
        <f>Pricing!G12</f>
        <v>2540</v>
      </c>
      <c r="G16" s="68">
        <f>Pricing!H12</f>
        <v>2744</v>
      </c>
      <c r="H16" s="100">
        <f t="shared" si="0"/>
        <v>6.96976</v>
      </c>
      <c r="I16" s="70">
        <f>Pricing!I12</f>
        <v>1</v>
      </c>
      <c r="J16" s="69">
        <f t="shared" si="30"/>
        <v>6.96976</v>
      </c>
      <c r="K16" s="71">
        <f t="shared" si="31"/>
        <v>75.02249664</v>
      </c>
      <c r="L16" s="69"/>
      <c r="M16" s="72"/>
      <c r="N16" s="72"/>
      <c r="O16" s="72">
        <f t="shared" si="3"/>
        <v>0</v>
      </c>
      <c r="P16" s="73">
        <f>Pricing!M12</f>
        <v>67293.91</v>
      </c>
      <c r="Q16" s="74">
        <f t="shared" si="4"/>
        <v>6729.3910000000005</v>
      </c>
      <c r="R16" s="74">
        <f t="shared" si="5"/>
        <v>8142.563110000001</v>
      </c>
      <c r="S16" s="74">
        <f t="shared" si="6"/>
        <v>410.82932055000003</v>
      </c>
      <c r="T16" s="74">
        <f t="shared" si="7"/>
        <v>825.76693430550006</v>
      </c>
      <c r="U16" s="72">
        <f t="shared" si="8"/>
        <v>83402.460364855506</v>
      </c>
      <c r="V16" s="74">
        <f t="shared" si="9"/>
        <v>1251.0369054728326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9214.0227200000008</v>
      </c>
      <c r="AE16" s="76">
        <f t="shared" si="43"/>
        <v>866.22950819672133</v>
      </c>
      <c r="AF16" s="342">
        <f t="shared" si="44"/>
        <v>887.71199999999999</v>
      </c>
      <c r="AG16" s="343"/>
      <c r="AH16" s="76">
        <f t="shared" si="45"/>
        <v>31.704000000000001</v>
      </c>
      <c r="AI16" s="76">
        <f t="shared" si="49"/>
        <v>105.67999999999999</v>
      </c>
      <c r="AJ16" s="76">
        <f>J16*Pricing!Q12</f>
        <v>0</v>
      </c>
      <c r="AK16" s="76">
        <f>J16*Pricing!R12</f>
        <v>0</v>
      </c>
      <c r="AL16" s="76">
        <f t="shared" si="16"/>
        <v>7502.249663999999</v>
      </c>
      <c r="AM16" s="77">
        <f t="shared" si="17"/>
        <v>0</v>
      </c>
      <c r="AN16" s="76">
        <f t="shared" si="18"/>
        <v>6001.7997311999989</v>
      </c>
      <c r="AO16" s="72">
        <f t="shared" si="19"/>
        <v>86544.822778525064</v>
      </c>
      <c r="AP16" s="74">
        <f t="shared" si="20"/>
        <v>129817.2341677876</v>
      </c>
      <c r="AQ16" s="74">
        <f t="shared" si="21"/>
        <v>0</v>
      </c>
      <c r="AR16" s="74">
        <f t="shared" si="22"/>
        <v>31042.970912386176</v>
      </c>
      <c r="AS16" s="72">
        <f t="shared" si="23"/>
        <v>239080.12906151265</v>
      </c>
      <c r="AT16" s="72">
        <f t="shared" si="24"/>
        <v>34302.490912386173</v>
      </c>
      <c r="AU16" s="78">
        <f t="shared" si="25"/>
        <v>3186.7791631722571</v>
      </c>
      <c r="AV16" s="79">
        <f t="shared" si="26"/>
        <v>4.4097980000010632E-2</v>
      </c>
      <c r="AW16" s="80">
        <f t="shared" si="27"/>
        <v>1128.3748350383923</v>
      </c>
      <c r="AX16" s="81">
        <f t="shared" si="28"/>
        <v>2058.4043281338645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W1</v>
      </c>
      <c r="E17" s="132" t="str">
        <f>Pricing!N13</f>
        <v>8MM</v>
      </c>
      <c r="F17" s="68">
        <f>Pricing!G13</f>
        <v>916</v>
      </c>
      <c r="G17" s="68">
        <f>Pricing!H13</f>
        <v>2338</v>
      </c>
      <c r="H17" s="100">
        <f t="shared" si="0"/>
        <v>2.1416080000000002</v>
      </c>
      <c r="I17" s="70">
        <f>Pricing!I13</f>
        <v>1</v>
      </c>
      <c r="J17" s="69">
        <f t="shared" si="30"/>
        <v>2.1416080000000002</v>
      </c>
      <c r="K17" s="71">
        <f t="shared" si="31"/>
        <v>23.052268512000001</v>
      </c>
      <c r="L17" s="69"/>
      <c r="M17" s="72"/>
      <c r="N17" s="72"/>
      <c r="O17" s="72">
        <f t="shared" si="3"/>
        <v>0</v>
      </c>
      <c r="P17" s="73">
        <f>Pricing!M13</f>
        <v>31533.360000000001</v>
      </c>
      <c r="Q17" s="74">
        <f t="shared" si="4"/>
        <v>3153.3360000000002</v>
      </c>
      <c r="R17" s="74">
        <f t="shared" si="5"/>
        <v>3815.5365600000005</v>
      </c>
      <c r="S17" s="74">
        <f t="shared" si="6"/>
        <v>192.51116280000002</v>
      </c>
      <c r="T17" s="74">
        <f t="shared" si="7"/>
        <v>386.94743722800007</v>
      </c>
      <c r="U17" s="72">
        <f t="shared" si="8"/>
        <v>39081.691160028007</v>
      </c>
      <c r="V17" s="74">
        <f t="shared" si="9"/>
        <v>586.22536740042005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2831.2057760000002</v>
      </c>
      <c r="AE17" s="76">
        <f t="shared" si="43"/>
        <v>533.44262295081967</v>
      </c>
      <c r="AF17" s="342">
        <f t="shared" si="44"/>
        <v>546.67200000000003</v>
      </c>
      <c r="AG17" s="343"/>
      <c r="AH17" s="76">
        <f t="shared" si="45"/>
        <v>19.524000000000001</v>
      </c>
      <c r="AI17" s="76">
        <f t="shared" si="49"/>
        <v>65.08</v>
      </c>
      <c r="AJ17" s="76">
        <f>J17*Pricing!Q13</f>
        <v>1152.6134256</v>
      </c>
      <c r="AK17" s="76">
        <f>J17*Pricing!R13</f>
        <v>0</v>
      </c>
      <c r="AL17" s="76">
        <f t="shared" si="16"/>
        <v>2305.2268512000001</v>
      </c>
      <c r="AM17" s="77">
        <f t="shared" si="17"/>
        <v>0</v>
      </c>
      <c r="AN17" s="76">
        <f t="shared" si="18"/>
        <v>1844.1814809599998</v>
      </c>
      <c r="AO17" s="72">
        <f t="shared" si="19"/>
        <v>40832.635150379239</v>
      </c>
      <c r="AP17" s="74">
        <f t="shared" si="20"/>
        <v>61248.952725568859</v>
      </c>
      <c r="AQ17" s="74">
        <f t="shared" si="21"/>
        <v>0</v>
      </c>
      <c r="AR17" s="74">
        <f t="shared" si="22"/>
        <v>47665.86036097553</v>
      </c>
      <c r="AS17" s="72">
        <f t="shared" si="23"/>
        <v>110214.8154097081</v>
      </c>
      <c r="AT17" s="72">
        <f t="shared" si="24"/>
        <v>51463.580360975531</v>
      </c>
      <c r="AU17" s="78">
        <f t="shared" si="25"/>
        <v>4781.083273966512</v>
      </c>
      <c r="AV17" s="79">
        <f t="shared" si="26"/>
        <v>1.3550048603088597E-2</v>
      </c>
      <c r="AW17" s="80">
        <f t="shared" si="27"/>
        <v>1720.7814713237026</v>
      </c>
      <c r="AX17" s="81">
        <f t="shared" si="28"/>
        <v>3060.3018026428094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W8</v>
      </c>
      <c r="E18" s="132" t="str">
        <f>Pricing!N14</f>
        <v>12MM</v>
      </c>
      <c r="F18" s="68">
        <f>Pricing!G14</f>
        <v>560</v>
      </c>
      <c r="G18" s="68">
        <f>Pricing!H14</f>
        <v>2388</v>
      </c>
      <c r="H18" s="100">
        <f t="shared" si="0"/>
        <v>1.33728</v>
      </c>
      <c r="I18" s="70">
        <f>Pricing!I14</f>
        <v>1</v>
      </c>
      <c r="J18" s="69">
        <f t="shared" si="30"/>
        <v>1.33728</v>
      </c>
      <c r="K18" s="71">
        <f t="shared" si="31"/>
        <v>14.394481919999999</v>
      </c>
      <c r="L18" s="69"/>
      <c r="M18" s="72"/>
      <c r="N18" s="72"/>
      <c r="O18" s="72">
        <f t="shared" si="3"/>
        <v>0</v>
      </c>
      <c r="P18" s="73">
        <f>Pricing!M14</f>
        <v>4606.5</v>
      </c>
      <c r="Q18" s="74">
        <f t="shared" si="4"/>
        <v>460.65000000000003</v>
      </c>
      <c r="R18" s="74">
        <f t="shared" si="5"/>
        <v>557.38649999999996</v>
      </c>
      <c r="S18" s="74">
        <f t="shared" si="6"/>
        <v>28.122682499999996</v>
      </c>
      <c r="T18" s="74">
        <f t="shared" si="7"/>
        <v>56.526591824999997</v>
      </c>
      <c r="U18" s="72">
        <f t="shared" si="8"/>
        <v>5709.1857743249993</v>
      </c>
      <c r="V18" s="74">
        <f t="shared" si="9"/>
        <v>85.637786614874983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2527.4592000000002</v>
      </c>
      <c r="AE18" s="76">
        <f t="shared" si="43"/>
        <v>483.27868852459017</v>
      </c>
      <c r="AF18" s="342">
        <f t="shared" si="44"/>
        <v>495.26399999999995</v>
      </c>
      <c r="AG18" s="343"/>
      <c r="AH18" s="76">
        <f t="shared" si="45"/>
        <v>17.687999999999999</v>
      </c>
      <c r="AI18" s="76">
        <f t="shared" si="49"/>
        <v>58.96</v>
      </c>
      <c r="AJ18" s="76">
        <f>J18*Pricing!Q14</f>
        <v>0</v>
      </c>
      <c r="AK18" s="76">
        <f>J18*Pricing!R14</f>
        <v>0</v>
      </c>
      <c r="AL18" s="76">
        <f t="shared" si="16"/>
        <v>1439.4481919999998</v>
      </c>
      <c r="AM18" s="77">
        <f t="shared" si="17"/>
        <v>0</v>
      </c>
      <c r="AN18" s="76">
        <f t="shared" si="18"/>
        <v>1151.5585535999999</v>
      </c>
      <c r="AO18" s="72">
        <f t="shared" si="19"/>
        <v>6850.0142494644651</v>
      </c>
      <c r="AP18" s="74">
        <f t="shared" si="20"/>
        <v>10275.021374196698</v>
      </c>
      <c r="AQ18" s="74">
        <f t="shared" si="21"/>
        <v>0</v>
      </c>
      <c r="AR18" s="74">
        <f t="shared" si="22"/>
        <v>12805.871338583664</v>
      </c>
      <c r="AS18" s="72">
        <f t="shared" si="23"/>
        <v>22243.501569261163</v>
      </c>
      <c r="AT18" s="72">
        <f t="shared" si="24"/>
        <v>16633.391338583664</v>
      </c>
      <c r="AU18" s="78">
        <f t="shared" si="25"/>
        <v>1545.279760180571</v>
      </c>
      <c r="AV18" s="79">
        <f t="shared" si="26"/>
        <v>8.4610297477121475E-3</v>
      </c>
      <c r="AW18" s="80">
        <f t="shared" si="27"/>
        <v>402.57256865135406</v>
      </c>
      <c r="AX18" s="81">
        <f t="shared" si="28"/>
        <v>1142.7071915292167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W5 GR</v>
      </c>
      <c r="E19" s="132" t="str">
        <f>Pricing!N15</f>
        <v>8MM</v>
      </c>
      <c r="F19" s="68">
        <f>Pricing!G15</f>
        <v>1220</v>
      </c>
      <c r="G19" s="68">
        <f>Pricing!H15</f>
        <v>1678</v>
      </c>
      <c r="H19" s="100">
        <f t="shared" si="0"/>
        <v>2.0471599999999999</v>
      </c>
      <c r="I19" s="70">
        <f>Pricing!I15</f>
        <v>1</v>
      </c>
      <c r="J19" s="69">
        <f t="shared" si="30"/>
        <v>2.0471599999999999</v>
      </c>
      <c r="K19" s="71">
        <f t="shared" si="31"/>
        <v>22.035630239999996</v>
      </c>
      <c r="L19" s="69"/>
      <c r="M19" s="72"/>
      <c r="N19" s="72"/>
      <c r="O19" s="72">
        <f t="shared" si="3"/>
        <v>0</v>
      </c>
      <c r="P19" s="73">
        <f>Pricing!M15</f>
        <v>13284.150000000001</v>
      </c>
      <c r="Q19" s="74">
        <f t="shared" si="4"/>
        <v>1328.4150000000002</v>
      </c>
      <c r="R19" s="74">
        <f t="shared" si="5"/>
        <v>1607.3821500000004</v>
      </c>
      <c r="S19" s="74">
        <f t="shared" si="6"/>
        <v>81.099735750000022</v>
      </c>
      <c r="T19" s="74">
        <f t="shared" si="7"/>
        <v>163.01046885750003</v>
      </c>
      <c r="U19" s="72">
        <f t="shared" si="8"/>
        <v>16464.057354607503</v>
      </c>
      <c r="V19" s="74">
        <f t="shared" si="9"/>
        <v>246.96086031911253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2706.3455199999999</v>
      </c>
      <c r="AE19" s="76">
        <f t="shared" si="43"/>
        <v>475.08196721311481</v>
      </c>
      <c r="AF19" s="342">
        <f t="shared" si="44"/>
        <v>486.86400000000003</v>
      </c>
      <c r="AG19" s="343"/>
      <c r="AH19" s="76">
        <f t="shared" si="45"/>
        <v>17.388000000000002</v>
      </c>
      <c r="AI19" s="76">
        <f t="shared" si="49"/>
        <v>57.96</v>
      </c>
      <c r="AJ19" s="76">
        <f>J19*Pricing!Q15</f>
        <v>1101.7815119999998</v>
      </c>
      <c r="AK19" s="76">
        <f>J19*Pricing!R15</f>
        <v>0</v>
      </c>
      <c r="AL19" s="76">
        <f t="shared" si="16"/>
        <v>2203.5630239999996</v>
      </c>
      <c r="AM19" s="77">
        <f t="shared" si="17"/>
        <v>0</v>
      </c>
      <c r="AN19" s="76">
        <f t="shared" si="18"/>
        <v>1762.8504191999996</v>
      </c>
      <c r="AO19" s="72">
        <f t="shared" si="19"/>
        <v>17748.312182139729</v>
      </c>
      <c r="AP19" s="74">
        <f t="shared" si="20"/>
        <v>26622.468273209593</v>
      </c>
      <c r="AQ19" s="74">
        <f t="shared" si="21"/>
        <v>0</v>
      </c>
      <c r="AR19" s="74">
        <f t="shared" si="22"/>
        <v>21674.309997923621</v>
      </c>
      <c r="AS19" s="72">
        <f t="shared" si="23"/>
        <v>52145.320930549322</v>
      </c>
      <c r="AT19" s="72">
        <f t="shared" si="24"/>
        <v>25472.029997923622</v>
      </c>
      <c r="AU19" s="78">
        <f t="shared" si="25"/>
        <v>2366.4093271946881</v>
      </c>
      <c r="AV19" s="79">
        <f t="shared" si="26"/>
        <v>1.2952471926841347E-2</v>
      </c>
      <c r="AW19" s="80">
        <f t="shared" si="27"/>
        <v>758.36352456995201</v>
      </c>
      <c r="AX19" s="81">
        <f t="shared" si="28"/>
        <v>1608.0458026247363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W9A</v>
      </c>
      <c r="E20" s="132" t="str">
        <f>Pricing!N16</f>
        <v>8MM</v>
      </c>
      <c r="F20" s="68">
        <f>Pricing!G16</f>
        <v>916</v>
      </c>
      <c r="G20" s="68">
        <f>Pricing!H16</f>
        <v>2338</v>
      </c>
      <c r="H20" s="100">
        <f t="shared" si="0"/>
        <v>2.1416080000000002</v>
      </c>
      <c r="I20" s="70">
        <f>Pricing!I16</f>
        <v>1</v>
      </c>
      <c r="J20" s="69">
        <f t="shared" si="30"/>
        <v>2.1416080000000002</v>
      </c>
      <c r="K20" s="71">
        <f t="shared" si="31"/>
        <v>23.052268512000001</v>
      </c>
      <c r="L20" s="69"/>
      <c r="M20" s="72"/>
      <c r="N20" s="72"/>
      <c r="O20" s="72">
        <f t="shared" si="3"/>
        <v>0</v>
      </c>
      <c r="P20" s="73">
        <f>Pricing!M16</f>
        <v>33434.06</v>
      </c>
      <c r="Q20" s="74">
        <f t="shared" si="4"/>
        <v>3343.4059999999999</v>
      </c>
      <c r="R20" s="74">
        <f t="shared" si="5"/>
        <v>4045.52126</v>
      </c>
      <c r="S20" s="74">
        <f t="shared" si="6"/>
        <v>204.11493630000001</v>
      </c>
      <c r="T20" s="74">
        <f t="shared" si="7"/>
        <v>410.27102196300001</v>
      </c>
      <c r="U20" s="72">
        <f t="shared" si="8"/>
        <v>41437.373218263005</v>
      </c>
      <c r="V20" s="74">
        <f t="shared" si="9"/>
        <v>621.56059827394506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2831.2057760000002</v>
      </c>
      <c r="AE20" s="76">
        <f t="shared" si="43"/>
        <v>533.44262295081967</v>
      </c>
      <c r="AF20" s="342">
        <f t="shared" si="44"/>
        <v>546.67200000000003</v>
      </c>
      <c r="AG20" s="343"/>
      <c r="AH20" s="76">
        <f t="shared" si="45"/>
        <v>19.524000000000001</v>
      </c>
      <c r="AI20" s="76">
        <f t="shared" si="49"/>
        <v>65.08</v>
      </c>
      <c r="AJ20" s="76">
        <f>J20*Pricing!Q16</f>
        <v>1152.6134256</v>
      </c>
      <c r="AK20" s="76">
        <f>J20*Pricing!R16</f>
        <v>0</v>
      </c>
      <c r="AL20" s="76">
        <f t="shared" si="16"/>
        <v>2305.2268512000001</v>
      </c>
      <c r="AM20" s="77">
        <f t="shared" si="17"/>
        <v>0</v>
      </c>
      <c r="AN20" s="76">
        <f t="shared" si="18"/>
        <v>1844.1814809599998</v>
      </c>
      <c r="AO20" s="72">
        <f t="shared" si="19"/>
        <v>43223.652439487763</v>
      </c>
      <c r="AP20" s="74">
        <f t="shared" si="20"/>
        <v>64835.478659231645</v>
      </c>
      <c r="AQ20" s="74">
        <f t="shared" si="21"/>
        <v>0</v>
      </c>
      <c r="AR20" s="74">
        <f t="shared" si="22"/>
        <v>50457.007584356892</v>
      </c>
      <c r="AS20" s="72">
        <f t="shared" si="23"/>
        <v>116192.3586324794</v>
      </c>
      <c r="AT20" s="72">
        <f t="shared" si="24"/>
        <v>54254.727584356893</v>
      </c>
      <c r="AU20" s="78">
        <f t="shared" si="25"/>
        <v>5040.3871780338995</v>
      </c>
      <c r="AV20" s="79">
        <f t="shared" si="26"/>
        <v>1.3550048603088597E-2</v>
      </c>
      <c r="AW20" s="80">
        <f t="shared" si="27"/>
        <v>1824.5030329506578</v>
      </c>
      <c r="AX20" s="81">
        <f t="shared" si="28"/>
        <v>3215.8841450832419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CORNOR WINDOW</v>
      </c>
      <c r="D21" s="131" t="str">
        <f>Pricing!B17</f>
        <v>W9B</v>
      </c>
      <c r="E21" s="132" t="str">
        <f>Pricing!N17</f>
        <v>12MM</v>
      </c>
      <c r="F21" s="68">
        <f>Pricing!G17</f>
        <v>1108</v>
      </c>
      <c r="G21" s="68">
        <f>Pricing!H17</f>
        <v>2338</v>
      </c>
      <c r="H21" s="100">
        <f t="shared" si="0"/>
        <v>2.5905040000000001</v>
      </c>
      <c r="I21" s="70">
        <f>Pricing!I17</f>
        <v>1</v>
      </c>
      <c r="J21" s="69">
        <f t="shared" si="30"/>
        <v>2.5905040000000001</v>
      </c>
      <c r="K21" s="71">
        <f t="shared" si="31"/>
        <v>27.884185056</v>
      </c>
      <c r="L21" s="69"/>
      <c r="M21" s="72"/>
      <c r="N21" s="72"/>
      <c r="O21" s="72">
        <f t="shared" si="3"/>
        <v>0</v>
      </c>
      <c r="P21" s="73">
        <f>Pricing!M17</f>
        <v>5244.7699999999995</v>
      </c>
      <c r="Q21" s="74">
        <f t="shared" ref="Q21:Q26" si="50">P21*$Q$6</f>
        <v>524.47699999999998</v>
      </c>
      <c r="R21" s="74">
        <f t="shared" ref="R21:R26" si="51">(P21+Q21)*$R$6</f>
        <v>634.61716999999999</v>
      </c>
      <c r="S21" s="74">
        <f t="shared" ref="S21:S26" si="52">(P21+Q21+R21)*$S$6</f>
        <v>32.019320849999993</v>
      </c>
      <c r="T21" s="74">
        <f t="shared" ref="T21:T26" si="53">(P21+Q21+R21+S21)*$T$6</f>
        <v>64.3588349085</v>
      </c>
      <c r="U21" s="72">
        <f t="shared" ref="U21:U26" si="54">SUM(P21:T21)</f>
        <v>6500.2423257584996</v>
      </c>
      <c r="V21" s="74">
        <f t="shared" ref="V21:V26" si="55">U21*$V$6</f>
        <v>97.503634886377498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4896.0525600000001</v>
      </c>
      <c r="AE21" s="76">
        <f t="shared" si="43"/>
        <v>564.91803278688519</v>
      </c>
      <c r="AF21" s="342">
        <f t="shared" si="44"/>
        <v>578.92800000000011</v>
      </c>
      <c r="AG21" s="343"/>
      <c r="AH21" s="76">
        <f t="shared" si="45"/>
        <v>20.676000000000002</v>
      </c>
      <c r="AI21" s="76">
        <f t="shared" si="15"/>
        <v>68.92</v>
      </c>
      <c r="AJ21" s="76">
        <f>J21*Pricing!Q17</f>
        <v>0</v>
      </c>
      <c r="AK21" s="76">
        <f>J21*Pricing!R17</f>
        <v>0</v>
      </c>
      <c r="AL21" s="76">
        <f t="shared" si="16"/>
        <v>2788.4185055999997</v>
      </c>
      <c r="AM21" s="77">
        <f t="shared" si="17"/>
        <v>0</v>
      </c>
      <c r="AN21" s="76">
        <f t="shared" si="18"/>
        <v>2230.7348044799996</v>
      </c>
      <c r="AO21" s="72">
        <f t="shared" si="19"/>
        <v>7831.1879934317622</v>
      </c>
      <c r="AP21" s="74">
        <f t="shared" si="20"/>
        <v>11746.781990147643</v>
      </c>
      <c r="AQ21" s="74">
        <f t="shared" ref="AQ21:AQ26" si="61">(AO21+AP21)*$AQ$6</f>
        <v>0</v>
      </c>
      <c r="AR21" s="74">
        <f t="shared" si="22"/>
        <v>7557.5911033449111</v>
      </c>
      <c r="AS21" s="72">
        <f t="shared" si="23"/>
        <v>29493.175853659402</v>
      </c>
      <c r="AT21" s="72">
        <f t="shared" si="24"/>
        <v>11385.111103344909</v>
      </c>
      <c r="AU21" s="78">
        <f t="shared" ref="AU21:AU26" si="62">AT21/10.764</f>
        <v>1057.7026294449006</v>
      </c>
      <c r="AV21" s="79">
        <f t="shared" si="26"/>
        <v>1.6390233463124633E-2</v>
      </c>
      <c r="AW21" s="80">
        <f t="shared" si="27"/>
        <v>236.61247217354853</v>
      </c>
      <c r="AX21" s="81">
        <f t="shared" si="28"/>
        <v>821.09015727135227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3 NO'S</v>
      </c>
      <c r="D22" s="131" t="str">
        <f>Pricing!B18</f>
        <v>W4</v>
      </c>
      <c r="E22" s="132" t="str">
        <f>Pricing!N18</f>
        <v>12MM</v>
      </c>
      <c r="F22" s="68">
        <f>Pricing!G18</f>
        <v>2896</v>
      </c>
      <c r="G22" s="68">
        <f>Pricing!H18</f>
        <v>762</v>
      </c>
      <c r="H22" s="100">
        <f t="shared" si="0"/>
        <v>2.2067519999999998</v>
      </c>
      <c r="I22" s="70">
        <f>Pricing!I18</f>
        <v>1</v>
      </c>
      <c r="J22" s="69">
        <f t="shared" si="30"/>
        <v>2.2067519999999998</v>
      </c>
      <c r="K22" s="71">
        <f t="shared" si="31"/>
        <v>23.753478527999995</v>
      </c>
      <c r="L22" s="69"/>
      <c r="M22" s="72"/>
      <c r="N22" s="72"/>
      <c r="O22" s="72">
        <f t="shared" si="3"/>
        <v>0</v>
      </c>
      <c r="P22" s="73">
        <f>Pricing!M18</f>
        <v>10679.609999999999</v>
      </c>
      <c r="Q22" s="74">
        <f t="shared" si="50"/>
        <v>1067.961</v>
      </c>
      <c r="R22" s="74">
        <f t="shared" si="51"/>
        <v>1292.2328099999997</v>
      </c>
      <c r="S22" s="74">
        <f t="shared" si="52"/>
        <v>65.19901904999999</v>
      </c>
      <c r="T22" s="74">
        <f t="shared" si="53"/>
        <v>131.05002829049997</v>
      </c>
      <c r="U22" s="72">
        <f t="shared" si="54"/>
        <v>13236.052857340497</v>
      </c>
      <c r="V22" s="74">
        <f t="shared" si="55"/>
        <v>198.54079286010744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4170.7612799999997</v>
      </c>
      <c r="AE22" s="76">
        <f t="shared" si="43"/>
        <v>599.67213114754099</v>
      </c>
      <c r="AF22" s="342">
        <f t="shared" si="44"/>
        <v>614.54399999999998</v>
      </c>
      <c r="AG22" s="343"/>
      <c r="AH22" s="76">
        <f t="shared" si="45"/>
        <v>21.948</v>
      </c>
      <c r="AI22" s="76">
        <f t="shared" si="15"/>
        <v>73.16</v>
      </c>
      <c r="AJ22" s="76">
        <f>J22*Pricing!Q18</f>
        <v>0</v>
      </c>
      <c r="AK22" s="76">
        <f>J22*Pricing!R18</f>
        <v>0</v>
      </c>
      <c r="AL22" s="76">
        <f t="shared" si="16"/>
        <v>2375.3478527999996</v>
      </c>
      <c r="AM22" s="77">
        <f t="shared" si="17"/>
        <v>0</v>
      </c>
      <c r="AN22" s="76">
        <f t="shared" si="18"/>
        <v>1900.2782822399995</v>
      </c>
      <c r="AO22" s="72">
        <f t="shared" si="19"/>
        <v>14743.917781348147</v>
      </c>
      <c r="AP22" s="74">
        <f t="shared" si="20"/>
        <v>22115.876672022219</v>
      </c>
      <c r="AQ22" s="74">
        <f t="shared" si="61"/>
        <v>0</v>
      </c>
      <c r="AR22" s="74">
        <f t="shared" si="22"/>
        <v>16703.188420524995</v>
      </c>
      <c r="AS22" s="72">
        <f t="shared" si="23"/>
        <v>45306.181868410364</v>
      </c>
      <c r="AT22" s="72">
        <f t="shared" si="24"/>
        <v>20530.708420524992</v>
      </c>
      <c r="AU22" s="78">
        <f t="shared" si="62"/>
        <v>1907.3493515909506</v>
      </c>
      <c r="AV22" s="79">
        <f t="shared" si="26"/>
        <v>1.3962217574347386E-2</v>
      </c>
      <c r="AW22" s="80">
        <f t="shared" si="27"/>
        <v>565.58426313704945</v>
      </c>
      <c r="AX22" s="81">
        <f t="shared" si="28"/>
        <v>1341.7650884539014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FD1 TOP</v>
      </c>
      <c r="E23" s="132" t="str">
        <f>Pricing!N19</f>
        <v>12MM</v>
      </c>
      <c r="F23" s="68">
        <f>Pricing!G19</f>
        <v>3658</v>
      </c>
      <c r="G23" s="68">
        <f>Pricing!H19</f>
        <v>610</v>
      </c>
      <c r="H23" s="100">
        <f t="shared" si="0"/>
        <v>2.2313800000000001</v>
      </c>
      <c r="I23" s="70">
        <f>Pricing!I19</f>
        <v>1</v>
      </c>
      <c r="J23" s="69">
        <f t="shared" si="30"/>
        <v>2.2313800000000001</v>
      </c>
      <c r="K23" s="71">
        <f t="shared" si="31"/>
        <v>24.018574319999999</v>
      </c>
      <c r="L23" s="69"/>
      <c r="M23" s="72"/>
      <c r="N23" s="72"/>
      <c r="O23" s="72">
        <f t="shared" si="3"/>
        <v>0</v>
      </c>
      <c r="P23" s="73">
        <f>Pricing!M19</f>
        <v>6272.3099999999995</v>
      </c>
      <c r="Q23" s="74">
        <f t="shared" si="50"/>
        <v>627.23099999999999</v>
      </c>
      <c r="R23" s="74">
        <f t="shared" si="51"/>
        <v>758.94950999999992</v>
      </c>
      <c r="S23" s="74">
        <f t="shared" si="52"/>
        <v>38.29245255</v>
      </c>
      <c r="T23" s="74">
        <f t="shared" si="53"/>
        <v>76.967829625500002</v>
      </c>
      <c r="U23" s="72">
        <f t="shared" si="54"/>
        <v>7773.7507921754996</v>
      </c>
      <c r="V23" s="74">
        <f t="shared" si="55"/>
        <v>116.6062618826325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4217.3082000000004</v>
      </c>
      <c r="AE23" s="76">
        <f t="shared" si="43"/>
        <v>699.67213114754099</v>
      </c>
      <c r="AF23" s="342">
        <f t="shared" si="44"/>
        <v>717.02399999999977</v>
      </c>
      <c r="AG23" s="343"/>
      <c r="AH23" s="76">
        <f t="shared" si="45"/>
        <v>25.607999999999997</v>
      </c>
      <c r="AI23" s="76">
        <f t="shared" si="15"/>
        <v>85.36</v>
      </c>
      <c r="AJ23" s="76">
        <f>J23*Pricing!Q19</f>
        <v>0</v>
      </c>
      <c r="AK23" s="76">
        <f>J23*Pricing!R19</f>
        <v>0</v>
      </c>
      <c r="AL23" s="76">
        <f t="shared" si="16"/>
        <v>2401.8574319999998</v>
      </c>
      <c r="AM23" s="77">
        <f t="shared" si="17"/>
        <v>0</v>
      </c>
      <c r="AN23" s="76">
        <f t="shared" si="18"/>
        <v>1921.4859455999999</v>
      </c>
      <c r="AO23" s="72">
        <f t="shared" si="19"/>
        <v>9418.0211852056746</v>
      </c>
      <c r="AP23" s="74">
        <f t="shared" si="20"/>
        <v>14127.031777808512</v>
      </c>
      <c r="AQ23" s="74">
        <f t="shared" si="61"/>
        <v>0</v>
      </c>
      <c r="AR23" s="74">
        <f t="shared" si="22"/>
        <v>10551.789907149023</v>
      </c>
      <c r="AS23" s="72">
        <f t="shared" si="23"/>
        <v>32085.704540614184</v>
      </c>
      <c r="AT23" s="72">
        <f t="shared" si="24"/>
        <v>14379.309907149021</v>
      </c>
      <c r="AU23" s="78">
        <f t="shared" si="62"/>
        <v>1335.8704856139932</v>
      </c>
      <c r="AV23" s="79">
        <f t="shared" si="26"/>
        <v>1.4118040020377132E-2</v>
      </c>
      <c r="AW23" s="80">
        <f t="shared" si="27"/>
        <v>328.5106330182104</v>
      </c>
      <c r="AX23" s="81">
        <f t="shared" si="28"/>
        <v>1007.3598525957827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6 LEAF SLIDE &amp; FOLD DOOR</v>
      </c>
      <c r="D24" s="131" t="str">
        <f>Pricing!B20</f>
        <v>FD1</v>
      </c>
      <c r="E24" s="132" t="str">
        <f>Pricing!N20</f>
        <v>8MM</v>
      </c>
      <c r="F24" s="68">
        <f>Pricing!G20</f>
        <v>3658</v>
      </c>
      <c r="G24" s="68">
        <f>Pricing!H20</f>
        <v>2744</v>
      </c>
      <c r="H24" s="100">
        <f t="shared" si="0"/>
        <v>10.037552</v>
      </c>
      <c r="I24" s="70">
        <f>Pricing!I20</f>
        <v>1</v>
      </c>
      <c r="J24" s="69">
        <f t="shared" si="30"/>
        <v>10.037552</v>
      </c>
      <c r="K24" s="71">
        <f t="shared" si="31"/>
        <v>108.044209728</v>
      </c>
      <c r="L24" s="69"/>
      <c r="M24" s="72"/>
      <c r="N24" s="72"/>
      <c r="O24" s="72">
        <f t="shared" si="3"/>
        <v>0</v>
      </c>
      <c r="P24" s="73">
        <f>Pricing!M20</f>
        <v>97669.42</v>
      </c>
      <c r="Q24" s="74">
        <f t="shared" si="50"/>
        <v>9766.9420000000009</v>
      </c>
      <c r="R24" s="74">
        <f t="shared" si="51"/>
        <v>11817.999819999999</v>
      </c>
      <c r="S24" s="74">
        <f t="shared" si="52"/>
        <v>596.27180909999993</v>
      </c>
      <c r="T24" s="74">
        <f t="shared" si="53"/>
        <v>1198.506336291</v>
      </c>
      <c r="U24" s="72">
        <f t="shared" si="54"/>
        <v>121049.13996539099</v>
      </c>
      <c r="V24" s="74">
        <f t="shared" si="55"/>
        <v>1815.7370994808648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13269.643743999999</v>
      </c>
      <c r="AE24" s="76">
        <f t="shared" si="43"/>
        <v>1049.5081967213114</v>
      </c>
      <c r="AF24" s="342">
        <f t="shared" si="44"/>
        <v>1075.5359999999998</v>
      </c>
      <c r="AG24" s="343"/>
      <c r="AH24" s="76">
        <f t="shared" si="45"/>
        <v>38.411999999999999</v>
      </c>
      <c r="AI24" s="76">
        <f t="shared" si="15"/>
        <v>128.04</v>
      </c>
      <c r="AJ24" s="76">
        <f>J24*Pricing!Q20</f>
        <v>0</v>
      </c>
      <c r="AK24" s="76">
        <f>J24*Pricing!R20</f>
        <v>0</v>
      </c>
      <c r="AL24" s="76">
        <f t="shared" si="16"/>
        <v>10804.420972799999</v>
      </c>
      <c r="AM24" s="77">
        <f t="shared" si="17"/>
        <v>0</v>
      </c>
      <c r="AN24" s="76">
        <f t="shared" si="18"/>
        <v>8643.536778239999</v>
      </c>
      <c r="AO24" s="72">
        <f t="shared" si="19"/>
        <v>125156.37326159317</v>
      </c>
      <c r="AP24" s="74">
        <f t="shared" si="20"/>
        <v>187734.55989238975</v>
      </c>
      <c r="AQ24" s="74">
        <f t="shared" si="61"/>
        <v>0</v>
      </c>
      <c r="AR24" s="74">
        <f t="shared" si="22"/>
        <v>31172.036085490061</v>
      </c>
      <c r="AS24" s="72">
        <f t="shared" si="23"/>
        <v>345608.53464902291</v>
      </c>
      <c r="AT24" s="72">
        <f t="shared" si="24"/>
        <v>34431.556085490061</v>
      </c>
      <c r="AU24" s="78">
        <f t="shared" si="62"/>
        <v>3198.7696103205185</v>
      </c>
      <c r="AV24" s="79">
        <f t="shared" si="26"/>
        <v>6.3508035763794837E-2</v>
      </c>
      <c r="AW24" s="80">
        <f t="shared" si="27"/>
        <v>1137.1722498982842</v>
      </c>
      <c r="AX24" s="81">
        <f t="shared" si="28"/>
        <v>2061.597360422234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4 LEAF SLIDE &amp; FOLD DOOR</v>
      </c>
      <c r="D25" s="131" t="str">
        <f>Pricing!B21</f>
        <v>FD2</v>
      </c>
      <c r="E25" s="132" t="str">
        <f>Pricing!N21</f>
        <v>8MM</v>
      </c>
      <c r="F25" s="68">
        <f>Pricing!G21</f>
        <v>2440</v>
      </c>
      <c r="G25" s="68">
        <f>Pricing!H21</f>
        <v>2744</v>
      </c>
      <c r="H25" s="100">
        <f t="shared" si="0"/>
        <v>6.69536</v>
      </c>
      <c r="I25" s="70">
        <f>Pricing!I21</f>
        <v>1</v>
      </c>
      <c r="J25" s="69">
        <f t="shared" si="30"/>
        <v>6.69536</v>
      </c>
      <c r="K25" s="71">
        <f t="shared" si="31"/>
        <v>72.068855039999988</v>
      </c>
      <c r="L25" s="69"/>
      <c r="M25" s="72"/>
      <c r="N25" s="72"/>
      <c r="O25" s="72">
        <f t="shared" si="3"/>
        <v>0</v>
      </c>
      <c r="P25" s="73">
        <f>Pricing!M21</f>
        <v>66838.239999999991</v>
      </c>
      <c r="Q25" s="74">
        <f t="shared" si="50"/>
        <v>6683.8239999999996</v>
      </c>
      <c r="R25" s="74">
        <f t="shared" si="51"/>
        <v>8087.4270399999987</v>
      </c>
      <c r="S25" s="74">
        <f t="shared" si="52"/>
        <v>408.04745519999989</v>
      </c>
      <c r="T25" s="74">
        <f t="shared" si="53"/>
        <v>820.17538495199972</v>
      </c>
      <c r="U25" s="72">
        <f t="shared" si="54"/>
        <v>82837.713880151976</v>
      </c>
      <c r="V25" s="74">
        <f t="shared" si="55"/>
        <v>1242.5657082022797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8851.2659199999998</v>
      </c>
      <c r="AE25" s="76">
        <f t="shared" si="43"/>
        <v>849.83606557377038</v>
      </c>
      <c r="AF25" s="342">
        <f t="shared" si="44"/>
        <v>870.91199999999992</v>
      </c>
      <c r="AG25" s="343"/>
      <c r="AH25" s="76">
        <f t="shared" si="45"/>
        <v>31.103999999999999</v>
      </c>
      <c r="AI25" s="76">
        <f t="shared" si="15"/>
        <v>103.68</v>
      </c>
      <c r="AJ25" s="76">
        <f>J25*Pricing!Q21</f>
        <v>0</v>
      </c>
      <c r="AK25" s="76">
        <f>J25*Pricing!R21</f>
        <v>0</v>
      </c>
      <c r="AL25" s="76">
        <f t="shared" si="16"/>
        <v>7206.8855039999989</v>
      </c>
      <c r="AM25" s="77">
        <f t="shared" si="17"/>
        <v>0</v>
      </c>
      <c r="AN25" s="76">
        <f t="shared" si="18"/>
        <v>5765.5084031999995</v>
      </c>
      <c r="AO25" s="72">
        <f t="shared" si="19"/>
        <v>85935.811653928016</v>
      </c>
      <c r="AP25" s="74">
        <f t="shared" si="20"/>
        <v>128903.71748089202</v>
      </c>
      <c r="AQ25" s="74">
        <f t="shared" si="61"/>
        <v>0</v>
      </c>
      <c r="AR25" s="74">
        <f t="shared" si="22"/>
        <v>32087.823378402361</v>
      </c>
      <c r="AS25" s="72">
        <f t="shared" si="23"/>
        <v>236663.18896202004</v>
      </c>
      <c r="AT25" s="72">
        <f t="shared" si="24"/>
        <v>35347.343378402365</v>
      </c>
      <c r="AU25" s="78">
        <f t="shared" si="62"/>
        <v>3283.8483257527282</v>
      </c>
      <c r="AV25" s="79">
        <f t="shared" si="26"/>
        <v>4.2361839055128317E-2</v>
      </c>
      <c r="AW25" s="80">
        <f t="shared" si="27"/>
        <v>1166.6659549633143</v>
      </c>
      <c r="AX25" s="81">
        <f t="shared" si="28"/>
        <v>2117.1823707894146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WINDOW</v>
      </c>
      <c r="D26" s="131" t="str">
        <f>Pricing!B22</f>
        <v>W3</v>
      </c>
      <c r="E26" s="132" t="str">
        <f>Pricing!N22</f>
        <v>8MM</v>
      </c>
      <c r="F26" s="68">
        <f>Pricing!G22</f>
        <v>1754</v>
      </c>
      <c r="G26" s="68">
        <f>Pricing!H22</f>
        <v>1220</v>
      </c>
      <c r="H26" s="100">
        <f t="shared" si="0"/>
        <v>2.1398799999999998</v>
      </c>
      <c r="I26" s="70">
        <f>Pricing!I22</f>
        <v>1</v>
      </c>
      <c r="J26" s="69">
        <f t="shared" si="30"/>
        <v>2.1398799999999998</v>
      </c>
      <c r="K26" s="71">
        <f t="shared" si="31"/>
        <v>23.033668319999997</v>
      </c>
      <c r="L26" s="69"/>
      <c r="M26" s="72"/>
      <c r="N26" s="72"/>
      <c r="O26" s="72">
        <f t="shared" si="3"/>
        <v>0</v>
      </c>
      <c r="P26" s="73">
        <f>Pricing!M22</f>
        <v>12548.77</v>
      </c>
      <c r="Q26" s="74">
        <f t="shared" si="50"/>
        <v>1254.8770000000002</v>
      </c>
      <c r="R26" s="74">
        <f t="shared" si="51"/>
        <v>1518.4011700000001</v>
      </c>
      <c r="S26" s="74">
        <f t="shared" si="52"/>
        <v>76.610240850000011</v>
      </c>
      <c r="T26" s="74">
        <f t="shared" si="53"/>
        <v>153.98658410850001</v>
      </c>
      <c r="U26" s="72">
        <f t="shared" si="54"/>
        <v>15552.6449949585</v>
      </c>
      <c r="V26" s="74">
        <f t="shared" si="55"/>
        <v>233.28967492437749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2828.9213599999998</v>
      </c>
      <c r="AE26" s="76">
        <f t="shared" si="43"/>
        <v>487.54098360655735</v>
      </c>
      <c r="AF26" s="342">
        <f t="shared" si="44"/>
        <v>499.63200000000006</v>
      </c>
      <c r="AG26" s="343"/>
      <c r="AH26" s="76">
        <f t="shared" si="45"/>
        <v>17.844000000000001</v>
      </c>
      <c r="AI26" s="76">
        <f t="shared" si="15"/>
        <v>59.480000000000004</v>
      </c>
      <c r="AJ26" s="76">
        <f>J26*Pricing!Q22</f>
        <v>1151.6834159999996</v>
      </c>
      <c r="AK26" s="76">
        <f>J26*Pricing!R22</f>
        <v>0</v>
      </c>
      <c r="AL26" s="76">
        <f t="shared" si="16"/>
        <v>2303.3668319999992</v>
      </c>
      <c r="AM26" s="77">
        <f t="shared" si="17"/>
        <v>0</v>
      </c>
      <c r="AN26" s="76">
        <f t="shared" si="18"/>
        <v>1842.6934655999996</v>
      </c>
      <c r="AO26" s="72">
        <f t="shared" si="19"/>
        <v>16850.431653489435</v>
      </c>
      <c r="AP26" s="74">
        <f t="shared" si="20"/>
        <v>25275.647480234155</v>
      </c>
      <c r="AQ26" s="74">
        <f t="shared" si="61"/>
        <v>0</v>
      </c>
      <c r="AR26" s="74">
        <f t="shared" si="22"/>
        <v>19686.187605717885</v>
      </c>
      <c r="AS26" s="72">
        <f t="shared" si="23"/>
        <v>50252.744207323587</v>
      </c>
      <c r="AT26" s="72">
        <f t="shared" si="24"/>
        <v>23483.907605717886</v>
      </c>
      <c r="AU26" s="78">
        <f t="shared" si="62"/>
        <v>2181.7082502524981</v>
      </c>
      <c r="AV26" s="79">
        <f t="shared" si="26"/>
        <v>1.3539115470607701E-2</v>
      </c>
      <c r="AW26" s="80">
        <f t="shared" si="27"/>
        <v>685.34175497248282</v>
      </c>
      <c r="AX26" s="81">
        <f t="shared" si="28"/>
        <v>1496.3664952800152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WINDOW</v>
      </c>
      <c r="D27" s="131" t="str">
        <f>Pricing!B23</f>
        <v>W2A</v>
      </c>
      <c r="E27" s="132" t="str">
        <f>Pricing!N23</f>
        <v>8MM</v>
      </c>
      <c r="F27" s="68">
        <f>Pricing!G23</f>
        <v>1068</v>
      </c>
      <c r="G27" s="68">
        <f>Pricing!H23</f>
        <v>1830</v>
      </c>
      <c r="H27" s="100">
        <f t="shared" si="0"/>
        <v>1.95444</v>
      </c>
      <c r="I27" s="70">
        <f>Pricing!I23</f>
        <v>1</v>
      </c>
      <c r="J27" s="69">
        <f t="shared" si="30"/>
        <v>1.95444</v>
      </c>
      <c r="K27" s="71">
        <f t="shared" si="31"/>
        <v>21.037592159999999</v>
      </c>
      <c r="L27" s="69"/>
      <c r="M27" s="72"/>
      <c r="N27" s="72"/>
      <c r="O27" s="72">
        <f t="shared" si="3"/>
        <v>0</v>
      </c>
      <c r="P27" s="73">
        <f>Pricing!M23</f>
        <v>28676.5</v>
      </c>
      <c r="Q27" s="74">
        <f t="shared" si="4"/>
        <v>2867.65</v>
      </c>
      <c r="R27" s="74">
        <f t="shared" si="5"/>
        <v>3469.8565000000003</v>
      </c>
      <c r="S27" s="74">
        <f t="shared" si="6"/>
        <v>175.07003250000002</v>
      </c>
      <c r="T27" s="74">
        <f t="shared" si="7"/>
        <v>351.89076532500002</v>
      </c>
      <c r="U27" s="72">
        <f t="shared" si="8"/>
        <v>35540.967297825002</v>
      </c>
      <c r="V27" s="74">
        <f t="shared" si="9"/>
        <v>533.114509467375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2583.7696799999999</v>
      </c>
      <c r="AE27" s="76">
        <f t="shared" si="43"/>
        <v>475.08196721311481</v>
      </c>
      <c r="AF27" s="342">
        <f t="shared" si="44"/>
        <v>486.86400000000003</v>
      </c>
      <c r="AG27" s="343"/>
      <c r="AH27" s="76">
        <f t="shared" si="45"/>
        <v>17.388000000000002</v>
      </c>
      <c r="AI27" s="76">
        <f t="shared" ref="AI27:AI32" si="64">(((F27+G27)*2*I27)/1000)*2*$AI$7</f>
        <v>57.96</v>
      </c>
      <c r="AJ27" s="76">
        <f>J27*Pricing!Q23</f>
        <v>1051.8796079999997</v>
      </c>
      <c r="AK27" s="76">
        <f>J27*Pricing!R23</f>
        <v>0</v>
      </c>
      <c r="AL27" s="76">
        <f t="shared" si="16"/>
        <v>2103.7592159999995</v>
      </c>
      <c r="AM27" s="77">
        <f t="shared" si="17"/>
        <v>0</v>
      </c>
      <c r="AN27" s="76">
        <f t="shared" si="18"/>
        <v>1683.0073727999998</v>
      </c>
      <c r="AO27" s="72">
        <f t="shared" si="19"/>
        <v>37111.375774505497</v>
      </c>
      <c r="AP27" s="74">
        <f t="shared" si="20"/>
        <v>55667.06366175825</v>
      </c>
      <c r="AQ27" s="74">
        <f t="shared" si="21"/>
        <v>0</v>
      </c>
      <c r="AR27" s="74">
        <f t="shared" si="22"/>
        <v>47470.5999858086</v>
      </c>
      <c r="AS27" s="72">
        <f t="shared" si="23"/>
        <v>100200.85531306374</v>
      </c>
      <c r="AT27" s="72">
        <f t="shared" si="24"/>
        <v>51268.319985808594</v>
      </c>
      <c r="AU27" s="78">
        <f t="shared" si="25"/>
        <v>4762.9431424942959</v>
      </c>
      <c r="AV27" s="79">
        <f t="shared" si="26"/>
        <v>1.2365828383074994E-2</v>
      </c>
      <c r="AW27" s="80">
        <f t="shared" si="27"/>
        <v>1714.7438515269887</v>
      </c>
      <c r="AX27" s="81">
        <f t="shared" si="28"/>
        <v>3048.1992909673068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CORNOR WINDOW</v>
      </c>
      <c r="D28" s="131" t="str">
        <f>Pricing!B24</f>
        <v>W2B</v>
      </c>
      <c r="E28" s="132" t="str">
        <f>Pricing!N24</f>
        <v>12MM</v>
      </c>
      <c r="F28" s="68">
        <f>Pricing!G24</f>
        <v>2296</v>
      </c>
      <c r="G28" s="68">
        <f>Pricing!H24</f>
        <v>1830</v>
      </c>
      <c r="H28" s="100">
        <f t="shared" si="0"/>
        <v>4.2016799999999996</v>
      </c>
      <c r="I28" s="70">
        <f>Pricing!I24</f>
        <v>1</v>
      </c>
      <c r="J28" s="69">
        <f t="shared" si="30"/>
        <v>4.2016799999999996</v>
      </c>
      <c r="K28" s="71">
        <f t="shared" si="31"/>
        <v>45.226883519999994</v>
      </c>
      <c r="L28" s="69"/>
      <c r="M28" s="72"/>
      <c r="N28" s="72"/>
      <c r="O28" s="72">
        <f t="shared" si="3"/>
        <v>0</v>
      </c>
      <c r="P28" s="73">
        <f>Pricing!M24</f>
        <v>19117.39</v>
      </c>
      <c r="Q28" s="74">
        <f t="shared" si="4"/>
        <v>1911.739</v>
      </c>
      <c r="R28" s="74">
        <f t="shared" si="5"/>
        <v>2313.2041899999999</v>
      </c>
      <c r="S28" s="74">
        <f t="shared" si="6"/>
        <v>116.71166595000001</v>
      </c>
      <c r="T28" s="74">
        <f t="shared" si="7"/>
        <v>234.5904485595</v>
      </c>
      <c r="U28" s="72">
        <f t="shared" si="8"/>
        <v>23693.635304509498</v>
      </c>
      <c r="V28" s="74">
        <f t="shared" si="9"/>
        <v>355.40452956764244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7941.1751999999997</v>
      </c>
      <c r="AE28" s="76">
        <f t="shared" si="43"/>
        <v>676.39344262295083</v>
      </c>
      <c r="AF28" s="342">
        <f t="shared" si="44"/>
        <v>693.16800000000001</v>
      </c>
      <c r="AG28" s="343"/>
      <c r="AH28" s="76">
        <f t="shared" si="45"/>
        <v>24.756</v>
      </c>
      <c r="AI28" s="76">
        <f t="shared" si="64"/>
        <v>82.52000000000001</v>
      </c>
      <c r="AJ28" s="76">
        <f>J28*Pricing!Q24</f>
        <v>0</v>
      </c>
      <c r="AK28" s="76">
        <f>J28*Pricing!R24</f>
        <v>0</v>
      </c>
      <c r="AL28" s="76">
        <f t="shared" si="16"/>
        <v>4522.6883519999992</v>
      </c>
      <c r="AM28" s="77">
        <f t="shared" si="17"/>
        <v>0</v>
      </c>
      <c r="AN28" s="76">
        <f t="shared" si="18"/>
        <v>3618.1506815999992</v>
      </c>
      <c r="AO28" s="72">
        <f t="shared" si="19"/>
        <v>25525.877276700092</v>
      </c>
      <c r="AP28" s="74">
        <f t="shared" si="20"/>
        <v>38288.815915050138</v>
      </c>
      <c r="AQ28" s="74">
        <f t="shared" si="21"/>
        <v>0</v>
      </c>
      <c r="AR28" s="74">
        <f t="shared" si="22"/>
        <v>15187.899409700462</v>
      </c>
      <c r="AS28" s="72">
        <f t="shared" si="23"/>
        <v>79896.707425350236</v>
      </c>
      <c r="AT28" s="72">
        <f t="shared" si="24"/>
        <v>19015.419409700462</v>
      </c>
      <c r="AU28" s="78">
        <f t="shared" si="25"/>
        <v>1766.5755676050226</v>
      </c>
      <c r="AV28" s="79">
        <f t="shared" si="26"/>
        <v>2.6584215325412157E-2</v>
      </c>
      <c r="AW28" s="80">
        <f t="shared" si="27"/>
        <v>531.74214012429809</v>
      </c>
      <c r="AX28" s="81">
        <f t="shared" si="28"/>
        <v>1234.8334274807246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WITH EXHAUST FAN PROVISION</v>
      </c>
      <c r="D29" s="131" t="str">
        <f>Pricing!B25</f>
        <v>W5</v>
      </c>
      <c r="E29" s="132" t="str">
        <f>Pricing!N25</f>
        <v>12MM (F)</v>
      </c>
      <c r="F29" s="68">
        <f>Pricing!G25</f>
        <v>382</v>
      </c>
      <c r="G29" s="68">
        <f>Pricing!H25</f>
        <v>1754</v>
      </c>
      <c r="H29" s="100">
        <f t="shared" si="0"/>
        <v>0.67002799999999996</v>
      </c>
      <c r="I29" s="70">
        <f>Pricing!I25</f>
        <v>1</v>
      </c>
      <c r="J29" s="69">
        <f t="shared" si="30"/>
        <v>0.67002799999999996</v>
      </c>
      <c r="K29" s="71">
        <f t="shared" si="31"/>
        <v>7.2121813919999989</v>
      </c>
      <c r="L29" s="69"/>
      <c r="M29" s="72"/>
      <c r="N29" s="72"/>
      <c r="O29" s="72">
        <f t="shared" si="3"/>
        <v>0</v>
      </c>
      <c r="P29" s="73">
        <f>Pricing!M25</f>
        <v>5502.9</v>
      </c>
      <c r="Q29" s="74">
        <f t="shared" si="4"/>
        <v>550.29</v>
      </c>
      <c r="R29" s="74">
        <f t="shared" si="5"/>
        <v>665.85089999999991</v>
      </c>
      <c r="S29" s="74">
        <f t="shared" si="6"/>
        <v>33.595204500000001</v>
      </c>
      <c r="T29" s="74">
        <f t="shared" si="7"/>
        <v>67.526361045000002</v>
      </c>
      <c r="U29" s="72">
        <f t="shared" si="8"/>
        <v>6820.1624655450005</v>
      </c>
      <c r="V29" s="74">
        <f t="shared" si="9"/>
        <v>102.302436983175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1937.7209759999998</v>
      </c>
      <c r="AE29" s="76">
        <f t="shared" si="43"/>
        <v>350.1639344262295</v>
      </c>
      <c r="AF29" s="342">
        <f t="shared" si="44"/>
        <v>358.84800000000001</v>
      </c>
      <c r="AG29" s="343"/>
      <c r="AH29" s="76">
        <f t="shared" si="45"/>
        <v>12.816000000000001</v>
      </c>
      <c r="AI29" s="76">
        <f t="shared" si="64"/>
        <v>42.72</v>
      </c>
      <c r="AJ29" s="76">
        <f>J29*Pricing!Q25</f>
        <v>0</v>
      </c>
      <c r="AK29" s="76">
        <f>J29*Pricing!R25</f>
        <v>0</v>
      </c>
      <c r="AL29" s="76">
        <f t="shared" si="16"/>
        <v>721.21813919999988</v>
      </c>
      <c r="AM29" s="77">
        <f t="shared" si="17"/>
        <v>0</v>
      </c>
      <c r="AN29" s="76">
        <f t="shared" si="18"/>
        <v>576.97451135999984</v>
      </c>
      <c r="AO29" s="72">
        <f t="shared" si="19"/>
        <v>7687.0128369544045</v>
      </c>
      <c r="AP29" s="74">
        <f t="shared" si="20"/>
        <v>11530.519255431607</v>
      </c>
      <c r="AQ29" s="74">
        <f t="shared" si="21"/>
        <v>0</v>
      </c>
      <c r="AR29" s="74">
        <f t="shared" si="22"/>
        <v>28681.685082393593</v>
      </c>
      <c r="AS29" s="72">
        <f t="shared" si="23"/>
        <v>22453.445718946012</v>
      </c>
      <c r="AT29" s="72">
        <f t="shared" si="24"/>
        <v>33511.205082393593</v>
      </c>
      <c r="AU29" s="78">
        <f t="shared" si="25"/>
        <v>3113.2669158671119</v>
      </c>
      <c r="AV29" s="79">
        <f t="shared" si="26"/>
        <v>4.2392968112886413E-3</v>
      </c>
      <c r="AW29" s="80">
        <f t="shared" si="27"/>
        <v>959.82956144264654</v>
      </c>
      <c r="AX29" s="81">
        <f t="shared" si="28"/>
        <v>2153.4373544244654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WITH CENTER FIXED WITH SILICON JOINT</v>
      </c>
      <c r="D30" s="131" t="str">
        <f>Pricing!B26</f>
        <v>W6</v>
      </c>
      <c r="E30" s="132" t="str">
        <f>Pricing!N26</f>
        <v>8MM</v>
      </c>
      <c r="F30" s="68">
        <f>Pricing!G26</f>
        <v>5666</v>
      </c>
      <c r="G30" s="68">
        <f>Pricing!H26</f>
        <v>2744</v>
      </c>
      <c r="H30" s="100">
        <f t="shared" si="0"/>
        <v>15.547504</v>
      </c>
      <c r="I30" s="70">
        <f>Pricing!I26</f>
        <v>1</v>
      </c>
      <c r="J30" s="69">
        <f t="shared" si="30"/>
        <v>15.547504</v>
      </c>
      <c r="K30" s="71">
        <f t="shared" si="31"/>
        <v>167.353333056</v>
      </c>
      <c r="L30" s="69"/>
      <c r="M30" s="72"/>
      <c r="N30" s="72"/>
      <c r="O30" s="72">
        <f t="shared" si="3"/>
        <v>0</v>
      </c>
      <c r="P30" s="73">
        <f>Pricing!M26</f>
        <v>72283.039999999994</v>
      </c>
      <c r="Q30" s="74">
        <f t="shared" si="4"/>
        <v>7228.3040000000001</v>
      </c>
      <c r="R30" s="74">
        <f t="shared" si="5"/>
        <v>8746.24784</v>
      </c>
      <c r="S30" s="74">
        <f t="shared" si="6"/>
        <v>441.28795919999999</v>
      </c>
      <c r="T30" s="74">
        <f t="shared" si="7"/>
        <v>886.98879799199995</v>
      </c>
      <c r="U30" s="72">
        <f t="shared" si="8"/>
        <v>89585.868597191991</v>
      </c>
      <c r="V30" s="74">
        <f t="shared" si="9"/>
        <v>1343.7880289578798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20553.800287999999</v>
      </c>
      <c r="AE30" s="76">
        <f t="shared" si="43"/>
        <v>1378.688524590164</v>
      </c>
      <c r="AF30" s="342">
        <f t="shared" si="44"/>
        <v>1412.8799999999999</v>
      </c>
      <c r="AG30" s="343"/>
      <c r="AH30" s="76">
        <f t="shared" si="45"/>
        <v>50.46</v>
      </c>
      <c r="AI30" s="76">
        <f t="shared" si="64"/>
        <v>168.2</v>
      </c>
      <c r="AJ30" s="76">
        <f>J30*Pricing!Q26</f>
        <v>8367.6666527999987</v>
      </c>
      <c r="AK30" s="76">
        <f>J30*Pricing!R26</f>
        <v>0</v>
      </c>
      <c r="AL30" s="76">
        <f t="shared" si="16"/>
        <v>16735.333305599997</v>
      </c>
      <c r="AM30" s="77">
        <f t="shared" si="17"/>
        <v>0</v>
      </c>
      <c r="AN30" s="76">
        <f t="shared" si="18"/>
        <v>13388.266644479998</v>
      </c>
      <c r="AO30" s="72">
        <f t="shared" si="19"/>
        <v>93939.88515074004</v>
      </c>
      <c r="AP30" s="74">
        <f t="shared" si="20"/>
        <v>140909.82772611006</v>
      </c>
      <c r="AQ30" s="74">
        <f t="shared" si="21"/>
        <v>0</v>
      </c>
      <c r="AR30" s="74">
        <f t="shared" si="22"/>
        <v>15105.300045386713</v>
      </c>
      <c r="AS30" s="72">
        <f t="shared" si="23"/>
        <v>293894.77976773016</v>
      </c>
      <c r="AT30" s="72">
        <f t="shared" si="24"/>
        <v>18903.020045386718</v>
      </c>
      <c r="AU30" s="78">
        <f t="shared" si="25"/>
        <v>1756.1334118716759</v>
      </c>
      <c r="AV30" s="79">
        <f t="shared" si="26"/>
        <v>9.8369745937031586E-2</v>
      </c>
      <c r="AW30" s="80">
        <f t="shared" si="27"/>
        <v>543.33938240550526</v>
      </c>
      <c r="AX30" s="81">
        <f t="shared" si="28"/>
        <v>1212.7940294661698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FRENCH CASEMENT DOOR</v>
      </c>
      <c r="D31" s="131" t="str">
        <f>Pricing!B27</f>
        <v>FD2</v>
      </c>
      <c r="E31" s="132" t="str">
        <f>Pricing!N27</f>
        <v>8MM</v>
      </c>
      <c r="F31" s="68">
        <f>Pricing!G27</f>
        <v>1524</v>
      </c>
      <c r="G31" s="68">
        <f>Pricing!H27</f>
        <v>2744</v>
      </c>
      <c r="H31" s="100">
        <f t="shared" si="0"/>
        <v>4.1818559999999998</v>
      </c>
      <c r="I31" s="70">
        <f>Pricing!I27</f>
        <v>1</v>
      </c>
      <c r="J31" s="69">
        <f t="shared" si="30"/>
        <v>4.1818559999999998</v>
      </c>
      <c r="K31" s="71">
        <f t="shared" si="31"/>
        <v>45.013497983999997</v>
      </c>
      <c r="L31" s="69"/>
      <c r="M31" s="72"/>
      <c r="N31" s="72"/>
      <c r="O31" s="72">
        <f t="shared" si="3"/>
        <v>0</v>
      </c>
      <c r="P31" s="73">
        <f>Pricing!M27</f>
        <v>50173.5</v>
      </c>
      <c r="Q31" s="74">
        <f t="shared" si="4"/>
        <v>5017.3500000000004</v>
      </c>
      <c r="R31" s="74">
        <f t="shared" si="5"/>
        <v>6070.9934999999996</v>
      </c>
      <c r="S31" s="74">
        <f t="shared" si="6"/>
        <v>306.30921749999999</v>
      </c>
      <c r="T31" s="74">
        <f t="shared" si="7"/>
        <v>615.68152717499993</v>
      </c>
      <c r="U31" s="72">
        <f t="shared" si="8"/>
        <v>62183.834244674996</v>
      </c>
      <c r="V31" s="74">
        <f t="shared" si="9"/>
        <v>932.75751367012492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5528.4136319999998</v>
      </c>
      <c r="AE31" s="76">
        <f t="shared" si="43"/>
        <v>699.67213114754099</v>
      </c>
      <c r="AF31" s="342">
        <f t="shared" si="44"/>
        <v>717.02399999999977</v>
      </c>
      <c r="AG31" s="343"/>
      <c r="AH31" s="76">
        <f t="shared" si="45"/>
        <v>25.607999999999997</v>
      </c>
      <c r="AI31" s="76">
        <f t="shared" si="64"/>
        <v>85.36</v>
      </c>
      <c r="AJ31" s="76">
        <f>J31*Pricing!Q27</f>
        <v>0</v>
      </c>
      <c r="AK31" s="76">
        <f>J31*Pricing!R27</f>
        <v>0</v>
      </c>
      <c r="AL31" s="76">
        <f t="shared" si="16"/>
        <v>4501.3497983999996</v>
      </c>
      <c r="AM31" s="77">
        <f t="shared" si="17"/>
        <v>0</v>
      </c>
      <c r="AN31" s="76">
        <f t="shared" si="18"/>
        <v>3601.0798387199993</v>
      </c>
      <c r="AO31" s="72">
        <f t="shared" si="19"/>
        <v>64644.255889492662</v>
      </c>
      <c r="AP31" s="74">
        <f t="shared" si="20"/>
        <v>96966.383834238994</v>
      </c>
      <c r="AQ31" s="74">
        <f t="shared" si="21"/>
        <v>0</v>
      </c>
      <c r="AR31" s="74">
        <f t="shared" si="22"/>
        <v>38645.673051327372</v>
      </c>
      <c r="AS31" s="72">
        <f t="shared" si="23"/>
        <v>175241.48299285167</v>
      </c>
      <c r="AT31" s="72">
        <f t="shared" si="24"/>
        <v>41905.193051327369</v>
      </c>
      <c r="AU31" s="78">
        <f t="shared" si="25"/>
        <v>3893.0874258015024</v>
      </c>
      <c r="AV31" s="79">
        <f t="shared" si="26"/>
        <v>2.6458788000006377E-2</v>
      </c>
      <c r="AW31" s="80">
        <f t="shared" si="27"/>
        <v>1402.1703396785526</v>
      </c>
      <c r="AX31" s="81">
        <f t="shared" si="28"/>
        <v>2490.9170861229495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DOOR WITH TOP FIXED AND FIXED GLASS WITH SILICON JOINT</v>
      </c>
      <c r="D32" s="131" t="str">
        <f>Pricing!B28</f>
        <v>W1</v>
      </c>
      <c r="E32" s="132" t="str">
        <f>Pricing!N28</f>
        <v>12MM &amp; 8MM</v>
      </c>
      <c r="F32" s="68">
        <f>Pricing!G28</f>
        <v>4116</v>
      </c>
      <c r="G32" s="68">
        <f>Pricing!H28</f>
        <v>3202</v>
      </c>
      <c r="H32" s="100">
        <f t="shared" si="0"/>
        <v>13.179432</v>
      </c>
      <c r="I32" s="70">
        <f>Pricing!I28</f>
        <v>1</v>
      </c>
      <c r="J32" s="69">
        <f t="shared" si="30"/>
        <v>13.179432</v>
      </c>
      <c r="K32" s="71">
        <f t="shared" si="31"/>
        <v>141.863406048</v>
      </c>
      <c r="L32" s="69"/>
      <c r="M32" s="72"/>
      <c r="N32" s="72"/>
      <c r="O32" s="72">
        <f t="shared" si="3"/>
        <v>0</v>
      </c>
      <c r="P32" s="73">
        <f>Pricing!M28</f>
        <v>54402.350000000006</v>
      </c>
      <c r="Q32" s="74">
        <f t="shared" si="4"/>
        <v>5440.2350000000006</v>
      </c>
      <c r="R32" s="74">
        <f t="shared" si="5"/>
        <v>6582.6843500000004</v>
      </c>
      <c r="S32" s="74">
        <f t="shared" si="6"/>
        <v>332.12634675000004</v>
      </c>
      <c r="T32" s="74">
        <f t="shared" si="7"/>
        <v>667.57395696749995</v>
      </c>
      <c r="U32" s="72">
        <f t="shared" si="8"/>
        <v>67424.969653717504</v>
      </c>
      <c r="V32" s="74">
        <f t="shared" si="9"/>
        <v>1011.3745448057625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24909.126479999999</v>
      </c>
      <c r="AE32" s="76">
        <f t="shared" si="43"/>
        <v>1199.672131147541</v>
      </c>
      <c r="AF32" s="342">
        <f t="shared" si="44"/>
        <v>1229.424</v>
      </c>
      <c r="AG32" s="343"/>
      <c r="AH32" s="76">
        <f t="shared" si="45"/>
        <v>43.908000000000001</v>
      </c>
      <c r="AI32" s="76">
        <f t="shared" si="64"/>
        <v>146.35999999999999</v>
      </c>
      <c r="AJ32" s="76">
        <f>J32*Pricing!Q28</f>
        <v>7093.1703023999989</v>
      </c>
      <c r="AK32" s="76">
        <f>J32*Pricing!R28</f>
        <v>0</v>
      </c>
      <c r="AL32" s="76">
        <f t="shared" si="16"/>
        <v>14186.340604799998</v>
      </c>
      <c r="AM32" s="77">
        <f t="shared" si="17"/>
        <v>0</v>
      </c>
      <c r="AN32" s="76">
        <f t="shared" si="18"/>
        <v>11349.072483839998</v>
      </c>
      <c r="AO32" s="72">
        <f t="shared" si="19"/>
        <v>71055.708329670801</v>
      </c>
      <c r="AP32" s="74">
        <f t="shared" si="20"/>
        <v>106583.5624945062</v>
      </c>
      <c r="AQ32" s="74">
        <f t="shared" si="21"/>
        <v>0</v>
      </c>
      <c r="AR32" s="74">
        <f t="shared" si="22"/>
        <v>13478.522505687424</v>
      </c>
      <c r="AS32" s="72">
        <f t="shared" si="23"/>
        <v>235176.980695217</v>
      </c>
      <c r="AT32" s="72">
        <f t="shared" si="24"/>
        <v>17844.242505687424</v>
      </c>
      <c r="AU32" s="78">
        <f t="shared" si="25"/>
        <v>1657.7705783804743</v>
      </c>
      <c r="AV32" s="79">
        <f t="shared" si="26"/>
        <v>8.3386849582697264E-2</v>
      </c>
      <c r="AW32" s="80">
        <f t="shared" si="27"/>
        <v>482.41013031484368</v>
      </c>
      <c r="AX32" s="81">
        <f t="shared" si="28"/>
        <v>1175.3604480656304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TOP &amp; BOTTOM WITH SILICON JOINT</v>
      </c>
      <c r="D33" s="131" t="str">
        <f>Pricing!B29</f>
        <v>W2</v>
      </c>
      <c r="E33" s="132" t="str">
        <f>Pricing!N29</f>
        <v>12MM</v>
      </c>
      <c r="F33" s="68">
        <f>Pricing!G29</f>
        <v>4116</v>
      </c>
      <c r="G33" s="68">
        <f>Pricing!H29</f>
        <v>3202</v>
      </c>
      <c r="H33" s="100">
        <f t="shared" si="0"/>
        <v>13.179432</v>
      </c>
      <c r="I33" s="70">
        <f>Pricing!I29</f>
        <v>1</v>
      </c>
      <c r="J33" s="69">
        <f t="shared" si="30"/>
        <v>13.179432</v>
      </c>
      <c r="K33" s="71">
        <f t="shared" si="31"/>
        <v>141.863406048</v>
      </c>
      <c r="L33" s="69"/>
      <c r="M33" s="72"/>
      <c r="N33" s="72"/>
      <c r="O33" s="72">
        <f t="shared" si="3"/>
        <v>0</v>
      </c>
      <c r="P33" s="73">
        <f>Pricing!M29</f>
        <v>30287.530000000002</v>
      </c>
      <c r="Q33" s="74">
        <f t="shared" ref="Q33:Q38" si="65">P33*$Q$6</f>
        <v>3028.7530000000006</v>
      </c>
      <c r="R33" s="74">
        <f t="shared" ref="R33:R38" si="66">(P33+Q33)*$R$6</f>
        <v>3664.7911300000005</v>
      </c>
      <c r="S33" s="74">
        <f t="shared" ref="S33:S38" si="67">(P33+Q33+R33)*$S$6</f>
        <v>184.90537065000001</v>
      </c>
      <c r="T33" s="74">
        <f t="shared" ref="T33:T38" si="68">(P33+Q33+R33+S33)*$T$6</f>
        <v>371.65979500650002</v>
      </c>
      <c r="U33" s="72">
        <f t="shared" ref="U33:U38" si="69">SUM(P33:T33)</f>
        <v>37537.639295656496</v>
      </c>
      <c r="V33" s="74">
        <f t="shared" ref="V33:V38" si="70">U33*$V$6</f>
        <v>563.06458943484745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24909.126479999999</v>
      </c>
      <c r="AE33" s="76">
        <f t="shared" si="43"/>
        <v>1199.672131147541</v>
      </c>
      <c r="AF33" s="342">
        <f t="shared" si="44"/>
        <v>1229.424</v>
      </c>
      <c r="AG33" s="343"/>
      <c r="AH33" s="76">
        <f t="shared" si="45"/>
        <v>43.908000000000001</v>
      </c>
      <c r="AI33" s="76">
        <f t="shared" si="15"/>
        <v>146.35999999999999</v>
      </c>
      <c r="AJ33" s="76">
        <f>J33*Pricing!Q29</f>
        <v>0</v>
      </c>
      <c r="AK33" s="76">
        <f>J33*Pricing!R29</f>
        <v>0</v>
      </c>
      <c r="AL33" s="76">
        <f t="shared" si="16"/>
        <v>14186.340604799998</v>
      </c>
      <c r="AM33" s="77">
        <f t="shared" si="17"/>
        <v>0</v>
      </c>
      <c r="AN33" s="76">
        <f t="shared" si="18"/>
        <v>11349.072483839998</v>
      </c>
      <c r="AO33" s="72">
        <f t="shared" si="19"/>
        <v>40720.068016238882</v>
      </c>
      <c r="AP33" s="74">
        <f t="shared" si="20"/>
        <v>61080.102024358319</v>
      </c>
      <c r="AQ33" s="74">
        <f t="shared" ref="AQ33:AQ38" si="76">(AO33+AP33)*$AQ$6</f>
        <v>0</v>
      </c>
      <c r="AR33" s="74">
        <f t="shared" si="22"/>
        <v>7724.1697548572056</v>
      </c>
      <c r="AS33" s="72">
        <f t="shared" si="23"/>
        <v>152244.70960923721</v>
      </c>
      <c r="AT33" s="72">
        <f t="shared" si="24"/>
        <v>11551.689754857205</v>
      </c>
      <c r="AU33" s="78">
        <f t="shared" ref="AU33:AU38" si="77">AT33/10.764</f>
        <v>1073.1781637734305</v>
      </c>
      <c r="AV33" s="79">
        <f t="shared" si="26"/>
        <v>8.3386849582697264E-2</v>
      </c>
      <c r="AW33" s="80">
        <f t="shared" si="27"/>
        <v>268.57316447202624</v>
      </c>
      <c r="AX33" s="81">
        <f t="shared" si="28"/>
        <v>804.60499930140418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W4</v>
      </c>
      <c r="E34" s="132" t="str">
        <f>Pricing!N30</f>
        <v>8MM</v>
      </c>
      <c r="F34" s="68">
        <f>Pricing!G30</f>
        <v>1932</v>
      </c>
      <c r="G34" s="68">
        <f>Pricing!H30</f>
        <v>2134</v>
      </c>
      <c r="H34" s="100">
        <f t="shared" si="0"/>
        <v>4.1228879999999997</v>
      </c>
      <c r="I34" s="70">
        <f>Pricing!I30</f>
        <v>1</v>
      </c>
      <c r="J34" s="69">
        <f t="shared" si="30"/>
        <v>4.1228879999999997</v>
      </c>
      <c r="K34" s="71">
        <f t="shared" si="31"/>
        <v>44.378766431999992</v>
      </c>
      <c r="L34" s="69"/>
      <c r="M34" s="72"/>
      <c r="N34" s="72"/>
      <c r="O34" s="72">
        <f t="shared" si="3"/>
        <v>0</v>
      </c>
      <c r="P34" s="73">
        <f>Pricing!M30</f>
        <v>37046.22</v>
      </c>
      <c r="Q34" s="74">
        <f t="shared" si="65"/>
        <v>3704.6220000000003</v>
      </c>
      <c r="R34" s="74">
        <f t="shared" si="66"/>
        <v>4482.5926200000004</v>
      </c>
      <c r="S34" s="74">
        <f t="shared" si="67"/>
        <v>226.16717310000004</v>
      </c>
      <c r="T34" s="74">
        <f t="shared" si="68"/>
        <v>454.59601793100012</v>
      </c>
      <c r="U34" s="72">
        <f t="shared" si="69"/>
        <v>45914.197811031008</v>
      </c>
      <c r="V34" s="74">
        <f t="shared" si="70"/>
        <v>688.7129671654651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5450.4579359999998</v>
      </c>
      <c r="AE34" s="76">
        <f t="shared" si="43"/>
        <v>666.55737704918033</v>
      </c>
      <c r="AF34" s="342">
        <f t="shared" si="44"/>
        <v>683.08800000000008</v>
      </c>
      <c r="AG34" s="343"/>
      <c r="AH34" s="76">
        <f t="shared" si="45"/>
        <v>24.396000000000001</v>
      </c>
      <c r="AI34" s="76">
        <f t="shared" si="15"/>
        <v>81.319999999999993</v>
      </c>
      <c r="AJ34" s="76">
        <f>J34*Pricing!Q30</f>
        <v>2218.9383215999997</v>
      </c>
      <c r="AK34" s="76">
        <f>J34*Pricing!R30</f>
        <v>0</v>
      </c>
      <c r="AL34" s="76">
        <f t="shared" si="16"/>
        <v>4437.8766431999993</v>
      </c>
      <c r="AM34" s="77">
        <f t="shared" si="17"/>
        <v>0</v>
      </c>
      <c r="AN34" s="76">
        <f t="shared" si="18"/>
        <v>3550.3013145599994</v>
      </c>
      <c r="AO34" s="72">
        <f t="shared" si="19"/>
        <v>48058.27215524565</v>
      </c>
      <c r="AP34" s="74">
        <f t="shared" si="20"/>
        <v>72087.408232868474</v>
      </c>
      <c r="AQ34" s="74">
        <f t="shared" si="76"/>
        <v>0</v>
      </c>
      <c r="AR34" s="74">
        <f t="shared" si="22"/>
        <v>29141.145815291158</v>
      </c>
      <c r="AS34" s="72">
        <f t="shared" si="23"/>
        <v>135803.25460347411</v>
      </c>
      <c r="AT34" s="72">
        <f t="shared" si="24"/>
        <v>32938.865815291152</v>
      </c>
      <c r="AU34" s="78">
        <f t="shared" si="77"/>
        <v>3060.0953005658821</v>
      </c>
      <c r="AV34" s="79">
        <f t="shared" si="26"/>
        <v>2.608569485409595E-2</v>
      </c>
      <c r="AW34" s="80">
        <f t="shared" si="27"/>
        <v>1050.1173089072779</v>
      </c>
      <c r="AX34" s="81">
        <f t="shared" si="28"/>
        <v>2009.9779916586049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 WITH SILICON JOINT</v>
      </c>
      <c r="D35" s="131" t="str">
        <f>Pricing!B31</f>
        <v>W6</v>
      </c>
      <c r="E35" s="132" t="str">
        <f>Pricing!N31</f>
        <v>12MM</v>
      </c>
      <c r="F35" s="68">
        <f>Pricing!G31</f>
        <v>3964</v>
      </c>
      <c r="G35" s="68">
        <f>Pricing!H31</f>
        <v>610</v>
      </c>
      <c r="H35" s="100">
        <f t="shared" si="0"/>
        <v>2.41804</v>
      </c>
      <c r="I35" s="70">
        <f>Pricing!I31</f>
        <v>1</v>
      </c>
      <c r="J35" s="69">
        <f t="shared" si="30"/>
        <v>2.41804</v>
      </c>
      <c r="K35" s="71">
        <f t="shared" si="31"/>
        <v>26.027782559999999</v>
      </c>
      <c r="L35" s="69"/>
      <c r="M35" s="72"/>
      <c r="N35" s="72"/>
      <c r="O35" s="72">
        <f t="shared" si="3"/>
        <v>0</v>
      </c>
      <c r="P35" s="73">
        <f>Pricing!M31</f>
        <v>6659.09</v>
      </c>
      <c r="Q35" s="74">
        <f t="shared" si="65"/>
        <v>665.90900000000011</v>
      </c>
      <c r="R35" s="74">
        <f t="shared" si="66"/>
        <v>805.74988999999994</v>
      </c>
      <c r="S35" s="74">
        <f t="shared" si="67"/>
        <v>40.653744449999998</v>
      </c>
      <c r="T35" s="74">
        <f t="shared" si="68"/>
        <v>81.714026344499999</v>
      </c>
      <c r="U35" s="72">
        <f t="shared" si="69"/>
        <v>8253.1166607944997</v>
      </c>
      <c r="V35" s="74">
        <f t="shared" si="70"/>
        <v>123.79674991191749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4570.0955999999996</v>
      </c>
      <c r="AE35" s="76">
        <f t="shared" si="43"/>
        <v>749.8360655737705</v>
      </c>
      <c r="AF35" s="342">
        <f t="shared" si="44"/>
        <v>768.4319999999999</v>
      </c>
      <c r="AG35" s="343"/>
      <c r="AH35" s="76">
        <f t="shared" si="45"/>
        <v>27.443999999999999</v>
      </c>
      <c r="AI35" s="76">
        <f t="shared" si="15"/>
        <v>91.47999999999999</v>
      </c>
      <c r="AJ35" s="76">
        <f>J35*Pricing!Q31</f>
        <v>0</v>
      </c>
      <c r="AK35" s="76">
        <f>J35*Pricing!R31</f>
        <v>0</v>
      </c>
      <c r="AL35" s="76">
        <f t="shared" si="16"/>
        <v>2602.7782559999996</v>
      </c>
      <c r="AM35" s="77">
        <f t="shared" si="17"/>
        <v>0</v>
      </c>
      <c r="AN35" s="76">
        <f t="shared" si="18"/>
        <v>2082.2226047999998</v>
      </c>
      <c r="AO35" s="72">
        <f t="shared" si="19"/>
        <v>10014.105476280187</v>
      </c>
      <c r="AP35" s="74">
        <f t="shared" si="20"/>
        <v>15021.15821442028</v>
      </c>
      <c r="AQ35" s="74">
        <f t="shared" si="76"/>
        <v>0</v>
      </c>
      <c r="AR35" s="74">
        <f t="shared" si="22"/>
        <v>10353.535793742232</v>
      </c>
      <c r="AS35" s="72">
        <f t="shared" si="23"/>
        <v>34290.360151500463</v>
      </c>
      <c r="AT35" s="72">
        <f t="shared" si="24"/>
        <v>14181.055793742231</v>
      </c>
      <c r="AU35" s="78">
        <f t="shared" si="77"/>
        <v>1317.4522290730426</v>
      </c>
      <c r="AV35" s="79">
        <f t="shared" si="26"/>
        <v>1.5299046101906766E-2</v>
      </c>
      <c r="AW35" s="80">
        <f t="shared" si="27"/>
        <v>321.84506657052759</v>
      </c>
      <c r="AX35" s="81">
        <f t="shared" si="28"/>
        <v>995.60716250251505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DOOR WITH TOP FIXED AND FIXED GLASS WITH SILICON JOINT</v>
      </c>
      <c r="D36" s="131" t="str">
        <f>Pricing!B32</f>
        <v>W3</v>
      </c>
      <c r="E36" s="132" t="str">
        <f>Pricing!N32</f>
        <v>12MM &amp; 8MM</v>
      </c>
      <c r="F36" s="68">
        <f>Pricing!G32</f>
        <v>4116</v>
      </c>
      <c r="G36" s="68">
        <f>Pricing!H32</f>
        <v>2592</v>
      </c>
      <c r="H36" s="100">
        <f t="shared" si="0"/>
        <v>10.668672000000001</v>
      </c>
      <c r="I36" s="70">
        <f>Pricing!I32</f>
        <v>1</v>
      </c>
      <c r="J36" s="69">
        <f t="shared" si="30"/>
        <v>10.668672000000001</v>
      </c>
      <c r="K36" s="71">
        <f t="shared" si="31"/>
        <v>114.837585408</v>
      </c>
      <c r="L36" s="69"/>
      <c r="M36" s="72"/>
      <c r="N36" s="72"/>
      <c r="O36" s="72">
        <f>N36*M36*L36/1000000</f>
        <v>0</v>
      </c>
      <c r="P36" s="73">
        <f>Pricing!M32</f>
        <v>46107.33</v>
      </c>
      <c r="Q36" s="74">
        <f t="shared" si="65"/>
        <v>4610.7330000000002</v>
      </c>
      <c r="R36" s="74">
        <f t="shared" si="66"/>
        <v>5578.98693</v>
      </c>
      <c r="S36" s="74">
        <f t="shared" si="67"/>
        <v>281.48524965000001</v>
      </c>
      <c r="T36" s="74">
        <f t="shared" si="68"/>
        <v>565.78535179650009</v>
      </c>
      <c r="U36" s="72">
        <f t="shared" si="69"/>
        <v>57144.320531446501</v>
      </c>
      <c r="V36" s="74">
        <f t="shared" si="70"/>
        <v>857.16480797169754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20163.790080000002</v>
      </c>
      <c r="AE36" s="76">
        <f t="shared" si="43"/>
        <v>1099.672131147541</v>
      </c>
      <c r="AF36" s="342">
        <f t="shared" si="44"/>
        <v>1126.9440000000002</v>
      </c>
      <c r="AG36" s="343"/>
      <c r="AH36" s="76">
        <f t="shared" si="45"/>
        <v>40.248000000000005</v>
      </c>
      <c r="AI36" s="76">
        <f t="shared" si="15"/>
        <v>134.16</v>
      </c>
      <c r="AJ36" s="76">
        <f>J36*Pricing!Q32</f>
        <v>5741.8792703999998</v>
      </c>
      <c r="AK36" s="76">
        <f>J36*Pricing!R32</f>
        <v>0</v>
      </c>
      <c r="AL36" s="76">
        <f t="shared" si="16"/>
        <v>11483.7585408</v>
      </c>
      <c r="AM36" s="77">
        <f t="shared" si="17"/>
        <v>0</v>
      </c>
      <c r="AN36" s="76">
        <f t="shared" si="18"/>
        <v>9187.0068326399996</v>
      </c>
      <c r="AO36" s="72">
        <f t="shared" si="19"/>
        <v>60402.509470565739</v>
      </c>
      <c r="AP36" s="74">
        <f t="shared" si="20"/>
        <v>90603.764205848609</v>
      </c>
      <c r="AQ36" s="74">
        <f t="shared" si="76"/>
        <v>0</v>
      </c>
      <c r="AR36" s="74">
        <f t="shared" si="22"/>
        <v>14154.177171855534</v>
      </c>
      <c r="AS36" s="72">
        <f t="shared" si="23"/>
        <v>197582.70840025437</v>
      </c>
      <c r="AT36" s="72">
        <f t="shared" si="24"/>
        <v>18519.897171855537</v>
      </c>
      <c r="AU36" s="78">
        <f t="shared" si="77"/>
        <v>1720.5404284518338</v>
      </c>
      <c r="AV36" s="79">
        <f t="shared" si="26"/>
        <v>6.7501159937024144E-2</v>
      </c>
      <c r="AW36" s="80">
        <f t="shared" si="27"/>
        <v>505.07405857888762</v>
      </c>
      <c r="AX36" s="81">
        <f t="shared" si="28"/>
        <v>1215.466369872946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156.004524</v>
      </c>
      <c r="I109" s="87">
        <f>SUM(I8:I108)</f>
        <v>30</v>
      </c>
      <c r="J109" s="88">
        <f>SUM(J8:J108)</f>
        <v>158.05168399999997</v>
      </c>
      <c r="K109" s="89">
        <f>SUM(K8:K108)</f>
        <v>1701.2683265759999</v>
      </c>
      <c r="L109" s="88">
        <f>SUM(L8:L8)</f>
        <v>0</v>
      </c>
      <c r="M109" s="88"/>
      <c r="N109" s="88"/>
      <c r="O109" s="88"/>
      <c r="P109" s="87">
        <f>SUM(P8:P108)</f>
        <v>904989.67</v>
      </c>
      <c r="Q109" s="88">
        <f t="shared" ref="Q109:AE109" si="156">SUM(Q8:Q108)</f>
        <v>90498.967000000033</v>
      </c>
      <c r="R109" s="88">
        <f t="shared" si="156"/>
        <v>109503.75006999998</v>
      </c>
      <c r="S109" s="88">
        <f t="shared" si="156"/>
        <v>5524.9619353500002</v>
      </c>
      <c r="T109" s="88">
        <f t="shared" si="156"/>
        <v>11105.173490053501</v>
      </c>
      <c r="U109" s="88">
        <f t="shared" si="156"/>
        <v>1121622.5224954034</v>
      </c>
      <c r="V109" s="88">
        <f t="shared" si="156"/>
        <v>16824.337837431052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263180.31404800003</v>
      </c>
      <c r="AE109" s="88">
        <f t="shared" si="156"/>
        <v>22294.098360655738</v>
      </c>
      <c r="AF109" s="353">
        <f>SUM(AF8:AG108)</f>
        <v>22846.991999999998</v>
      </c>
      <c r="AG109" s="354"/>
      <c r="AH109" s="88">
        <f t="shared" ref="AH109:AQ109" si="157">SUM(AH8:AH108)</f>
        <v>815.96399999999983</v>
      </c>
      <c r="AI109" s="88">
        <f t="shared" si="157"/>
        <v>2719.8800000000006</v>
      </c>
      <c r="AJ109" s="88">
        <f t="shared" ref="AJ109" si="158">SUM(AJ8:AJ108)</f>
        <v>36541.149278399993</v>
      </c>
      <c r="AK109" s="88">
        <f t="shared" si="157"/>
        <v>0</v>
      </c>
      <c r="AL109" s="88">
        <f t="shared" si="157"/>
        <v>170126.83265759997</v>
      </c>
      <c r="AM109" s="88">
        <f t="shared" si="157"/>
        <v>0</v>
      </c>
      <c r="AN109" s="88">
        <f t="shared" si="157"/>
        <v>136101.46612607996</v>
      </c>
      <c r="AO109" s="88">
        <f t="shared" si="157"/>
        <v>1187123.7946934905</v>
      </c>
      <c r="AP109" s="88">
        <f t="shared" si="157"/>
        <v>1780685.6920402357</v>
      </c>
      <c r="AQ109" s="88">
        <f t="shared" si="157"/>
        <v>0</v>
      </c>
      <c r="AR109" s="88"/>
      <c r="AS109" s="87">
        <f>SUM(AS8:AS108)</f>
        <v>3573759.2488438049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22846.991999999998</v>
      </c>
      <c r="AW110" s="84"/>
    </row>
    <row r="111" spans="2:54">
      <c r="AF111" s="174"/>
      <c r="AG111" s="174"/>
      <c r="AH111" s="174">
        <f>SUM(AE109:AI109,AC109)</f>
        <v>48676.934360655738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.140625" style="122" customWidth="1"/>
    <col min="6" max="6" width="51.140625" style="122" customWidth="1"/>
    <col min="7" max="7" width="18.7109375" style="122" customWidth="1"/>
    <col min="8" max="8" width="41.140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ABPL-DE-19.20-2197</v>
      </c>
      <c r="N6" s="474"/>
    </row>
    <row r="7" spans="2:15" ht="24.95" customHeight="1">
      <c r="B7" s="493" t="s">
        <v>126</v>
      </c>
      <c r="C7" s="494"/>
      <c r="D7" s="494"/>
      <c r="E7" s="494"/>
      <c r="F7" s="428" t="str">
        <f>'BD Team'!E2</f>
        <v>Mr. Venkatesh Residence</v>
      </c>
      <c r="G7" s="428"/>
      <c r="H7" s="428"/>
      <c r="I7" s="428"/>
      <c r="J7" s="429"/>
      <c r="K7" s="501" t="s">
        <v>104</v>
      </c>
      <c r="L7" s="494"/>
      <c r="M7" s="499">
        <f>'BD Team'!J3</f>
        <v>43725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Bangalore</v>
      </c>
      <c r="G8" s="485" t="s">
        <v>179</v>
      </c>
      <c r="H8" s="486"/>
      <c r="I8" s="428" t="str">
        <f>'BD Team'!G3</f>
        <v>1Kpa</v>
      </c>
      <c r="J8" s="429"/>
      <c r="K8" s="501" t="s">
        <v>105</v>
      </c>
      <c r="L8" s="494"/>
      <c r="M8" s="178" t="s">
        <v>364</v>
      </c>
      <c r="N8" s="179">
        <v>43725</v>
      </c>
    </row>
    <row r="9" spans="2:15" ht="24.95" customHeight="1">
      <c r="B9" s="493" t="s">
        <v>168</v>
      </c>
      <c r="C9" s="494"/>
      <c r="D9" s="494"/>
      <c r="E9" s="494"/>
      <c r="F9" s="428" t="str">
        <f>'BD Team'!E4</f>
        <v>Mr. Prasanth : 9591855724</v>
      </c>
      <c r="G9" s="428"/>
      <c r="H9" s="428"/>
      <c r="I9" s="428"/>
      <c r="J9" s="429"/>
      <c r="K9" s="501" t="s">
        <v>178</v>
      </c>
      <c r="L9" s="494"/>
      <c r="M9" s="475" t="str">
        <f>'BD Team'!J4</f>
        <v>Bal Kumari</v>
      </c>
      <c r="N9" s="476"/>
    </row>
    <row r="10" spans="2:15" ht="27.75" customHeight="1" thickBot="1">
      <c r="B10" s="495" t="s">
        <v>176</v>
      </c>
      <c r="C10" s="496"/>
      <c r="D10" s="496"/>
      <c r="E10" s="496"/>
      <c r="F10" s="217" t="str">
        <f>'BD Team'!E5</f>
        <v>Anodized</v>
      </c>
      <c r="G10" s="506" t="s">
        <v>177</v>
      </c>
      <c r="H10" s="507"/>
      <c r="I10" s="504" t="str">
        <f>'BD Team'!G5</f>
        <v>Silver</v>
      </c>
      <c r="J10" s="505"/>
      <c r="K10" s="502" t="s">
        <v>373</v>
      </c>
      <c r="L10" s="503"/>
      <c r="M10" s="497">
        <f>'BD Team'!J5</f>
        <v>0</v>
      </c>
      <c r="N10" s="498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7" t="s">
        <v>169</v>
      </c>
      <c r="C13" s="488"/>
      <c r="D13" s="491" t="s">
        <v>170</v>
      </c>
      <c r="E13" s="491" t="s">
        <v>171</v>
      </c>
      <c r="F13" s="491" t="s">
        <v>37</v>
      </c>
      <c r="G13" s="489" t="s">
        <v>63</v>
      </c>
      <c r="H13" s="489" t="s">
        <v>209</v>
      </c>
      <c r="I13" s="489" t="s">
        <v>208</v>
      </c>
      <c r="J13" s="490" t="s">
        <v>172</v>
      </c>
      <c r="K13" s="490" t="s">
        <v>173</v>
      </c>
      <c r="L13" s="488" t="s">
        <v>210</v>
      </c>
      <c r="M13" s="490" t="s">
        <v>174</v>
      </c>
      <c r="N13" s="492" t="s">
        <v>175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2">
        <f>Pricing!A4</f>
        <v>1</v>
      </c>
      <c r="C16" s="413"/>
      <c r="D16" s="187" t="str">
        <f>Pricing!B4</f>
        <v>FW1</v>
      </c>
      <c r="E16" s="187" t="str">
        <f>Pricing!C4</f>
        <v>M15000</v>
      </c>
      <c r="F16" s="187" t="str">
        <f>Pricing!D4</f>
        <v>FIXED GLASS WITH SILICON JOINT</v>
      </c>
      <c r="G16" s="187" t="str">
        <f>Pricing!N4</f>
        <v>12MM</v>
      </c>
      <c r="H16" s="187" t="str">
        <f>Pricing!F4</f>
        <v>GROUND FLOOR</v>
      </c>
      <c r="I16" s="216" t="str">
        <f>Pricing!E4</f>
        <v>NO</v>
      </c>
      <c r="J16" s="216">
        <f>Pricing!G4</f>
        <v>5488</v>
      </c>
      <c r="K16" s="216">
        <f>Pricing!H4</f>
        <v>1982</v>
      </c>
      <c r="L16" s="216">
        <f>Pricing!I4</f>
        <v>1</v>
      </c>
      <c r="M16" s="188">
        <f t="shared" ref="M16:M24" si="0">J16*K16*L16/1000000</f>
        <v>10.877216000000001</v>
      </c>
      <c r="N16" s="189">
        <f>'Cost Calculation'!AS8</f>
        <v>80755.147731002828</v>
      </c>
      <c r="O16" s="95"/>
    </row>
    <row r="17" spans="2:15" s="94" customFormat="1" ht="49.9" customHeight="1" thickTop="1" thickBot="1">
      <c r="B17" s="412">
        <f>Pricing!A5</f>
        <v>2</v>
      </c>
      <c r="C17" s="413"/>
      <c r="D17" s="187" t="str">
        <f>Pricing!B5</f>
        <v>W</v>
      </c>
      <c r="E17" s="187" t="str">
        <f>Pricing!C5</f>
        <v>M940</v>
      </c>
      <c r="F17" s="187" t="str">
        <f>Pricing!D5</f>
        <v>FIXED GLASS TOP &amp; BOTTOM</v>
      </c>
      <c r="G17" s="187" t="str">
        <f>Pricing!N5</f>
        <v>12MM</v>
      </c>
      <c r="H17" s="187" t="str">
        <f>Pricing!F5</f>
        <v>GROUND FLOOR</v>
      </c>
      <c r="I17" s="216" t="str">
        <f>Pricing!E5</f>
        <v>NO</v>
      </c>
      <c r="J17" s="216">
        <f>Pricing!G5</f>
        <v>916</v>
      </c>
      <c r="K17" s="216">
        <f>Pricing!H5</f>
        <v>1220</v>
      </c>
      <c r="L17" s="216">
        <f>Pricing!I5</f>
        <v>1</v>
      </c>
      <c r="M17" s="188">
        <f t="shared" si="0"/>
        <v>1.1175200000000001</v>
      </c>
      <c r="N17" s="189">
        <f>'Cost Calculation'!AS9</f>
        <v>35580.46273249395</v>
      </c>
      <c r="O17" s="95"/>
    </row>
    <row r="18" spans="2:15" s="94" customFormat="1" ht="49.9" customHeight="1" thickTop="1" thickBot="1">
      <c r="B18" s="412">
        <f>Pricing!A6</f>
        <v>3</v>
      </c>
      <c r="C18" s="413"/>
      <c r="D18" s="187" t="str">
        <f>Pricing!B6</f>
        <v>W4</v>
      </c>
      <c r="E18" s="187" t="str">
        <f>Pricing!C6</f>
        <v>M14600 &amp; M940</v>
      </c>
      <c r="F18" s="187" t="str">
        <f>Pricing!D6</f>
        <v>3 TRACK 2 SHUTTER SLIDING DOOR WITH 2 FIXED</v>
      </c>
      <c r="G18" s="187" t="str">
        <f>Pricing!N6</f>
        <v>12MM &amp; 8MM</v>
      </c>
      <c r="H18" s="187" t="str">
        <f>Pricing!F6</f>
        <v>GROUND FLOOR</v>
      </c>
      <c r="I18" s="216" t="str">
        <f>Pricing!E6</f>
        <v>SS</v>
      </c>
      <c r="J18" s="216">
        <f>Pricing!G6</f>
        <v>3354</v>
      </c>
      <c r="K18" s="216">
        <f>Pricing!H6</f>
        <v>2440</v>
      </c>
      <c r="L18" s="216">
        <f>Pricing!I6</f>
        <v>1</v>
      </c>
      <c r="M18" s="188">
        <f t="shared" si="0"/>
        <v>8.1837599999999995</v>
      </c>
      <c r="N18" s="189">
        <f>'Cost Calculation'!AS10</f>
        <v>199205.338196592</v>
      </c>
      <c r="O18" s="95"/>
    </row>
    <row r="19" spans="2:15" s="94" customFormat="1" ht="49.9" customHeight="1" thickTop="1" thickBot="1">
      <c r="B19" s="412">
        <f>Pricing!A7</f>
        <v>4</v>
      </c>
      <c r="C19" s="413"/>
      <c r="D19" s="187" t="str">
        <f>Pricing!B7</f>
        <v>W1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8MM</v>
      </c>
      <c r="H19" s="187" t="str">
        <f>Pricing!F7</f>
        <v>GROUND FLOOR</v>
      </c>
      <c r="I19" s="216" t="str">
        <f>Pricing!E7</f>
        <v>SS</v>
      </c>
      <c r="J19" s="216">
        <f>Pricing!G7</f>
        <v>1372</v>
      </c>
      <c r="K19" s="216">
        <f>Pricing!H7</f>
        <v>1220</v>
      </c>
      <c r="L19" s="216">
        <f>Pricing!I7</f>
        <v>1</v>
      </c>
      <c r="M19" s="188">
        <f t="shared" si="0"/>
        <v>1.67384</v>
      </c>
      <c r="N19" s="189">
        <f>'Cost Calculation'!AS11</f>
        <v>44961.705285607393</v>
      </c>
      <c r="O19" s="95"/>
    </row>
    <row r="20" spans="2:15" s="94" customFormat="1" ht="49.9" customHeight="1" thickTop="1" thickBot="1">
      <c r="B20" s="412">
        <f>Pricing!A8</f>
        <v>5</v>
      </c>
      <c r="C20" s="413"/>
      <c r="D20" s="187" t="str">
        <f>Pricing!B8</f>
        <v>W3</v>
      </c>
      <c r="E20" s="187" t="str">
        <f>Pricing!C8</f>
        <v>M15000</v>
      </c>
      <c r="F20" s="187" t="str">
        <f>Pricing!D8</f>
        <v>2 SIDE HUNG DOORS WITH CENTER FIXED WITH SILICON JOINT</v>
      </c>
      <c r="G20" s="187" t="str">
        <f>Pricing!N8</f>
        <v>12MM &amp; 8MM</v>
      </c>
      <c r="H20" s="187" t="str">
        <f>Pricing!F8</f>
        <v>FIRST FLOOR</v>
      </c>
      <c r="I20" s="216" t="str">
        <f>Pricing!E8</f>
        <v>NO</v>
      </c>
      <c r="J20" s="216">
        <f>Pricing!G8</f>
        <v>5640</v>
      </c>
      <c r="K20" s="216">
        <f>Pricing!H8</f>
        <v>2592</v>
      </c>
      <c r="L20" s="216">
        <f>Pricing!I8</f>
        <v>1</v>
      </c>
      <c r="M20" s="188">
        <f t="shared" si="0"/>
        <v>14.618880000000001</v>
      </c>
      <c r="N20" s="189">
        <f>'Cost Calculation'!AS12</f>
        <v>329461.97465042531</v>
      </c>
      <c r="O20" s="95"/>
    </row>
    <row r="21" spans="2:15" s="94" customFormat="1" ht="49.9" customHeight="1" thickTop="1" thickBot="1">
      <c r="B21" s="412">
        <f>Pricing!A9</f>
        <v>6</v>
      </c>
      <c r="C21" s="413"/>
      <c r="D21" s="187" t="str">
        <f>Pricing!B9</f>
        <v>W10</v>
      </c>
      <c r="E21" s="187" t="str">
        <f>Pricing!C9</f>
        <v>M15000</v>
      </c>
      <c r="F21" s="187" t="str">
        <f>Pricing!D9</f>
        <v>FIXED GLASS</v>
      </c>
      <c r="G21" s="187" t="str">
        <f>Pricing!N9</f>
        <v>12MM</v>
      </c>
      <c r="H21" s="187" t="str">
        <f>Pricing!F9</f>
        <v>FIRST FLOOR</v>
      </c>
      <c r="I21" s="216" t="str">
        <f>Pricing!E9</f>
        <v>NO</v>
      </c>
      <c r="J21" s="216">
        <f>Pricing!G9</f>
        <v>2794</v>
      </c>
      <c r="K21" s="216">
        <f>Pricing!H9</f>
        <v>1678</v>
      </c>
      <c r="L21" s="216">
        <f>Pricing!I9</f>
        <v>1</v>
      </c>
      <c r="M21" s="188">
        <f t="shared" si="0"/>
        <v>4.6883319999999999</v>
      </c>
      <c r="N21" s="189">
        <f>'Cost Calculation'!AS13</f>
        <v>42484.081371739478</v>
      </c>
      <c r="O21" s="95"/>
    </row>
    <row r="22" spans="2:15" s="94" customFormat="1" ht="49.9" customHeight="1" thickTop="1" thickBot="1">
      <c r="B22" s="412">
        <f>Pricing!A10</f>
        <v>7</v>
      </c>
      <c r="C22" s="413"/>
      <c r="D22" s="187" t="str">
        <f>Pricing!B10</f>
        <v>W7</v>
      </c>
      <c r="E22" s="187" t="str">
        <f>Pricing!C10</f>
        <v>M15000</v>
      </c>
      <c r="F22" s="187" t="str">
        <f>Pricing!D10</f>
        <v>FIXED GLASS WITH SILICON JOINT</v>
      </c>
      <c r="G22" s="187" t="str">
        <f>Pricing!N10</f>
        <v>12MM</v>
      </c>
      <c r="H22" s="187" t="str">
        <f>Pricing!F10</f>
        <v>FIRST FLOOR</v>
      </c>
      <c r="I22" s="216" t="str">
        <f>Pricing!E10</f>
        <v>NO</v>
      </c>
      <c r="J22" s="216">
        <f>Pricing!G10</f>
        <v>3500</v>
      </c>
      <c r="K22" s="216">
        <f>Pricing!H10</f>
        <v>610</v>
      </c>
      <c r="L22" s="216">
        <f>Pricing!I10</f>
        <v>1</v>
      </c>
      <c r="M22" s="188">
        <f t="shared" si="0"/>
        <v>2.1349999999999998</v>
      </c>
      <c r="N22" s="189">
        <f>'Cost Calculation'!AS14</f>
        <v>30948.956652660025</v>
      </c>
      <c r="O22" s="95"/>
    </row>
    <row r="23" spans="2:15" s="94" customFormat="1" ht="49.9" customHeight="1" thickTop="1" thickBot="1">
      <c r="B23" s="412">
        <f>Pricing!A11</f>
        <v>8</v>
      </c>
      <c r="C23" s="413"/>
      <c r="D23" s="187" t="str">
        <f>Pricing!B11</f>
        <v>W5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8MM</v>
      </c>
      <c r="H23" s="187" t="str">
        <f>Pricing!F11</f>
        <v>FIRST FLOOR</v>
      </c>
      <c r="I23" s="216" t="str">
        <f>Pricing!E11</f>
        <v>SS</v>
      </c>
      <c r="J23" s="216">
        <f>Pricing!G11</f>
        <v>1220</v>
      </c>
      <c r="K23" s="216">
        <f>Pricing!H11</f>
        <v>1678</v>
      </c>
      <c r="L23" s="216">
        <f>Pricing!I11</f>
        <v>2</v>
      </c>
      <c r="M23" s="188">
        <f t="shared" si="0"/>
        <v>4.0943199999999997</v>
      </c>
      <c r="N23" s="189">
        <f>'Cost Calculation'!AS15</f>
        <v>104290.64186109864</v>
      </c>
      <c r="O23" s="95"/>
    </row>
    <row r="24" spans="2:15" s="94" customFormat="1" ht="49.9" customHeight="1" thickTop="1" thickBot="1">
      <c r="B24" s="412">
        <f>Pricing!A12</f>
        <v>9</v>
      </c>
      <c r="C24" s="413"/>
      <c r="D24" s="187" t="str">
        <f>Pricing!B12</f>
        <v>FD1</v>
      </c>
      <c r="E24" s="187" t="str">
        <f>Pricing!C12</f>
        <v>M9800</v>
      </c>
      <c r="F24" s="187" t="str">
        <f>Pricing!D12</f>
        <v>4 LEAF SLIDE &amp; FOLD DOOR</v>
      </c>
      <c r="G24" s="187" t="str">
        <f>Pricing!N12</f>
        <v>8MM</v>
      </c>
      <c r="H24" s="187" t="str">
        <f>Pricing!F12</f>
        <v>FIRST FLOOR</v>
      </c>
      <c r="I24" s="216" t="str">
        <f>Pricing!E12</f>
        <v>NO</v>
      </c>
      <c r="J24" s="216">
        <f>Pricing!G12</f>
        <v>2540</v>
      </c>
      <c r="K24" s="216">
        <f>Pricing!H12</f>
        <v>2744</v>
      </c>
      <c r="L24" s="216">
        <f>Pricing!I12</f>
        <v>1</v>
      </c>
      <c r="M24" s="188">
        <f t="shared" si="0"/>
        <v>6.96976</v>
      </c>
      <c r="N24" s="189">
        <f>'Cost Calculation'!AS16</f>
        <v>239080.12906151265</v>
      </c>
      <c r="O24" s="95"/>
    </row>
    <row r="25" spans="2:15" s="94" customFormat="1" ht="49.9" customHeight="1" thickTop="1" thickBot="1">
      <c r="B25" s="412">
        <f>Pricing!A13</f>
        <v>10</v>
      </c>
      <c r="C25" s="413"/>
      <c r="D25" s="187" t="str">
        <f>Pricing!B13</f>
        <v>W1</v>
      </c>
      <c r="E25" s="187" t="str">
        <f>Pricing!C13</f>
        <v>M14600</v>
      </c>
      <c r="F25" s="187" t="str">
        <f>Pricing!D13</f>
        <v>3 TRACK 2 SHUTTER SLIDING WINDOW</v>
      </c>
      <c r="G25" s="187" t="str">
        <f>Pricing!N13</f>
        <v>8MM</v>
      </c>
      <c r="H25" s="187" t="str">
        <f>Pricing!F13</f>
        <v>FIRST FLOOR</v>
      </c>
      <c r="I25" s="216" t="str">
        <f>Pricing!E13</f>
        <v>SS</v>
      </c>
      <c r="J25" s="216">
        <f>Pricing!G13</f>
        <v>916</v>
      </c>
      <c r="K25" s="216">
        <f>Pricing!H13</f>
        <v>2338</v>
      </c>
      <c r="L25" s="216">
        <f>Pricing!I13</f>
        <v>1</v>
      </c>
      <c r="M25" s="188">
        <f t="shared" ref="M25:M42" si="1">J25*K25*L25/1000000</f>
        <v>2.1416080000000002</v>
      </c>
      <c r="N25" s="189">
        <f>'Cost Calculation'!AS17</f>
        <v>110214.8154097081</v>
      </c>
      <c r="O25" s="95"/>
    </row>
    <row r="26" spans="2:15" s="94" customFormat="1" ht="49.9" customHeight="1" thickTop="1" thickBot="1">
      <c r="B26" s="412">
        <f>Pricing!A14</f>
        <v>11</v>
      </c>
      <c r="C26" s="413"/>
      <c r="D26" s="187" t="str">
        <f>Pricing!B14</f>
        <v>W8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12MM</v>
      </c>
      <c r="H26" s="187" t="str">
        <f>Pricing!F14</f>
        <v>FIRST FLOOR</v>
      </c>
      <c r="I26" s="216" t="str">
        <f>Pricing!E14</f>
        <v>NO</v>
      </c>
      <c r="J26" s="216">
        <f>Pricing!G14</f>
        <v>560</v>
      </c>
      <c r="K26" s="216">
        <f>Pricing!H14</f>
        <v>2388</v>
      </c>
      <c r="L26" s="216">
        <f>Pricing!I14</f>
        <v>1</v>
      </c>
      <c r="M26" s="188">
        <f t="shared" si="1"/>
        <v>1.33728</v>
      </c>
      <c r="N26" s="189">
        <f>'Cost Calculation'!AS18</f>
        <v>22243.501569261163</v>
      </c>
      <c r="O26" s="95"/>
    </row>
    <row r="27" spans="2:15" s="94" customFormat="1" ht="49.9" customHeight="1" thickTop="1" thickBot="1">
      <c r="B27" s="412">
        <f>Pricing!A15</f>
        <v>12</v>
      </c>
      <c r="C27" s="413"/>
      <c r="D27" s="187" t="str">
        <f>Pricing!B15</f>
        <v>W5 GR</v>
      </c>
      <c r="E27" s="187" t="str">
        <f>Pricing!C15</f>
        <v>M900</v>
      </c>
      <c r="F27" s="187" t="str">
        <f>Pricing!D15</f>
        <v>3 TRACK 2 SHUTTER SLIDING WINDOW</v>
      </c>
      <c r="G27" s="187" t="str">
        <f>Pricing!N15</f>
        <v>8MM</v>
      </c>
      <c r="H27" s="187" t="str">
        <f>Pricing!F15</f>
        <v>FIRST FLOOR</v>
      </c>
      <c r="I27" s="216" t="str">
        <f>Pricing!E15</f>
        <v>SS</v>
      </c>
      <c r="J27" s="216">
        <f>Pricing!G15</f>
        <v>1220</v>
      </c>
      <c r="K27" s="216">
        <f>Pricing!H15</f>
        <v>1678</v>
      </c>
      <c r="L27" s="216">
        <f>Pricing!I15</f>
        <v>1</v>
      </c>
      <c r="M27" s="188">
        <f t="shared" si="1"/>
        <v>2.0471599999999999</v>
      </c>
      <c r="N27" s="189">
        <f>'Cost Calculation'!AS19</f>
        <v>52145.320930549322</v>
      </c>
      <c r="O27" s="95"/>
    </row>
    <row r="28" spans="2:15" s="94" customFormat="1" ht="49.9" customHeight="1" thickTop="1" thickBot="1">
      <c r="B28" s="412">
        <f>Pricing!A16</f>
        <v>13</v>
      </c>
      <c r="C28" s="413"/>
      <c r="D28" s="187" t="str">
        <f>Pricing!B16</f>
        <v>W9A</v>
      </c>
      <c r="E28" s="187" t="str">
        <f>Pricing!C16</f>
        <v>M14600</v>
      </c>
      <c r="F28" s="187" t="str">
        <f>Pricing!D16</f>
        <v>3 TRACK 2 SHUTTER SLIDING WINDOW</v>
      </c>
      <c r="G28" s="187" t="str">
        <f>Pricing!N16</f>
        <v>8MM</v>
      </c>
      <c r="H28" s="187" t="str">
        <f>Pricing!F16</f>
        <v>FIRST FLOOR</v>
      </c>
      <c r="I28" s="216" t="str">
        <f>Pricing!E16</f>
        <v>SS</v>
      </c>
      <c r="J28" s="216">
        <f>Pricing!G16</f>
        <v>916</v>
      </c>
      <c r="K28" s="216">
        <f>Pricing!H16</f>
        <v>2338</v>
      </c>
      <c r="L28" s="216">
        <f>Pricing!I16</f>
        <v>1</v>
      </c>
      <c r="M28" s="188">
        <f t="shared" si="1"/>
        <v>2.1416080000000002</v>
      </c>
      <c r="N28" s="189">
        <f>'Cost Calculation'!AS20</f>
        <v>116192.3586324794</v>
      </c>
      <c r="O28" s="95"/>
    </row>
    <row r="29" spans="2:15" s="94" customFormat="1" ht="49.9" customHeight="1" thickTop="1" thickBot="1">
      <c r="B29" s="412">
        <f>Pricing!A17</f>
        <v>14</v>
      </c>
      <c r="C29" s="413"/>
      <c r="D29" s="187" t="str">
        <f>Pricing!B17</f>
        <v>W9B</v>
      </c>
      <c r="E29" s="187" t="str">
        <f>Pricing!C17</f>
        <v>M15000</v>
      </c>
      <c r="F29" s="187" t="str">
        <f>Pricing!D17</f>
        <v>FIXED GLASS CORNOR WINDOW</v>
      </c>
      <c r="G29" s="187" t="str">
        <f>Pricing!N17</f>
        <v>12MM</v>
      </c>
      <c r="H29" s="187" t="str">
        <f>Pricing!F17</f>
        <v>FIRST FLOOR</v>
      </c>
      <c r="I29" s="216" t="str">
        <f>Pricing!E17</f>
        <v>NO</v>
      </c>
      <c r="J29" s="216">
        <f>Pricing!G17</f>
        <v>1108</v>
      </c>
      <c r="K29" s="216">
        <f>Pricing!H17</f>
        <v>2338</v>
      </c>
      <c r="L29" s="216">
        <f>Pricing!I17</f>
        <v>1</v>
      </c>
      <c r="M29" s="188">
        <f t="shared" si="1"/>
        <v>2.5905040000000001</v>
      </c>
      <c r="N29" s="189">
        <f>'Cost Calculation'!AS21</f>
        <v>29493.175853659402</v>
      </c>
      <c r="O29" s="95"/>
    </row>
    <row r="30" spans="2:15" s="94" customFormat="1" ht="49.9" customHeight="1" thickTop="1" thickBot="1">
      <c r="B30" s="412">
        <f>Pricing!A18</f>
        <v>15</v>
      </c>
      <c r="C30" s="413"/>
      <c r="D30" s="187" t="str">
        <f>Pricing!B18</f>
        <v>W4</v>
      </c>
      <c r="E30" s="187" t="str">
        <f>Pricing!C18</f>
        <v>M15000</v>
      </c>
      <c r="F30" s="187" t="str">
        <f>Pricing!D18</f>
        <v>FIXED GLASS 3 NO'S</v>
      </c>
      <c r="G30" s="187" t="str">
        <f>Pricing!N18</f>
        <v>12MM</v>
      </c>
      <c r="H30" s="187" t="str">
        <f>Pricing!F18</f>
        <v>SECOND FLOOR</v>
      </c>
      <c r="I30" s="216" t="str">
        <f>Pricing!E18</f>
        <v>NO</v>
      </c>
      <c r="J30" s="216">
        <f>Pricing!G18</f>
        <v>2896</v>
      </c>
      <c r="K30" s="216">
        <f>Pricing!H18</f>
        <v>762</v>
      </c>
      <c r="L30" s="216">
        <f>Pricing!I18</f>
        <v>1</v>
      </c>
      <c r="M30" s="188">
        <f t="shared" si="1"/>
        <v>2.2067519999999998</v>
      </c>
      <c r="N30" s="189">
        <f>'Cost Calculation'!AS22</f>
        <v>45306.181868410364</v>
      </c>
      <c r="O30" s="95"/>
    </row>
    <row r="31" spans="2:15" s="94" customFormat="1" ht="49.9" customHeight="1" thickTop="1" thickBot="1">
      <c r="B31" s="412">
        <f>Pricing!A19</f>
        <v>16</v>
      </c>
      <c r="C31" s="413"/>
      <c r="D31" s="187" t="str">
        <f>Pricing!B19</f>
        <v>FD1 TOP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12MM</v>
      </c>
      <c r="H31" s="187" t="str">
        <f>Pricing!F19</f>
        <v>SECOND FLOOR</v>
      </c>
      <c r="I31" s="216" t="str">
        <f>Pricing!E19</f>
        <v>NO</v>
      </c>
      <c r="J31" s="216">
        <f>Pricing!G19</f>
        <v>3658</v>
      </c>
      <c r="K31" s="216">
        <f>Pricing!H19</f>
        <v>610</v>
      </c>
      <c r="L31" s="216">
        <f>Pricing!I19</f>
        <v>1</v>
      </c>
      <c r="M31" s="188">
        <f t="shared" si="1"/>
        <v>2.2313800000000001</v>
      </c>
      <c r="N31" s="189">
        <f>'Cost Calculation'!AS23</f>
        <v>32085.704540614184</v>
      </c>
      <c r="O31" s="95"/>
    </row>
    <row r="32" spans="2:15" s="94" customFormat="1" ht="49.9" customHeight="1" thickTop="1" thickBot="1">
      <c r="B32" s="412">
        <f>Pricing!A20</f>
        <v>17</v>
      </c>
      <c r="C32" s="413"/>
      <c r="D32" s="187" t="str">
        <f>Pricing!B20</f>
        <v>FD1</v>
      </c>
      <c r="E32" s="187" t="str">
        <f>Pricing!C20</f>
        <v>M9800</v>
      </c>
      <c r="F32" s="187" t="str">
        <f>Pricing!D20</f>
        <v>6 LEAF SLIDE &amp; FOLD DOOR</v>
      </c>
      <c r="G32" s="187" t="str">
        <f>Pricing!N20</f>
        <v>8MM</v>
      </c>
      <c r="H32" s="187" t="str">
        <f>Pricing!F20</f>
        <v>SECOND FLOOR</v>
      </c>
      <c r="I32" s="216" t="str">
        <f>Pricing!E20</f>
        <v>NO</v>
      </c>
      <c r="J32" s="216">
        <f>Pricing!G20</f>
        <v>3658</v>
      </c>
      <c r="K32" s="216">
        <f>Pricing!H20</f>
        <v>2744</v>
      </c>
      <c r="L32" s="216">
        <f>Pricing!I20</f>
        <v>1</v>
      </c>
      <c r="M32" s="188">
        <f t="shared" si="1"/>
        <v>10.037552</v>
      </c>
      <c r="N32" s="189">
        <f>'Cost Calculation'!AS24</f>
        <v>345608.53464902291</v>
      </c>
      <c r="O32" s="95"/>
    </row>
    <row r="33" spans="2:15" s="94" customFormat="1" ht="49.9" customHeight="1" thickTop="1" thickBot="1">
      <c r="B33" s="412">
        <f>Pricing!A21</f>
        <v>18</v>
      </c>
      <c r="C33" s="413"/>
      <c r="D33" s="187" t="str">
        <f>Pricing!B21</f>
        <v>FD2</v>
      </c>
      <c r="E33" s="187" t="str">
        <f>Pricing!C21</f>
        <v>M9800</v>
      </c>
      <c r="F33" s="187" t="str">
        <f>Pricing!D21</f>
        <v>4 LEAF SLIDE &amp; FOLD DOOR</v>
      </c>
      <c r="G33" s="187" t="str">
        <f>Pricing!N21</f>
        <v>8MM</v>
      </c>
      <c r="H33" s="187" t="str">
        <f>Pricing!F21</f>
        <v>SECOND FLOOR</v>
      </c>
      <c r="I33" s="216" t="str">
        <f>Pricing!E21</f>
        <v>NO</v>
      </c>
      <c r="J33" s="216">
        <f>Pricing!G21</f>
        <v>2440</v>
      </c>
      <c r="K33" s="216">
        <f>Pricing!H21</f>
        <v>2744</v>
      </c>
      <c r="L33" s="216">
        <f>Pricing!I21</f>
        <v>1</v>
      </c>
      <c r="M33" s="188">
        <f t="shared" si="1"/>
        <v>6.69536</v>
      </c>
      <c r="N33" s="189">
        <f>'Cost Calculation'!AS25</f>
        <v>236663.18896202004</v>
      </c>
      <c r="O33" s="95"/>
    </row>
    <row r="34" spans="2:15" s="94" customFormat="1" ht="49.9" customHeight="1" thickTop="1" thickBot="1">
      <c r="B34" s="412">
        <f>Pricing!A22</f>
        <v>19</v>
      </c>
      <c r="C34" s="413"/>
      <c r="D34" s="187" t="str">
        <f>Pricing!B22</f>
        <v>W3</v>
      </c>
      <c r="E34" s="187" t="str">
        <f>Pricing!C22</f>
        <v>M900</v>
      </c>
      <c r="F34" s="187" t="str">
        <f>Pricing!D22</f>
        <v>3 TRACK 2 SHUTTER SLIDING WINDOW</v>
      </c>
      <c r="G34" s="187" t="str">
        <f>Pricing!N22</f>
        <v>8MM</v>
      </c>
      <c r="H34" s="187" t="str">
        <f>Pricing!F22</f>
        <v>SECOND FLOOR</v>
      </c>
      <c r="I34" s="216" t="str">
        <f>Pricing!E22</f>
        <v>SS</v>
      </c>
      <c r="J34" s="216">
        <f>Pricing!G22</f>
        <v>1754</v>
      </c>
      <c r="K34" s="216">
        <f>Pricing!H22</f>
        <v>1220</v>
      </c>
      <c r="L34" s="216">
        <f>Pricing!I22</f>
        <v>1</v>
      </c>
      <c r="M34" s="188">
        <f t="shared" si="1"/>
        <v>2.1398799999999998</v>
      </c>
      <c r="N34" s="189">
        <f>'Cost Calculation'!AS26</f>
        <v>50252.744207323587</v>
      </c>
      <c r="O34" s="95"/>
    </row>
    <row r="35" spans="2:15" s="94" customFormat="1" ht="49.9" customHeight="1" thickTop="1" thickBot="1">
      <c r="B35" s="412">
        <f>Pricing!A23</f>
        <v>20</v>
      </c>
      <c r="C35" s="413"/>
      <c r="D35" s="187" t="str">
        <f>Pricing!B23</f>
        <v>W2A</v>
      </c>
      <c r="E35" s="187" t="str">
        <f>Pricing!C23</f>
        <v>M14600</v>
      </c>
      <c r="F35" s="187" t="str">
        <f>Pricing!D23</f>
        <v>3 TRACK 2 SHUTTER SLIDING WINDOW</v>
      </c>
      <c r="G35" s="187" t="str">
        <f>Pricing!N23</f>
        <v>8MM</v>
      </c>
      <c r="H35" s="187" t="str">
        <f>Pricing!F23</f>
        <v>SECOND FLOOR</v>
      </c>
      <c r="I35" s="216" t="str">
        <f>Pricing!E23</f>
        <v>SS</v>
      </c>
      <c r="J35" s="216">
        <f>Pricing!G23</f>
        <v>1068</v>
      </c>
      <c r="K35" s="216">
        <f>Pricing!H23</f>
        <v>1830</v>
      </c>
      <c r="L35" s="216">
        <f>Pricing!I23</f>
        <v>1</v>
      </c>
      <c r="M35" s="188">
        <f t="shared" si="1"/>
        <v>1.95444</v>
      </c>
      <c r="N35" s="189">
        <f>'Cost Calculation'!AS27</f>
        <v>100200.85531306374</v>
      </c>
      <c r="O35" s="95"/>
    </row>
    <row r="36" spans="2:15" s="94" customFormat="1" ht="49.9" customHeight="1" thickTop="1" thickBot="1">
      <c r="B36" s="412">
        <f>Pricing!A24</f>
        <v>21</v>
      </c>
      <c r="C36" s="413"/>
      <c r="D36" s="187" t="str">
        <f>Pricing!B24</f>
        <v>W2B</v>
      </c>
      <c r="E36" s="187" t="str">
        <f>Pricing!C24</f>
        <v>M15000</v>
      </c>
      <c r="F36" s="187" t="str">
        <f>Pricing!D24</f>
        <v>FIXED GLASS CORNOR WINDOW</v>
      </c>
      <c r="G36" s="187" t="str">
        <f>Pricing!N24</f>
        <v>12MM</v>
      </c>
      <c r="H36" s="187" t="str">
        <f>Pricing!F24</f>
        <v>SECOND FLOOR</v>
      </c>
      <c r="I36" s="216" t="str">
        <f>Pricing!E24</f>
        <v>NO</v>
      </c>
      <c r="J36" s="216">
        <f>Pricing!G24</f>
        <v>2296</v>
      </c>
      <c r="K36" s="216">
        <f>Pricing!H24</f>
        <v>1830</v>
      </c>
      <c r="L36" s="216">
        <f>Pricing!I24</f>
        <v>1</v>
      </c>
      <c r="M36" s="188">
        <f t="shared" si="1"/>
        <v>4.2016799999999996</v>
      </c>
      <c r="N36" s="189">
        <f>'Cost Calculation'!AS28</f>
        <v>79896.707425350236</v>
      </c>
      <c r="O36" s="95"/>
    </row>
    <row r="37" spans="2:15" s="94" customFormat="1" ht="49.9" customHeight="1" thickTop="1" thickBot="1">
      <c r="B37" s="412">
        <f>Pricing!A25</f>
        <v>22</v>
      </c>
      <c r="C37" s="413"/>
      <c r="D37" s="187" t="str">
        <f>Pricing!B25</f>
        <v>W5</v>
      </c>
      <c r="E37" s="187" t="str">
        <f>Pricing!C25</f>
        <v>M15000</v>
      </c>
      <c r="F37" s="187" t="str">
        <f>Pricing!D25</f>
        <v>FIXED GLASS WITH EXHAUST FAN PROVISION</v>
      </c>
      <c r="G37" s="187" t="str">
        <f>Pricing!N25</f>
        <v>12MM (F)</v>
      </c>
      <c r="H37" s="187" t="str">
        <f>Pricing!F25</f>
        <v>SECOND FLOOR</v>
      </c>
      <c r="I37" s="216" t="str">
        <f>Pricing!E25</f>
        <v>NO</v>
      </c>
      <c r="J37" s="216">
        <f>Pricing!G25</f>
        <v>382</v>
      </c>
      <c r="K37" s="216">
        <f>Pricing!H25</f>
        <v>1754</v>
      </c>
      <c r="L37" s="216">
        <f>Pricing!I25</f>
        <v>1</v>
      </c>
      <c r="M37" s="188">
        <f t="shared" si="1"/>
        <v>0.67002799999999996</v>
      </c>
      <c r="N37" s="189">
        <f>'Cost Calculation'!AS29</f>
        <v>22453.445718946012</v>
      </c>
      <c r="O37" s="95"/>
    </row>
    <row r="38" spans="2:15" s="94" customFormat="1" ht="49.9" customHeight="1" thickTop="1" thickBot="1">
      <c r="B38" s="412">
        <f>Pricing!A26</f>
        <v>23</v>
      </c>
      <c r="C38" s="413"/>
      <c r="D38" s="187" t="str">
        <f>Pricing!B26</f>
        <v>W6</v>
      </c>
      <c r="E38" s="187" t="str">
        <f>Pricing!C26</f>
        <v>M14600</v>
      </c>
      <c r="F38" s="187" t="str">
        <f>Pricing!D26</f>
        <v>3 TRACK 2 SHUTTER SLIDING WITH CENTER FIXED WITH SILICON JOINT</v>
      </c>
      <c r="G38" s="187" t="str">
        <f>Pricing!N26</f>
        <v>8MM</v>
      </c>
      <c r="H38" s="187" t="str">
        <f>Pricing!F26</f>
        <v>SECOND FLOOR</v>
      </c>
      <c r="I38" s="216" t="str">
        <f>Pricing!E26</f>
        <v>SS</v>
      </c>
      <c r="J38" s="216">
        <f>Pricing!G26</f>
        <v>5666</v>
      </c>
      <c r="K38" s="216">
        <f>Pricing!H26</f>
        <v>2744</v>
      </c>
      <c r="L38" s="216">
        <f>Pricing!I26</f>
        <v>1</v>
      </c>
      <c r="M38" s="188">
        <f t="shared" si="1"/>
        <v>15.547504</v>
      </c>
      <c r="N38" s="189">
        <f>'Cost Calculation'!AS30</f>
        <v>293894.77976773016</v>
      </c>
      <c r="O38" s="95"/>
    </row>
    <row r="39" spans="2:15" s="94" customFormat="1" ht="49.9" customHeight="1" thickTop="1" thickBot="1">
      <c r="B39" s="412">
        <f>Pricing!A27</f>
        <v>24</v>
      </c>
      <c r="C39" s="413"/>
      <c r="D39" s="187" t="str">
        <f>Pricing!B27</f>
        <v>FD2</v>
      </c>
      <c r="E39" s="187" t="str">
        <f>Pricing!C27</f>
        <v>M15000</v>
      </c>
      <c r="F39" s="187" t="str">
        <f>Pricing!D27</f>
        <v>FRENCH CASEMENT DOOR</v>
      </c>
      <c r="G39" s="187" t="str">
        <f>Pricing!N27</f>
        <v>8MM</v>
      </c>
      <c r="H39" s="187" t="str">
        <f>Pricing!F27</f>
        <v>THIRD FLOOR</v>
      </c>
      <c r="I39" s="216" t="str">
        <f>Pricing!E27</f>
        <v>NO</v>
      </c>
      <c r="J39" s="216">
        <f>Pricing!G27</f>
        <v>1524</v>
      </c>
      <c r="K39" s="216">
        <f>Pricing!H27</f>
        <v>2744</v>
      </c>
      <c r="L39" s="216">
        <f>Pricing!I27</f>
        <v>1</v>
      </c>
      <c r="M39" s="188">
        <f t="shared" si="1"/>
        <v>4.1818559999999998</v>
      </c>
      <c r="N39" s="189">
        <f>'Cost Calculation'!AS31</f>
        <v>175241.48299285167</v>
      </c>
      <c r="O39" s="95"/>
    </row>
    <row r="40" spans="2:15" s="94" customFormat="1" ht="71.25" thickTop="1" thickBot="1">
      <c r="B40" s="412">
        <f>Pricing!A28</f>
        <v>25</v>
      </c>
      <c r="C40" s="413"/>
      <c r="D40" s="187" t="str">
        <f>Pricing!B28</f>
        <v>W1</v>
      </c>
      <c r="E40" s="187" t="str">
        <f>Pricing!C28</f>
        <v>M14600 &amp; M15000</v>
      </c>
      <c r="F40" s="187" t="str">
        <f>Pricing!D28</f>
        <v>3 TRACK 2 SHUTTER SLIDING DOOR WITH TOP FIXED AND FIXED GLASS WITH SILICON JOINT</v>
      </c>
      <c r="G40" s="187" t="str">
        <f>Pricing!N28</f>
        <v>12MM &amp; 8MM</v>
      </c>
      <c r="H40" s="187" t="str">
        <f>Pricing!F28</f>
        <v>THIRD FLOOR</v>
      </c>
      <c r="I40" s="216" t="str">
        <f>Pricing!E28</f>
        <v>SS</v>
      </c>
      <c r="J40" s="216">
        <f>Pricing!G28</f>
        <v>4116</v>
      </c>
      <c r="K40" s="216">
        <f>Pricing!H28</f>
        <v>3202</v>
      </c>
      <c r="L40" s="216">
        <f>Pricing!I28</f>
        <v>1</v>
      </c>
      <c r="M40" s="188">
        <f t="shared" si="1"/>
        <v>13.179432</v>
      </c>
      <c r="N40" s="189">
        <f>'Cost Calculation'!AS32</f>
        <v>235176.980695217</v>
      </c>
      <c r="O40" s="95"/>
    </row>
    <row r="41" spans="2:15" s="94" customFormat="1" ht="49.9" customHeight="1" thickTop="1" thickBot="1">
      <c r="B41" s="412">
        <f>Pricing!A29</f>
        <v>26</v>
      </c>
      <c r="C41" s="413"/>
      <c r="D41" s="187" t="str">
        <f>Pricing!B29</f>
        <v>W2</v>
      </c>
      <c r="E41" s="187" t="str">
        <f>Pricing!C29</f>
        <v>M15000</v>
      </c>
      <c r="F41" s="187" t="str">
        <f>Pricing!D29</f>
        <v>FIXED GLASS TOP &amp; BOTTOM WITH SILICON JOINT</v>
      </c>
      <c r="G41" s="187" t="str">
        <f>Pricing!N29</f>
        <v>12MM</v>
      </c>
      <c r="H41" s="187" t="str">
        <f>Pricing!F29</f>
        <v>THIRD FLOOR</v>
      </c>
      <c r="I41" s="216" t="str">
        <f>Pricing!E29</f>
        <v>NO</v>
      </c>
      <c r="J41" s="216">
        <f>Pricing!G29</f>
        <v>4116</v>
      </c>
      <c r="K41" s="216">
        <f>Pricing!H29</f>
        <v>3202</v>
      </c>
      <c r="L41" s="216">
        <f>Pricing!I29</f>
        <v>1</v>
      </c>
      <c r="M41" s="188">
        <f t="shared" si="1"/>
        <v>13.179432</v>
      </c>
      <c r="N41" s="189">
        <f>'Cost Calculation'!AS33</f>
        <v>152244.70960923721</v>
      </c>
      <c r="O41" s="95"/>
    </row>
    <row r="42" spans="2:15" s="94" customFormat="1" ht="49.9" customHeight="1" thickTop="1" thickBot="1">
      <c r="B42" s="412">
        <f>Pricing!A30</f>
        <v>27</v>
      </c>
      <c r="C42" s="413"/>
      <c r="D42" s="187" t="str">
        <f>Pricing!B30</f>
        <v>W4</v>
      </c>
      <c r="E42" s="187" t="str">
        <f>Pricing!C30</f>
        <v>M14600</v>
      </c>
      <c r="F42" s="187" t="str">
        <f>Pricing!D30</f>
        <v>3 TRACK 2 SHUTTER SLIDING WINDOW</v>
      </c>
      <c r="G42" s="187" t="str">
        <f>Pricing!N30</f>
        <v>8MM</v>
      </c>
      <c r="H42" s="187" t="str">
        <f>Pricing!F30</f>
        <v>THIRD FLOOR</v>
      </c>
      <c r="I42" s="216" t="str">
        <f>Pricing!E30</f>
        <v>SS</v>
      </c>
      <c r="J42" s="216">
        <f>Pricing!G30</f>
        <v>1932</v>
      </c>
      <c r="K42" s="216">
        <f>Pricing!H30</f>
        <v>2134</v>
      </c>
      <c r="L42" s="216">
        <f>Pricing!I30</f>
        <v>1</v>
      </c>
      <c r="M42" s="188">
        <f t="shared" si="1"/>
        <v>4.1228879999999997</v>
      </c>
      <c r="N42" s="189">
        <f>'Cost Calculation'!AS34</f>
        <v>135803.25460347411</v>
      </c>
      <c r="O42" s="95"/>
    </row>
    <row r="43" spans="2:15" s="94" customFormat="1" ht="49.9" customHeight="1" thickTop="1" thickBot="1">
      <c r="B43" s="412">
        <f>Pricing!A31</f>
        <v>28</v>
      </c>
      <c r="C43" s="413"/>
      <c r="D43" s="187" t="str">
        <f>Pricing!B31</f>
        <v>W6</v>
      </c>
      <c r="E43" s="187" t="str">
        <f>Pricing!C31</f>
        <v>M15000</v>
      </c>
      <c r="F43" s="187" t="str">
        <f>Pricing!D31</f>
        <v>FIXED GLASS WITH SILICON JOINT</v>
      </c>
      <c r="G43" s="187" t="str">
        <f>Pricing!N31</f>
        <v>12MM</v>
      </c>
      <c r="H43" s="187" t="str">
        <f>Pricing!F31</f>
        <v>THIRD FLOOR</v>
      </c>
      <c r="I43" s="216" t="str">
        <f>Pricing!E31</f>
        <v>NO</v>
      </c>
      <c r="J43" s="216">
        <f>Pricing!G31</f>
        <v>3964</v>
      </c>
      <c r="K43" s="216">
        <f>Pricing!H31</f>
        <v>610</v>
      </c>
      <c r="L43" s="216">
        <f>Pricing!I31</f>
        <v>1</v>
      </c>
      <c r="M43" s="188">
        <f t="shared" ref="M43:M92" si="2">J43*K43*L43/1000000</f>
        <v>2.41804</v>
      </c>
      <c r="N43" s="189">
        <f>'Cost Calculation'!AS35</f>
        <v>34290.360151500463</v>
      </c>
      <c r="O43" s="95"/>
    </row>
    <row r="44" spans="2:15" s="94" customFormat="1" ht="71.25" thickTop="1" thickBot="1">
      <c r="B44" s="412">
        <f>Pricing!A32</f>
        <v>29</v>
      </c>
      <c r="C44" s="413"/>
      <c r="D44" s="187" t="str">
        <f>Pricing!B32</f>
        <v>W3</v>
      </c>
      <c r="E44" s="187" t="str">
        <f>Pricing!C32</f>
        <v>M14600 &amp; M15000</v>
      </c>
      <c r="F44" s="187" t="str">
        <f>Pricing!D32</f>
        <v>3 TRACK 2 SHUTTER SLIDING DOOR WITH TOP FIXED AND FIXED GLASS WITH SILICON JOINT</v>
      </c>
      <c r="G44" s="187" t="str">
        <f>Pricing!N32</f>
        <v>12MM &amp; 8MM</v>
      </c>
      <c r="H44" s="187" t="str">
        <f>Pricing!F32</f>
        <v>THIRD FLOOR</v>
      </c>
      <c r="I44" s="216" t="str">
        <f>Pricing!E32</f>
        <v>SS</v>
      </c>
      <c r="J44" s="216">
        <f>Pricing!G32</f>
        <v>4116</v>
      </c>
      <c r="K44" s="216">
        <f>Pricing!H32</f>
        <v>2592</v>
      </c>
      <c r="L44" s="216">
        <f>Pricing!I32</f>
        <v>1</v>
      </c>
      <c r="M44" s="188">
        <f t="shared" si="2"/>
        <v>10.668672000000001</v>
      </c>
      <c r="N44" s="189">
        <f>'Cost Calculation'!AS36</f>
        <v>197582.70840025437</v>
      </c>
      <c r="O44" s="95"/>
    </row>
    <row r="45" spans="2:15" s="94" customFormat="1" ht="49.9" hidden="1" customHeight="1" thickTop="1" thickBot="1">
      <c r="B45" s="412">
        <f>Pricing!A33</f>
        <v>30</v>
      </c>
      <c r="C45" s="413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2">
        <f>Pricing!A34</f>
        <v>31</v>
      </c>
      <c r="C46" s="413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2">
        <f>Pricing!A35</f>
        <v>32</v>
      </c>
      <c r="C47" s="413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2">
        <f>Pricing!A36</f>
        <v>33</v>
      </c>
      <c r="C48" s="413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2">
        <f>Pricing!A37</f>
        <v>34</v>
      </c>
      <c r="C49" s="413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2">
        <f>Pricing!A38</f>
        <v>35</v>
      </c>
      <c r="C50" s="413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2">
        <f>Pricing!A39</f>
        <v>36</v>
      </c>
      <c r="C51" s="413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2">
        <f>Pricing!A40</f>
        <v>37</v>
      </c>
      <c r="C52" s="413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2">
        <f>Pricing!A41</f>
        <v>38</v>
      </c>
      <c r="C53" s="413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2">
        <f>Pricing!A42</f>
        <v>39</v>
      </c>
      <c r="C54" s="413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2">
        <f>Pricing!A43</f>
        <v>40</v>
      </c>
      <c r="C55" s="413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2">
        <f>Pricing!A44</f>
        <v>41</v>
      </c>
      <c r="C56" s="413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2">
        <f>Pricing!A45</f>
        <v>42</v>
      </c>
      <c r="C57" s="413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2">
        <f>Pricing!A46</f>
        <v>43</v>
      </c>
      <c r="C58" s="413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2">
        <f>Pricing!A47</f>
        <v>44</v>
      </c>
      <c r="C59" s="413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2">
        <f>Pricing!A48</f>
        <v>45</v>
      </c>
      <c r="C60" s="413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2">
        <f>Pricing!A49</f>
        <v>46</v>
      </c>
      <c r="C61" s="413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2">
        <f>Pricing!A50</f>
        <v>47</v>
      </c>
      <c r="C62" s="413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2">
        <f>Pricing!A51</f>
        <v>48</v>
      </c>
      <c r="C63" s="413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2">
        <f>Pricing!A52</f>
        <v>49</v>
      </c>
      <c r="C64" s="413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2">
        <f>Pricing!A53</f>
        <v>50</v>
      </c>
      <c r="C65" s="413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2">
        <f>Pricing!A54</f>
        <v>51</v>
      </c>
      <c r="C66" s="413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2">
        <f>Pricing!A55</f>
        <v>52</v>
      </c>
      <c r="C67" s="413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2">
        <f>Pricing!A56</f>
        <v>53</v>
      </c>
      <c r="C68" s="413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2">
        <f>Pricing!A57</f>
        <v>54</v>
      </c>
      <c r="C69" s="413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2">
        <f>Pricing!A58</f>
        <v>55</v>
      </c>
      <c r="C70" s="413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2">
        <f>Pricing!A59</f>
        <v>56</v>
      </c>
      <c r="C71" s="413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2">
        <f>Pricing!A60</f>
        <v>57</v>
      </c>
      <c r="C72" s="413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2">
        <f>Pricing!A61</f>
        <v>58</v>
      </c>
      <c r="C73" s="413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2">
        <f>Pricing!A62</f>
        <v>59</v>
      </c>
      <c r="C74" s="413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2">
        <f>Pricing!A63</f>
        <v>60</v>
      </c>
      <c r="C75" s="413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2">
        <f>Pricing!A64</f>
        <v>61</v>
      </c>
      <c r="C76" s="413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2">
        <f>Pricing!A65</f>
        <v>62</v>
      </c>
      <c r="C77" s="413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2">
        <f>Pricing!A66</f>
        <v>63</v>
      </c>
      <c r="C78" s="413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2">
        <f>Pricing!A67</f>
        <v>64</v>
      </c>
      <c r="C79" s="413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2">
        <f>Pricing!A68</f>
        <v>65</v>
      </c>
      <c r="C80" s="413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2">
        <f>Pricing!A69</f>
        <v>66</v>
      </c>
      <c r="C81" s="413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2">
        <f>Pricing!A70</f>
        <v>67</v>
      </c>
      <c r="C82" s="413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2">
        <f>Pricing!A71</f>
        <v>68</v>
      </c>
      <c r="C83" s="413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2">
        <f>Pricing!A72</f>
        <v>69</v>
      </c>
      <c r="C84" s="413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2">
        <f>Pricing!A73</f>
        <v>70</v>
      </c>
      <c r="C85" s="413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2">
        <f>Pricing!A74</f>
        <v>71</v>
      </c>
      <c r="C86" s="413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2">
        <f>Pricing!A75</f>
        <v>72</v>
      </c>
      <c r="C87" s="413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2">
        <f>Pricing!A76</f>
        <v>73</v>
      </c>
      <c r="C88" s="413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2">
        <f>Pricing!A77</f>
        <v>74</v>
      </c>
      <c r="C89" s="413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2">
        <f>Pricing!A78</f>
        <v>75</v>
      </c>
      <c r="C90" s="413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2">
        <f>Pricing!A79</f>
        <v>76</v>
      </c>
      <c r="C91" s="413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2">
        <f>Pricing!A80</f>
        <v>77</v>
      </c>
      <c r="C92" s="413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2">
        <f>Pricing!A81</f>
        <v>78</v>
      </c>
      <c r="C93" s="413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2">
        <f>Pricing!A82</f>
        <v>79</v>
      </c>
      <c r="C94" s="413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2">
        <f>Pricing!A83</f>
        <v>80</v>
      </c>
      <c r="C95" s="413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2">
        <f>Pricing!A84</f>
        <v>81</v>
      </c>
      <c r="C96" s="413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2">
        <f>Pricing!A85</f>
        <v>82</v>
      </c>
      <c r="C97" s="413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2">
        <f>Pricing!A86</f>
        <v>83</v>
      </c>
      <c r="C98" s="413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2">
        <f>Pricing!A87</f>
        <v>84</v>
      </c>
      <c r="C99" s="413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2">
        <f>Pricing!A88</f>
        <v>85</v>
      </c>
      <c r="C100" s="413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2">
        <f>Pricing!A89</f>
        <v>86</v>
      </c>
      <c r="C101" s="413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2">
        <f>Pricing!A90</f>
        <v>87</v>
      </c>
      <c r="C102" s="413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2">
        <f>Pricing!A91</f>
        <v>88</v>
      </c>
      <c r="C103" s="413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2">
        <f>Pricing!A92</f>
        <v>89</v>
      </c>
      <c r="C104" s="413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2">
        <f>Pricing!A93</f>
        <v>90</v>
      </c>
      <c r="C105" s="413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2">
        <f>Pricing!A94</f>
        <v>91</v>
      </c>
      <c r="C106" s="413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2">
        <f>Pricing!A95</f>
        <v>92</v>
      </c>
      <c r="C107" s="413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2">
        <f>Pricing!A96</f>
        <v>93</v>
      </c>
      <c r="C108" s="413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2">
        <f>Pricing!A97</f>
        <v>94</v>
      </c>
      <c r="C109" s="413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2">
        <f>Pricing!A98</f>
        <v>95</v>
      </c>
      <c r="C110" s="413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2">
        <f>Pricing!A99</f>
        <v>96</v>
      </c>
      <c r="C111" s="413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2">
        <f>Pricing!A100</f>
        <v>97</v>
      </c>
      <c r="C112" s="413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2">
        <f>Pricing!A101</f>
        <v>98</v>
      </c>
      <c r="C113" s="413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2">
        <f>Pricing!A102</f>
        <v>99</v>
      </c>
      <c r="C114" s="413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2">
        <f>Pricing!A103</f>
        <v>100</v>
      </c>
      <c r="C115" s="413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30</v>
      </c>
      <c r="M116" s="191">
        <f>SUM(M16:M115)</f>
        <v>158.05168399999997</v>
      </c>
      <c r="N116" s="186"/>
      <c r="O116" s="95"/>
    </row>
    <row r="117" spans="2:15" s="94" customFormat="1" ht="30" customHeight="1" thickTop="1" thickBot="1">
      <c r="B117" s="511" t="s">
        <v>180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3573759</v>
      </c>
      <c r="O117" s="95">
        <f>N117/SUM(M116)</f>
        <v>22611.331366769879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643277</v>
      </c>
      <c r="O118" s="95">
        <f>N118/SUM(M116)</f>
        <v>4070.0420502953966</v>
      </c>
    </row>
    <row r="119" spans="2:15" s="94" customFormat="1" ht="30" customHeight="1" thickTop="1" thickBot="1">
      <c r="B119" s="511" t="s">
        <v>181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4217036</v>
      </c>
      <c r="O119" s="95">
        <f>N119/SUM(M116)</f>
        <v>26681.373417065275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2100.6439396850501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4">
        <v>1</v>
      </c>
      <c r="C122" s="415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40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46" t="s">
        <v>206</v>
      </c>
      <c r="C124" s="447"/>
      <c r="D124" s="447"/>
      <c r="E124" s="447"/>
      <c r="F124" s="447"/>
      <c r="G124" s="447"/>
      <c r="H124" s="447"/>
      <c r="I124" s="447"/>
      <c r="J124" s="447"/>
      <c r="K124" s="447"/>
      <c r="L124" s="447"/>
      <c r="M124" s="447"/>
      <c r="N124" s="448"/>
      <c r="O124" s="138"/>
    </row>
    <row r="125" spans="2:15" s="93" customFormat="1" ht="24.95" customHeight="1">
      <c r="B125" s="414">
        <v>1</v>
      </c>
      <c r="C125" s="415"/>
      <c r="D125" s="410" t="s">
        <v>474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4">
        <v>2</v>
      </c>
      <c r="C126" s="415"/>
      <c r="D126" s="410" t="s">
        <v>475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4">
        <v>3</v>
      </c>
      <c r="C127" s="415"/>
      <c r="D127" s="410" t="s">
        <v>476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46" t="s">
        <v>140</v>
      </c>
      <c r="C128" s="447"/>
      <c r="D128" s="447"/>
      <c r="E128" s="447"/>
      <c r="F128" s="447"/>
      <c r="G128" s="447"/>
      <c r="H128" s="447"/>
      <c r="I128" s="447"/>
      <c r="J128" s="447"/>
      <c r="K128" s="447"/>
      <c r="L128" s="447"/>
      <c r="M128" s="447"/>
      <c r="N128" s="448"/>
      <c r="O128" s="138"/>
    </row>
    <row r="129" spans="2:14" s="93" customFormat="1" ht="24.95" customHeight="1">
      <c r="B129" s="414">
        <v>1</v>
      </c>
      <c r="C129" s="415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4">
        <v>2</v>
      </c>
      <c r="C130" s="415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4">
        <v>3</v>
      </c>
      <c r="C131" s="415"/>
      <c r="D131" s="436" t="s">
        <v>404</v>
      </c>
      <c r="E131" s="436"/>
      <c r="F131" s="436"/>
      <c r="G131" s="436"/>
      <c r="H131" s="436"/>
      <c r="I131" s="436"/>
      <c r="J131" s="436"/>
      <c r="K131" s="436"/>
      <c r="L131" s="436"/>
      <c r="M131" s="436"/>
      <c r="N131" s="437"/>
    </row>
    <row r="132" spans="2:14" s="139" customFormat="1" ht="30" customHeight="1">
      <c r="B132" s="430" t="s">
        <v>141</v>
      </c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2"/>
    </row>
    <row r="133" spans="2:14" s="93" customFormat="1" ht="24.95" customHeight="1">
      <c r="B133" s="414">
        <v>1</v>
      </c>
      <c r="C133" s="415"/>
      <c r="D133" s="410" t="s">
        <v>142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4">
        <v>2</v>
      </c>
      <c r="C134" s="415"/>
      <c r="D134" s="410" t="s">
        <v>143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4">
        <v>3</v>
      </c>
      <c r="C135" s="415"/>
      <c r="D135" s="410" t="s">
        <v>144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139" customFormat="1" ht="30" customHeight="1">
      <c r="B136" s="430" t="s">
        <v>145</v>
      </c>
      <c r="C136" s="431"/>
      <c r="D136" s="431"/>
      <c r="E136" s="431"/>
      <c r="F136" s="431"/>
      <c r="G136" s="431"/>
      <c r="H136" s="431"/>
      <c r="I136" s="431"/>
      <c r="J136" s="431"/>
      <c r="K136" s="431"/>
      <c r="L136" s="431"/>
      <c r="M136" s="431"/>
      <c r="N136" s="432"/>
    </row>
    <row r="137" spans="2:14" s="139" customFormat="1" ht="30" customHeight="1">
      <c r="B137" s="433" t="s">
        <v>146</v>
      </c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5"/>
    </row>
    <row r="138" spans="2:14" s="93" customFormat="1" ht="24.95" customHeight="1">
      <c r="B138" s="414">
        <v>1</v>
      </c>
      <c r="C138" s="415"/>
      <c r="D138" s="410" t="s">
        <v>147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4" s="93" customFormat="1" ht="24.95" customHeight="1">
      <c r="B139" s="414">
        <v>2</v>
      </c>
      <c r="C139" s="415"/>
      <c r="D139" s="410" t="s">
        <v>401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4">
        <v>3</v>
      </c>
      <c r="C140" s="415"/>
      <c r="D140" s="410" t="s">
        <v>148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4">
        <v>4</v>
      </c>
      <c r="C141" s="415"/>
      <c r="D141" s="410" t="s">
        <v>149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4">
        <v>5</v>
      </c>
      <c r="C142" s="415"/>
      <c r="D142" s="410" t="s">
        <v>150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4">
        <v>6</v>
      </c>
      <c r="C143" s="415"/>
      <c r="D143" s="410" t="s">
        <v>151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140" customFormat="1" ht="30" customHeight="1">
      <c r="B144" s="430" t="s">
        <v>152</v>
      </c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2"/>
    </row>
    <row r="145" spans="2:14" s="93" customFormat="1" ht="24.95" customHeight="1">
      <c r="B145" s="414">
        <v>1</v>
      </c>
      <c r="C145" s="415"/>
      <c r="D145" s="410" t="s">
        <v>153</v>
      </c>
      <c r="E145" s="410"/>
      <c r="F145" s="410"/>
      <c r="G145" s="410"/>
      <c r="H145" s="410"/>
      <c r="I145" s="410"/>
      <c r="J145" s="410"/>
      <c r="K145" s="410"/>
      <c r="L145" s="410"/>
      <c r="M145" s="410"/>
      <c r="N145" s="411"/>
    </row>
    <row r="146" spans="2:14" s="93" customFormat="1" ht="135" customHeight="1">
      <c r="B146" s="414">
        <v>2</v>
      </c>
      <c r="C146" s="415"/>
      <c r="D146" s="416" t="s">
        <v>420</v>
      </c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93" customFormat="1" ht="24.95" customHeight="1">
      <c r="B147" s="414">
        <v>3</v>
      </c>
      <c r="C147" s="415"/>
      <c r="D147" s="410" t="s">
        <v>154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93" customFormat="1" ht="24.95" customHeight="1">
      <c r="B148" s="414">
        <v>4</v>
      </c>
      <c r="C148" s="415"/>
      <c r="D148" s="410" t="s">
        <v>155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140" customFormat="1" ht="30" customHeight="1">
      <c r="B149" s="430" t="s">
        <v>156</v>
      </c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2"/>
    </row>
    <row r="150" spans="2:14" s="93" customFormat="1" ht="24.95" customHeight="1">
      <c r="B150" s="414">
        <v>1</v>
      </c>
      <c r="C150" s="415"/>
      <c r="D150" s="410" t="s">
        <v>157</v>
      </c>
      <c r="E150" s="410"/>
      <c r="F150" s="410"/>
      <c r="G150" s="410"/>
      <c r="H150" s="410"/>
      <c r="I150" s="410"/>
      <c r="J150" s="410"/>
      <c r="K150" s="410"/>
      <c r="L150" s="410"/>
      <c r="M150" s="410"/>
      <c r="N150" s="411"/>
    </row>
    <row r="151" spans="2:14" s="93" customFormat="1" ht="55.9" customHeight="1">
      <c r="B151" s="414">
        <v>2</v>
      </c>
      <c r="C151" s="415"/>
      <c r="D151" s="416" t="s">
        <v>158</v>
      </c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140" customFormat="1" ht="30" customHeight="1">
      <c r="B152" s="430" t="s">
        <v>159</v>
      </c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2"/>
    </row>
    <row r="153" spans="2:14" s="93" customFormat="1" ht="24.95" customHeight="1">
      <c r="B153" s="414">
        <v>1</v>
      </c>
      <c r="C153" s="415"/>
      <c r="D153" s="438" t="s">
        <v>160</v>
      </c>
      <c r="E153" s="438"/>
      <c r="F153" s="438"/>
      <c r="G153" s="438"/>
      <c r="H153" s="438"/>
      <c r="I153" s="438"/>
      <c r="J153" s="438"/>
      <c r="K153" s="438"/>
      <c r="L153" s="438"/>
      <c r="M153" s="438"/>
      <c r="N153" s="439"/>
    </row>
    <row r="154" spans="2:14" s="93" customFormat="1" ht="24.95" customHeight="1">
      <c r="B154" s="414">
        <v>2</v>
      </c>
      <c r="C154" s="415"/>
      <c r="D154" s="438" t="s">
        <v>161</v>
      </c>
      <c r="E154" s="438"/>
      <c r="F154" s="438"/>
      <c r="G154" s="438"/>
      <c r="H154" s="438"/>
      <c r="I154" s="438"/>
      <c r="J154" s="438"/>
      <c r="K154" s="438"/>
      <c r="L154" s="438"/>
      <c r="M154" s="438"/>
      <c r="N154" s="439"/>
    </row>
    <row r="155" spans="2:14" s="93" customFormat="1" ht="49.9" customHeight="1">
      <c r="B155" s="414">
        <v>3</v>
      </c>
      <c r="C155" s="415"/>
      <c r="D155" s="443" t="s">
        <v>162</v>
      </c>
      <c r="E155" s="444"/>
      <c r="F155" s="444"/>
      <c r="G155" s="444"/>
      <c r="H155" s="444"/>
      <c r="I155" s="444"/>
      <c r="J155" s="444"/>
      <c r="K155" s="444"/>
      <c r="L155" s="444"/>
      <c r="M155" s="444"/>
      <c r="N155" s="445"/>
    </row>
    <row r="156" spans="2:14" s="93" customFormat="1" ht="24.95" customHeight="1">
      <c r="B156" s="414">
        <v>4</v>
      </c>
      <c r="C156" s="415"/>
      <c r="D156" s="438" t="s">
        <v>163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140" customFormat="1" ht="30" customHeight="1">
      <c r="B157" s="430" t="s">
        <v>164</v>
      </c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2"/>
    </row>
    <row r="158" spans="2:14" s="93" customFormat="1" ht="24.95" customHeight="1">
      <c r="B158" s="414">
        <v>1</v>
      </c>
      <c r="C158" s="415"/>
      <c r="D158" s="438" t="s">
        <v>165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93" customFormat="1" ht="24.95" customHeight="1">
      <c r="B159" s="414">
        <v>2</v>
      </c>
      <c r="C159" s="415"/>
      <c r="D159" s="438" t="s">
        <v>166</v>
      </c>
      <c r="E159" s="438"/>
      <c r="F159" s="438"/>
      <c r="G159" s="438"/>
      <c r="H159" s="438"/>
      <c r="I159" s="438"/>
      <c r="J159" s="438"/>
      <c r="K159" s="438"/>
      <c r="L159" s="438"/>
      <c r="M159" s="438"/>
      <c r="N159" s="439"/>
    </row>
    <row r="160" spans="2:14" s="93" customFormat="1" ht="24.95" customHeight="1">
      <c r="B160" s="414">
        <v>3</v>
      </c>
      <c r="C160" s="415"/>
      <c r="D160" s="438" t="s">
        <v>167</v>
      </c>
      <c r="E160" s="438"/>
      <c r="F160" s="438"/>
      <c r="G160" s="438"/>
      <c r="H160" s="438"/>
      <c r="I160" s="438"/>
      <c r="J160" s="438"/>
      <c r="K160" s="438"/>
      <c r="L160" s="438"/>
      <c r="M160" s="438"/>
      <c r="N160" s="439"/>
    </row>
    <row r="161" spans="2:14" s="93" customFormat="1" ht="24.95" customHeight="1">
      <c r="B161" s="414">
        <v>4</v>
      </c>
      <c r="C161" s="415"/>
      <c r="D161" s="438" t="s">
        <v>400</v>
      </c>
      <c r="E161" s="438"/>
      <c r="F161" s="438"/>
      <c r="G161" s="438"/>
      <c r="H161" s="438"/>
      <c r="I161" s="438"/>
      <c r="J161" s="438"/>
      <c r="K161" s="438"/>
      <c r="L161" s="438"/>
      <c r="M161" s="438"/>
      <c r="N161" s="439"/>
    </row>
    <row r="162" spans="2:14" s="93" customFormat="1" ht="24.95" customHeight="1">
      <c r="B162" s="440" t="s">
        <v>239</v>
      </c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40" t="s">
        <v>240</v>
      </c>
      <c r="C163" s="441"/>
      <c r="D163" s="441"/>
      <c r="E163" s="441"/>
      <c r="F163" s="441"/>
      <c r="G163" s="441"/>
      <c r="H163" s="441"/>
      <c r="I163" s="441"/>
      <c r="J163" s="441"/>
      <c r="K163" s="441"/>
      <c r="L163" s="441"/>
      <c r="M163" s="441"/>
      <c r="N163" s="442"/>
    </row>
    <row r="164" spans="2:14" s="93" customFormat="1" ht="41.25" customHeight="1">
      <c r="B164" s="461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3"/>
    </row>
    <row r="165" spans="2:14" s="93" customFormat="1" ht="39.950000000000003" customHeight="1">
      <c r="B165" s="464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</row>
    <row r="166" spans="2:14" s="93" customFormat="1" ht="41.25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39.950000000000003" customHeight="1" thickBot="1">
      <c r="B167" s="467"/>
      <c r="C167" s="468"/>
      <c r="D167" s="468"/>
      <c r="E167" s="468"/>
      <c r="F167" s="468"/>
      <c r="G167" s="468"/>
      <c r="H167" s="468"/>
      <c r="I167" s="468"/>
      <c r="J167" s="468"/>
      <c r="K167" s="468"/>
      <c r="L167" s="468"/>
      <c r="M167" s="468"/>
      <c r="N167" s="469"/>
    </row>
    <row r="168" spans="2:14" s="93" customFormat="1" ht="30" customHeight="1" thickTop="1">
      <c r="B168" s="451" t="s">
        <v>110</v>
      </c>
      <c r="C168" s="452"/>
      <c r="D168" s="452"/>
      <c r="E168" s="455"/>
      <c r="F168" s="456"/>
      <c r="G168" s="456"/>
      <c r="H168" s="456"/>
      <c r="I168" s="456"/>
      <c r="J168" s="456"/>
      <c r="K168" s="456"/>
      <c r="L168" s="457"/>
      <c r="M168" s="452" t="s">
        <v>204</v>
      </c>
      <c r="N168" s="453"/>
    </row>
    <row r="169" spans="2:14" s="93" customFormat="1" ht="33" customHeight="1" thickBot="1">
      <c r="B169" s="454" t="s">
        <v>107</v>
      </c>
      <c r="C169" s="449"/>
      <c r="D169" s="449"/>
      <c r="E169" s="458"/>
      <c r="F169" s="459"/>
      <c r="G169" s="459"/>
      <c r="H169" s="459"/>
      <c r="I169" s="459"/>
      <c r="J169" s="459"/>
      <c r="K169" s="459"/>
      <c r="L169" s="460"/>
      <c r="M169" s="449" t="s">
        <v>108</v>
      </c>
      <c r="N169" s="450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B132:N132"/>
    <mergeCell ref="B128:N128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9:C129"/>
    <mergeCell ref="D129:N129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43725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Venkatesh Residence</v>
      </c>
      <c r="E3" s="519"/>
      <c r="F3" s="522" t="s">
        <v>245</v>
      </c>
      <c r="G3" s="523">
        <f>QUOTATION!N8</f>
        <v>43725</v>
      </c>
    </row>
    <row r="4" spans="3:13">
      <c r="C4" s="297" t="s">
        <v>242</v>
      </c>
      <c r="D4" s="520" t="str">
        <f>QUOTATION!M6</f>
        <v>ABPL-DE-19.20-2197</v>
      </c>
      <c r="E4" s="520"/>
      <c r="F4" s="522"/>
      <c r="G4" s="524"/>
    </row>
    <row r="5" spans="3:13">
      <c r="C5" s="297" t="s">
        <v>127</v>
      </c>
      <c r="D5" s="519" t="str">
        <f>QUOTATION!F8</f>
        <v>Bangalore</v>
      </c>
      <c r="E5" s="519"/>
      <c r="F5" s="522"/>
      <c r="G5" s="524"/>
    </row>
    <row r="6" spans="3:13">
      <c r="C6" s="297" t="s">
        <v>168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1Kpa</v>
      </c>
      <c r="E10" s="519"/>
      <c r="F10" s="522"/>
      <c r="G10" s="524"/>
    </row>
    <row r="11" spans="3:13">
      <c r="C11" s="297" t="s">
        <v>241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243</v>
      </c>
      <c r="D12" s="521">
        <f>QUOTATION!M7</f>
        <v>43725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10903.489999999998</v>
      </c>
      <c r="F14" s="205"/>
      <c r="G14" s="206">
        <f>E14</f>
        <v>10903.489999999998</v>
      </c>
    </row>
    <row r="15" spans="3:13">
      <c r="C15" s="194" t="s">
        <v>234</v>
      </c>
      <c r="D15" s="296">
        <f>'Changable Values'!D4</f>
        <v>83</v>
      </c>
      <c r="E15" s="199">
        <f>E14*D15</f>
        <v>904989.66999999981</v>
      </c>
      <c r="F15" s="205"/>
      <c r="G15" s="207">
        <f>E15</f>
        <v>904989.66999999981</v>
      </c>
    </row>
    <row r="16" spans="3:13">
      <c r="C16" s="195" t="s">
        <v>97</v>
      </c>
      <c r="D16" s="200">
        <f>'Changable Values'!D5</f>
        <v>0.1</v>
      </c>
      <c r="E16" s="199">
        <f>E15*D16</f>
        <v>90498.96699999999</v>
      </c>
      <c r="F16" s="208">
        <f>'Changable Values'!D5</f>
        <v>0.1</v>
      </c>
      <c r="G16" s="207">
        <f>G15*F16</f>
        <v>90498.96699999999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109503.75006999998</v>
      </c>
      <c r="F17" s="208">
        <f>'Changable Values'!D6</f>
        <v>0.11</v>
      </c>
      <c r="G17" s="207">
        <f>SUM(G15:G16)*F17</f>
        <v>109503.75006999998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5524.9619353499984</v>
      </c>
      <c r="F18" s="208">
        <f>'Changable Values'!D7</f>
        <v>5.0000000000000001E-3</v>
      </c>
      <c r="G18" s="207">
        <f>SUM(G15:G17)*F18</f>
        <v>5524.9619353499984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11105.173490053498</v>
      </c>
      <c r="F19" s="208">
        <f>'Changable Values'!D8</f>
        <v>0.01</v>
      </c>
      <c r="G19" s="207">
        <f>SUM(G15:G18)*F19</f>
        <v>11105.173490053498</v>
      </c>
    </row>
    <row r="20" spans="3:7">
      <c r="C20" s="195" t="s">
        <v>99</v>
      </c>
      <c r="D20" s="201"/>
      <c r="E20" s="199">
        <f>SUM(E15:E19)</f>
        <v>1121622.5224954032</v>
      </c>
      <c r="F20" s="208"/>
      <c r="G20" s="207">
        <f>SUM(G15:G19)</f>
        <v>1121622.5224954032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16824.337837431049</v>
      </c>
      <c r="F21" s="208">
        <f>'Changable Values'!D9</f>
        <v>1.4999999999999999E-2</v>
      </c>
      <c r="G21" s="207">
        <f>G20*F21</f>
        <v>16824.337837431049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263180.31404800003</v>
      </c>
      <c r="F23" s="209"/>
      <c r="G23" s="207">
        <f t="shared" si="0"/>
        <v>263180.31404800003</v>
      </c>
    </row>
    <row r="24" spans="3:7">
      <c r="C24" s="195" t="s">
        <v>229</v>
      </c>
      <c r="D24" s="198"/>
      <c r="E24" s="199">
        <f>'Cost Calculation'!AH111</f>
        <v>48676.934360655738</v>
      </c>
      <c r="F24" s="209"/>
      <c r="G24" s="207">
        <f t="shared" si="0"/>
        <v>48676.934360655738</v>
      </c>
    </row>
    <row r="25" spans="3:7">
      <c r="C25" s="196" t="s">
        <v>237</v>
      </c>
      <c r="D25" s="198"/>
      <c r="E25" s="199">
        <f>'Cost Calculation'!AJ109</f>
        <v>36541.149278399993</v>
      </c>
      <c r="F25" s="209"/>
      <c r="G25" s="207">
        <f t="shared" si="0"/>
        <v>36541.149278399993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170126.83265759997</v>
      </c>
      <c r="F27" s="209"/>
      <c r="G27" s="207">
        <f t="shared" si="0"/>
        <v>170126.83265759997</v>
      </c>
    </row>
    <row r="28" spans="3:7">
      <c r="C28" s="195" t="s">
        <v>88</v>
      </c>
      <c r="D28" s="198"/>
      <c r="E28" s="199">
        <f>'Cost Calculation'!AN109</f>
        <v>136101.46612607996</v>
      </c>
      <c r="F28" s="209"/>
      <c r="G28" s="207">
        <f t="shared" si="0"/>
        <v>136101.46612607996</v>
      </c>
    </row>
    <row r="29" spans="3:7">
      <c r="C29" s="293" t="s">
        <v>378</v>
      </c>
      <c r="D29" s="294"/>
      <c r="E29" s="295">
        <f>SUM(E20:E28)</f>
        <v>1793073.5568035699</v>
      </c>
      <c r="F29" s="209"/>
      <c r="G29" s="207">
        <f>SUM(G20:G21,G24)</f>
        <v>1187123.79469349</v>
      </c>
    </row>
    <row r="30" spans="3:7">
      <c r="C30" s="293" t="s">
        <v>379</v>
      </c>
      <c r="D30" s="294"/>
      <c r="E30" s="295">
        <f>E29/E33</f>
        <v>1053.9628163255932</v>
      </c>
      <c r="F30" s="209"/>
      <c r="G30" s="207"/>
    </row>
    <row r="31" spans="3:7">
      <c r="C31" s="195" t="s">
        <v>4</v>
      </c>
      <c r="D31" s="202">
        <f>'Changable Values'!D23</f>
        <v>1.5</v>
      </c>
      <c r="E31" s="199">
        <f>(E29-SUM(E22:E23,E25:E28))*D31</f>
        <v>1780685.692040235</v>
      </c>
      <c r="F31" s="214">
        <f>'Changable Values'!D23</f>
        <v>1.5</v>
      </c>
      <c r="G31" s="207">
        <f>G29*F31</f>
        <v>1780685.692040235</v>
      </c>
    </row>
    <row r="32" spans="3:7">
      <c r="C32" s="290" t="s">
        <v>5</v>
      </c>
      <c r="D32" s="291"/>
      <c r="E32" s="292">
        <f>E31+E29</f>
        <v>3573759.2488438049</v>
      </c>
      <c r="F32" s="205"/>
      <c r="G32" s="207">
        <f>SUM(G25:G31,G22:G23)</f>
        <v>3573759.2488438054</v>
      </c>
    </row>
    <row r="33" spans="3:7">
      <c r="C33" s="300" t="s">
        <v>230</v>
      </c>
      <c r="D33" s="301"/>
      <c r="E33" s="308">
        <f>'Cost Calculation'!K109</f>
        <v>1701.2683265759999</v>
      </c>
      <c r="F33" s="210"/>
      <c r="G33" s="211">
        <f>E33</f>
        <v>1701.2683265759999</v>
      </c>
    </row>
    <row r="34" spans="3:7">
      <c r="C34" s="302" t="s">
        <v>9</v>
      </c>
      <c r="D34" s="303"/>
      <c r="E34" s="304">
        <f>QUOTATION!L116</f>
        <v>30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2100.6440859546306</v>
      </c>
      <c r="F35" s="212"/>
      <c r="G35" s="213">
        <f>G32/(G33)</f>
        <v>2100.6440859546306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2019-09-17T11:38:51Z</cp:lastPrinted>
  <dcterms:created xsi:type="dcterms:W3CDTF">2010-12-18T06:34:46Z</dcterms:created>
  <dcterms:modified xsi:type="dcterms:W3CDTF">2019-09-21T06:58:46Z</dcterms:modified>
</cp:coreProperties>
</file>