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Drawings!$C$2:$O$62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4" i="158" l="1"/>
  <c r="N6" i="166" l="1"/>
  <c r="U3" i="169" l="1"/>
  <c r="U4" i="169"/>
  <c r="U5" i="169"/>
  <c r="U6" i="169"/>
  <c r="U2" i="169"/>
  <c r="T3" i="169"/>
  <c r="T4" i="169"/>
  <c r="T5" i="169"/>
  <c r="T6" i="169"/>
  <c r="T2" i="169"/>
  <c r="S2" i="169"/>
  <c r="S3" i="169"/>
  <c r="S4" i="169"/>
  <c r="S5" i="169"/>
  <c r="S6" i="169"/>
  <c r="R2" i="169"/>
  <c r="R3" i="169"/>
  <c r="R4" i="169"/>
  <c r="R5" i="169"/>
  <c r="R6" i="169"/>
  <c r="Q3" i="169"/>
  <c r="Q4" i="169"/>
  <c r="Q5" i="169"/>
  <c r="Q6" i="169"/>
  <c r="Q2" i="169"/>
  <c r="P3" i="169"/>
  <c r="P4" i="169"/>
  <c r="P5" i="169"/>
  <c r="P6" i="169"/>
  <c r="P2" i="169"/>
  <c r="O2" i="169"/>
  <c r="O3" i="169"/>
  <c r="O4" i="169"/>
  <c r="O5" i="169"/>
  <c r="O6" i="169"/>
  <c r="N3" i="169"/>
  <c r="N4" i="169"/>
  <c r="N5" i="169"/>
  <c r="N6" i="169"/>
  <c r="M3" i="169"/>
  <c r="M4" i="169"/>
  <c r="M5" i="169"/>
  <c r="M6" i="169"/>
  <c r="M2" i="169"/>
  <c r="L3" i="169"/>
  <c r="L4" i="169"/>
  <c r="L5" i="169"/>
  <c r="L6" i="169"/>
  <c r="L2" i="169"/>
  <c r="K2" i="169"/>
  <c r="K3" i="169"/>
  <c r="K4" i="169"/>
  <c r="K5" i="169"/>
  <c r="K6" i="169"/>
  <c r="J3" i="169"/>
  <c r="J4" i="169"/>
  <c r="J5" i="169"/>
  <c r="J6" i="169"/>
  <c r="J2" i="169"/>
  <c r="I3" i="169"/>
  <c r="I4" i="169"/>
  <c r="I5" i="169"/>
  <c r="I6" i="169"/>
  <c r="I2" i="169"/>
  <c r="F3" i="169"/>
  <c r="F4" i="169"/>
  <c r="F5" i="169"/>
  <c r="F6" i="169"/>
  <c r="F2" i="169"/>
  <c r="E3" i="169"/>
  <c r="E4" i="169"/>
  <c r="E5" i="169"/>
  <c r="E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A3" i="169"/>
  <c r="A4" i="169"/>
  <c r="A5" i="169"/>
  <c r="A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I16" i="160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12" i="159" l="1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N19" i="160" l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AQ109" i="159"/>
  <c r="AR8" i="159"/>
  <c r="N117" i="160" l="1"/>
  <c r="AT8" i="159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<sst xmlns="http://schemas.openxmlformats.org/spreadsheetml/2006/main" count="1948" uniqueCount="447">
  <si>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</si>
  <si>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</si>
  <si>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</si>
  <si>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</si>
  <si>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</si>
  <si>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</si>
  <si>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</si>
  <si>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</si>
  <si>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</si>
  <si>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</si>
  <si>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</si>
  <si>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</si>
  <si>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</si>
  <si>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</si>
  <si>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</si>
  <si>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</si>
  <si>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</si>
  <si>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</si>
  <si>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</si>
  <si>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</si>
  <si>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</si>
  <si>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</si>
  <si>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</si>
  <si>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</si>
  <si>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</si>
  <si>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</si>
  <si>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</si>
  <si>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</si>
  <si>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</si>
  <si>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</si>
  <si>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</si>
  <si>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</si>
  <si>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</si>
  <si>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</si>
  <si>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</si>
  <si>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</si>
  <si>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</si>
  <si>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</si>
  <si>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</si>
  <si>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</si>
  <si>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</si>
  <si>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</si>
  <si>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</si>
  <si>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</si>
  <si>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</si>
  <si>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</si>
  <si>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</si>
  <si>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</si>
  <si>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</si>
  <si>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</si>
  <si>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</si>
  <si>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</si>
  <si>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</si>
  <si>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</si>
  <si>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</si>
  <si>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</si>
  <si>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</si>
  <si>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</si>
  <si>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</si>
  <si>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</si>
  <si>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</si>
  <si>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</si>
  <si>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</si>
  <si>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</si>
  <si>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</si>
  <si>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</si>
  <si>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</si>
  <si>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</si>
  <si>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</si>
  <si>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</si>
  <si>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</si>
  <si>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</si>
  <si>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</si>
  <si>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</si>
  <si>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</si>
  <si>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</si>
  <si>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</si>
  <si>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</si>
  <si>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</si>
  <si>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</si>
  <si>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</si>
  <si>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</si>
  <si>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</si>
  <si>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</si>
  <si>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</si>
  <si>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</si>
  <si>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</si>
  <si>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</si>
  <si>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</si>
  <si>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</si>
  <si>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</si>
  <si>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</si>
  <si>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</si>
  <si>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</si>
  <si>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</si>
  <si>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</si>
  <si>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</si>
  <si>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</si>
  <si>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</si>
  <si>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</si>
  <si>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</si>
  <si>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</si>
  <si>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</si>
  <si>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</si>
  <si>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</si>
  <si>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</si>
  <si>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</si>
  <si>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</si>
  <si>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</si>
  <si>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</si>
  <si>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</si>
  <si>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</si>
  <si>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</si>
  <si>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</si>
  <si>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</si>
  <si>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</si>
  <si>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</si>
  <si>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</si>
  <si>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</si>
  <si>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</si>
  <si>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</si>
  <si>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</si>
  <si>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</si>
  <si>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</si>
  <si>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</si>
  <si>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</si>
  <si>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</si>
  <si>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</si>
  <si>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</si>
  <si>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</si>
  <si>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</si>
  <si>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</si>
  <si>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</si>
  <si>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</si>
  <si>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</si>
  <si>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</si>
  <si>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</si>
  <si>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</si>
  <si>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</si>
  <si>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</si>
  <si>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</si>
  <si>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</si>
  <si>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</si>
  <si>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</si>
  <si>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</si>
  <si>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</si>
  <si>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</si>
  <si>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</si>
  <si>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</si>
  <si>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</si>
  <si>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</si>
  <si>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</si>
  <si>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</si>
  <si>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</si>
  <si>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</si>
  <si>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</si>
  <si>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</si>
  <si>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</si>
  <si>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</si>
  <si>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</si>
  <si>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</si>
  <si>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</si>
  <si>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</si>
  <si>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</si>
  <si>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</si>
  <si>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</si>
  <si>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</si>
  <si>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</si>
  <si>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</si>
  <si>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</si>
  <si>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</si>
  <si>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</si>
  <si>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</si>
  <si>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</si>
  <si>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</si>
  <si>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</si>
  <si>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</si>
  <si>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</si>
  <si>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</si>
  <si>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</si>
  <si>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</si>
  <si>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</si>
  <si>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</si>
  <si>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</si>
  <si>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</si>
  <si>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</si>
  <si>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</si>
  <si>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</si>
  <si>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</si>
  <si>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</si>
  <si>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</si>
  <si>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</si>
  <si>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</si>
  <si>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</si>
  <si>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</si>
  <si>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</si>
  <si>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</si>
  <si>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</si>
  <si>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</si>
  <si>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</si>
  <si>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</si>
  <si>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</si>
  <si>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</si>
  <si>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</si>
  <si>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</si>
  <si>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</si>
  <si>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</si>
  <si>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</si>
  <si>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</si>
  <si>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</si>
  <si>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</si>
  <si>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</si>
  <si>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</si>
  <si>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</si>
  <si>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</si>
  <si>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</si>
  <si>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</si>
  <si>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</si>
  <si>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</si>
  <si>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</si>
  <si>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</si>
  <si>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</si>
  <si>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</si>
  <si>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</si>
  <si>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</si>
  <si>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</si>
  <si>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</si>
  <si>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</si>
  <si>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</si>
  <si>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</si>
  <si>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</si>
  <si>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</si>
  <si>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</si>
  <si>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</si>
  <si>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</si>
  <si>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</si>
  <si>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</si>
  <si>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</si>
  <si>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</si>
  <si>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</si>
  <si>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</si>
  <si>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</si>
  <si>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</si>
  <si>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</si>
  <si>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</si>
  <si>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</si>
  <si>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</si>
  <si>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</si>
  <si>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</si>
  <si>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</si>
  <si>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</si>
  <si>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</si>
  <si>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</si>
  <si>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</si>
  <si>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</si>
  <si>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</si>
  <si>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</si>
  <si>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</si>
  <si>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</si>
  <si>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</si>
  <si>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</si>
  <si>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</si>
  <si>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</si>
  <si>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</si>
  <si>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</si>
  <si>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</si>
  <si>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</si>
  <si>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</si>
  <si>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</si>
  <si>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</si>
  <si>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</si>
  <si>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</si>
  <si>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</si>
  <si>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</si>
  <si>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</si>
  <si>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</si>
  <si>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</si>
  <si>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</si>
  <si>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</si>
  <si>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</si>
  <si>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</si>
  <si>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</si>
  <si>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</si>
  <si>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</si>
  <si>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</si>
  <si>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</si>
  <si>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</si>
  <si>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</si>
  <si>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</si>
  <si>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</si>
  <si>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</si>
  <si>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</si>
  <si>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</si>
  <si>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</si>
  <si>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</si>
  <si>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</si>
  <si>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</si>
  <si>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</si>
  <si>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</si>
  <si>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</si>
  <si>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</si>
  <si>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</si>
  <si>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</si>
  <si>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</si>
  <si>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</si>
  <si>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</si>
  <si>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</si>
  <si>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</si>
  <si>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</si>
  <si>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</si>
  <si>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</si>
  <si>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</si>
  <si>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</si>
  <si>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</si>
  <si>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</si>
  <si>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</si>
  <si>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</si>
  <si>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</si>
  <si>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</si>
  <si>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</si>
  <si>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</si>
  <si>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</si>
  <si>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</si>
  <si>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</si>
  <si>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</si>
  <si>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</si>
  <si>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</si>
  <si>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</si>
  <si>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</si>
  <si>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</si>
  <si>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</si>
  <si>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</si>
  <si>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</si>
  <si>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</si>
  <si>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</si>
  <si>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</si>
  <si>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</si>
  <si>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</si>
  <si>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</si>
  <si>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</si>
  <si>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</si>
  <si>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</si>
  <si>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</si>
  <si>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</si>
  <si>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</si>
  <si>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</si>
  <si>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</si>
  <si>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</si>
  <si>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</si>
  <si>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</si>
  <si>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</si>
  <si>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</si>
  <si>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</si>
  <si>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</si>
  <si>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</si>
  <si>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</si>
  <si>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</si>
  <si>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</si>
  <si>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</si>
  <si>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</si>
  <si>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</si>
  <si>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</si>
  <si>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</si>
  <si>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</si>
  <si>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</si>
  <si>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</si>
  <si>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</si>
  <si>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</si>
  <si>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</si>
  <si>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</si>
  <si>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</si>
  <si>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</si>
  <si>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</si>
  <si>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</si>
  <si>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</si>
  <si>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</si>
  <si>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</si>
  <si>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</si>
  <si>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</si>
  <si>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</si>
  <si>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</si>
  <si>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</si>
  <si>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</si>
  <si>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</si>
  <si>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</si>
  <si>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</si>
  <si>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</si>
  <si>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</si>
  <si>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</si>
  <si>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</si>
  <si>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</si>
  <si>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</si>
  <si>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</si>
  <si>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</si>
  <si>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</si>
  <si>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</si>
  <si>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</si>
  <si>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</si>
  <si>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</si>
  <si>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</si>
  <si>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</si>
  <si>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</si>
  <si>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</si>
  <si>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</si>
  <si>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</si>
  <si>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</si>
  <si>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</si>
  <si>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</si>
  <si>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</si>
  <si>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</si>
  <si>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</si>
  <si>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</si>
  <si>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</si>
  <si>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</si>
  <si>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</si>
  <si>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</si>
  <si>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</si>
  <si>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</si>
  <si>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</si>
  <si>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</si>
  <si>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Mr. Narasimha Reddy</t>
  </si>
  <si>
    <t>Wood Effect</t>
  </si>
  <si>
    <t>1Kpa</t>
  </si>
  <si>
    <t>ABPL-DE-19.20-2200</t>
  </si>
  <si>
    <t>Axisarchs</t>
  </si>
  <si>
    <t>SD</t>
  </si>
  <si>
    <t>M14600</t>
  </si>
  <si>
    <t>3 TRACK 2 SHUTTER SLIDING DOOR</t>
  </si>
  <si>
    <t>17.52MM</t>
  </si>
  <si>
    <t>SS</t>
  </si>
  <si>
    <t>GF - INFORMAL LIVING, DINING &amp; FF - STUDY</t>
  </si>
  <si>
    <t>17.52mm :- 8mm Clear Toughened Glass + 1.52mm Clear PVB + 8mm Clear Toughened Glass</t>
  </si>
  <si>
    <t>W2</t>
  </si>
  <si>
    <t>M15000</t>
  </si>
  <si>
    <t>FRENCH CASEMENT DOOR</t>
  </si>
  <si>
    <t>NO</t>
  </si>
  <si>
    <t>FF - DAUGHTER'S BEDROOM</t>
  </si>
  <si>
    <t>D3</t>
  </si>
  <si>
    <t>FF - DAUGHTER'S BEDROOM &amp; SF - NEAR STAIRCASE</t>
  </si>
  <si>
    <t>FRENCH CASEMENT WINDOW</t>
  </si>
  <si>
    <t>FG2</t>
  </si>
  <si>
    <t>FIXED GLASS CORNOR JOINT</t>
  </si>
  <si>
    <t>GF - NEAR ENTRANCE</t>
  </si>
  <si>
    <t>CW</t>
  </si>
  <si>
    <t>2 FRENCH CASEMENT DOORS WITH FIXED GLASS WITH SILICON JOINT</t>
  </si>
  <si>
    <t>GF - FORMAL LIVING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</si>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</sst>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Relationship Id="rId5" Type="http://schemas.openxmlformats.org/officeDocument/2006/relationships/image" Target="../media/image8.tmp"/><Relationship Id="rId4" Type="http://schemas.openxmlformats.org/officeDocument/2006/relationships/image" Target="../media/image7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530087</xdr:colOff>
      <xdr:row>8</xdr:row>
      <xdr:rowOff>57978</xdr:rowOff>
    </xdr:from>
    <xdr:to>
      <xdr:col>7</xdr:col>
      <xdr:colOff>240196</xdr:colOff>
      <xdr:row>16</xdr:row>
      <xdr:rowOff>284452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1532282"/>
          <a:ext cx="2774674" cy="2744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463826</xdr:colOff>
      <xdr:row>19</xdr:row>
      <xdr:rowOff>74546</xdr:rowOff>
    </xdr:from>
    <xdr:to>
      <xdr:col>6</xdr:col>
      <xdr:colOff>248479</xdr:colOff>
      <xdr:row>27</xdr:row>
      <xdr:rowOff>256366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6" y="4861894"/>
          <a:ext cx="1764196" cy="26997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447260</xdr:colOff>
      <xdr:row>30</xdr:row>
      <xdr:rowOff>41412</xdr:rowOff>
    </xdr:from>
    <xdr:to>
      <xdr:col>6</xdr:col>
      <xdr:colOff>306457</xdr:colOff>
      <xdr:row>38</xdr:row>
      <xdr:rowOff>244746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60" y="8141803"/>
          <a:ext cx="1838740" cy="2721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521804</xdr:colOff>
      <xdr:row>41</xdr:row>
      <xdr:rowOff>41413</xdr:rowOff>
    </xdr:from>
    <xdr:to>
      <xdr:col>5</xdr:col>
      <xdr:colOff>1896717</xdr:colOff>
      <xdr:row>49</xdr:row>
      <xdr:rowOff>252864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4" y="11454848"/>
          <a:ext cx="1374913" cy="2729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53</xdr:row>
          <xdr:rowOff>133350</xdr:rowOff>
        </xdr:from>
        <xdr:to>
          <xdr:col>10</xdr:col>
          <xdr:colOff>438150</xdr:colOff>
          <xdr:row>59</xdr:row>
          <xdr:rowOff>57150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198782</xdr:colOff>
      <xdr:row>55</xdr:row>
      <xdr:rowOff>306455</xdr:rowOff>
    </xdr:from>
    <xdr:to>
      <xdr:col>5</xdr:col>
      <xdr:colOff>1141572</xdr:colOff>
      <xdr:row>56</xdr:row>
      <xdr:rowOff>220348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1043" y="15977151"/>
          <a:ext cx="1638529" cy="228632"/>
        </a:xfrm>
        <a:prstGeom prst="rect">
          <a:avLst/>
        </a:prstGeom>
      </xdr:spPr>
    </xdr:pic>
    <xdr:clientData/>
  </xdr:twoCellAnchor>
  <xdr:twoCellAnchor editAs="oneCell">
    <xdr:from>
      <xdr:col>5</xdr:col>
      <xdr:colOff>1590261</xdr:colOff>
      <xdr:row>56</xdr:row>
      <xdr:rowOff>16565</xdr:rowOff>
    </xdr:from>
    <xdr:to>
      <xdr:col>9</xdr:col>
      <xdr:colOff>6855</xdr:colOff>
      <xdr:row>56</xdr:row>
      <xdr:rowOff>245197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261" y="16002000"/>
          <a:ext cx="1638529" cy="228632"/>
        </a:xfrm>
        <a:prstGeom prst="rect">
          <a:avLst/>
        </a:prstGeom>
      </xdr:spPr>
    </xdr:pic>
    <xdr:clientData/>
  </xdr:twoCellAnchor>
  <xdr:twoCellAnchor>
    <xdr:from>
      <xdr:col>4</xdr:col>
      <xdr:colOff>447268</xdr:colOff>
      <xdr:row>54</xdr:row>
      <xdr:rowOff>41413</xdr:rowOff>
    </xdr:from>
    <xdr:to>
      <xdr:col>4</xdr:col>
      <xdr:colOff>447268</xdr:colOff>
      <xdr:row>58</xdr:row>
      <xdr:rowOff>91109</xdr:rowOff>
    </xdr:to>
    <xdr:cxnSp macro="">
      <xdr:nvCxnSpPr>
        <xdr:cNvPr id="9" name="Straight Connector 8"/>
        <xdr:cNvCxnSpPr/>
      </xdr:nvCxnSpPr>
      <xdr:spPr>
        <a:xfrm>
          <a:off x="2799529" y="15397370"/>
          <a:ext cx="0" cy="13086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662615</xdr:colOff>
      <xdr:row>54</xdr:row>
      <xdr:rowOff>41413</xdr:rowOff>
    </xdr:from>
    <xdr:to>
      <xdr:col>5</xdr:col>
      <xdr:colOff>662615</xdr:colOff>
      <xdr:row>58</xdr:row>
      <xdr:rowOff>91109</xdr:rowOff>
    </xdr:to>
    <xdr:cxnSp macro="">
      <xdr:nvCxnSpPr>
        <xdr:cNvPr id="11" name="Straight Connector 10"/>
        <xdr:cNvCxnSpPr/>
      </xdr:nvCxnSpPr>
      <xdr:spPr>
        <a:xfrm>
          <a:off x="3710615" y="15397370"/>
          <a:ext cx="0" cy="13086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66267</xdr:colOff>
      <xdr:row>54</xdr:row>
      <xdr:rowOff>41413</xdr:rowOff>
    </xdr:from>
    <xdr:to>
      <xdr:col>7</xdr:col>
      <xdr:colOff>66267</xdr:colOff>
      <xdr:row>58</xdr:row>
      <xdr:rowOff>91109</xdr:rowOff>
    </xdr:to>
    <xdr:cxnSp macro="">
      <xdr:nvCxnSpPr>
        <xdr:cNvPr id="12" name="Straight Connector 11"/>
        <xdr:cNvCxnSpPr/>
      </xdr:nvCxnSpPr>
      <xdr:spPr>
        <a:xfrm>
          <a:off x="5483093" y="15397370"/>
          <a:ext cx="0" cy="13086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3.png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49" sqref="P4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ABPL-DE-19.20-2200</v>
      </c>
      <c r="O2" s="537"/>
      <c r="P2" s="219" t="s">
        <v>256</v>
      </c>
    </row>
    <row r="3" spans="2:16">
      <c r="B3" s="218"/>
      <c r="C3" s="536" t="s">
        <v>126</v>
      </c>
      <c r="D3" s="536"/>
      <c r="E3" s="536"/>
      <c r="F3" s="537" t="str">
        <f>QUOTATION!F7</f>
        <v>Mr. Narasimha Reddy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43727</v>
      </c>
      <c r="O3" s="544"/>
      <c r="P3" s="219" t="s">
        <v>255</v>
      </c>
    </row>
    <row r="4" spans="2:16">
      <c r="B4" s="218"/>
      <c r="C4" s="536" t="s">
        <v>127</v>
      </c>
      <c r="D4" s="536"/>
      <c r="E4" s="536"/>
      <c r="F4" s="285" t="str">
        <f>QUOTATION!F8</f>
        <v>Bangalore</v>
      </c>
      <c r="G4" s="536"/>
      <c r="H4" s="536"/>
      <c r="I4" s="538" t="s">
        <v>179</v>
      </c>
      <c r="J4" s="538"/>
      <c r="K4" s="537" t="str">
        <f>QUOTATION!I8</f>
        <v>1Kpa</v>
      </c>
      <c r="L4" s="537"/>
      <c r="M4" s="284" t="s">
        <v>105</v>
      </c>
      <c r="N4" s="286" t="str">
        <f>QUOTATION!M8</f>
        <v>R1</v>
      </c>
      <c r="O4" s="287">
        <f>QUOTATION!N8</f>
        <v>43729</v>
      </c>
    </row>
    <row r="5" spans="2:16">
      <c r="B5" s="218"/>
      <c r="C5" s="536" t="s">
        <v>168</v>
      </c>
      <c r="D5" s="536"/>
      <c r="E5" s="536"/>
      <c r="F5" s="537" t="str">
        <f>QUOTATION!F9</f>
        <v>Mr. Prasanth : 9591855724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Bal Kumari</v>
      </c>
      <c r="O5" s="537"/>
    </row>
    <row r="6" spans="2:16">
      <c r="B6" s="218"/>
      <c r="C6" s="536" t="s">
        <v>176</v>
      </c>
      <c r="D6" s="536"/>
      <c r="E6" s="536"/>
      <c r="F6" s="285" t="str">
        <f>QUOTATION!F10</f>
        <v>Wood Effect</v>
      </c>
      <c r="G6" s="536"/>
      <c r="H6" s="536"/>
      <c r="I6" s="538" t="s">
        <v>177</v>
      </c>
      <c r="J6" s="538"/>
      <c r="K6" s="537" t="str">
        <f>QUOTATION!I10</f>
        <v>Black</v>
      </c>
      <c r="L6" s="537"/>
      <c r="M6" s="320" t="s">
        <v>372</v>
      </c>
      <c r="N6" s="545" t="str">
        <f>'BD Team'!J5</f>
        <v>Axisarchs</v>
      </c>
      <c r="O6" s="546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253</v>
      </c>
      <c r="D8" s="536"/>
      <c r="E8" s="286" t="str">
        <f>'BD Team'!B9</f>
        <v>SD</v>
      </c>
      <c r="F8" s="288" t="s">
        <v>254</v>
      </c>
      <c r="G8" s="537" t="str">
        <f>'BD Team'!D9</f>
        <v>3 TRACK 2 SHUTTER SLIDING DOOR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GF - INFORMAL LIVING, DINING &amp; FF - STUDY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246</v>
      </c>
      <c r="M10" s="536"/>
      <c r="N10" s="537" t="str">
        <f>$F$6</f>
        <v>Wood Effect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177</v>
      </c>
      <c r="M11" s="536"/>
      <c r="N11" s="537" t="str">
        <f>$K$6</f>
        <v>Black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247</v>
      </c>
      <c r="M12" s="536"/>
      <c r="N12" s="542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248</v>
      </c>
      <c r="M13" s="536"/>
      <c r="N13" s="537" t="str">
        <f>CONCATENATE('BD Team'!H9," X ",'BD Team'!I9)</f>
        <v>3048 X 2440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249</v>
      </c>
      <c r="M14" s="536"/>
      <c r="N14" s="540">
        <f>'BD Team'!J9</f>
        <v>3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250</v>
      </c>
      <c r="M15" s="536"/>
      <c r="N15" s="537" t="str">
        <f>'BD Team'!C9</f>
        <v>M14600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251</v>
      </c>
      <c r="M16" s="536"/>
      <c r="N16" s="537" t="str">
        <f>'BD Team'!E9</f>
        <v>17.52MM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252</v>
      </c>
      <c r="M17" s="536"/>
      <c r="N17" s="537" t="str">
        <f>'BD Team'!F9</f>
        <v>SS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253</v>
      </c>
      <c r="D19" s="536"/>
      <c r="E19" s="286" t="str">
        <f>'BD Team'!B10</f>
        <v>W2</v>
      </c>
      <c r="F19" s="288" t="s">
        <v>254</v>
      </c>
      <c r="G19" s="537" t="str">
        <f>'BD Team'!D10</f>
        <v>FRENCH CASEMENT WINDOW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FF - DAUGHTER'S BEDROOM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246</v>
      </c>
      <c r="M21" s="536"/>
      <c r="N21" s="537" t="str">
        <f>$F$6</f>
        <v>Wood Effect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177</v>
      </c>
      <c r="M22" s="536"/>
      <c r="N22" s="537" t="str">
        <f>$K$6</f>
        <v>Black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247</v>
      </c>
      <c r="M23" s="536"/>
      <c r="N23" s="539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248</v>
      </c>
      <c r="M24" s="536"/>
      <c r="N24" s="537" t="str">
        <f>CONCATENATE('BD Team'!H10," X ",'BD Team'!I10)</f>
        <v>1524 X 2440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249</v>
      </c>
      <c r="M25" s="536"/>
      <c r="N25" s="540">
        <f>'BD Team'!J10</f>
        <v>1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250</v>
      </c>
      <c r="M26" s="536"/>
      <c r="N26" s="537" t="str">
        <f>'BD Team'!C10</f>
        <v>M15000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251</v>
      </c>
      <c r="M27" s="536"/>
      <c r="N27" s="537" t="str">
        <f>'BD Team'!E10</f>
        <v>17.52MM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252</v>
      </c>
      <c r="M28" s="536"/>
      <c r="N28" s="537" t="str">
        <f>'BD Team'!F10</f>
        <v>NO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253</v>
      </c>
      <c r="D30" s="536"/>
      <c r="E30" s="286" t="str">
        <f>'BD Team'!B11</f>
        <v>D3</v>
      </c>
      <c r="F30" s="288" t="s">
        <v>254</v>
      </c>
      <c r="G30" s="537" t="str">
        <f>'BD Team'!D11</f>
        <v>FRENCH CASEMENT DOOR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FF - DAUGHTER'S BEDROOM &amp; SF - NEAR STAIRCASE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246</v>
      </c>
      <c r="M32" s="536"/>
      <c r="N32" s="537" t="str">
        <f>$F$6</f>
        <v>Wood Effect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177</v>
      </c>
      <c r="M33" s="536"/>
      <c r="N33" s="537" t="str">
        <f>$K$6</f>
        <v>Black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247</v>
      </c>
      <c r="M34" s="536"/>
      <c r="N34" s="539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248</v>
      </c>
      <c r="M35" s="536"/>
      <c r="N35" s="537" t="str">
        <f>CONCATENATE('BD Team'!H11," X ",'BD Team'!I11)</f>
        <v>1524 X 2440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249</v>
      </c>
      <c r="M36" s="536"/>
      <c r="N36" s="540">
        <f>'BD Team'!J11</f>
        <v>2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250</v>
      </c>
      <c r="M37" s="536"/>
      <c r="N37" s="537" t="str">
        <f>'BD Team'!C11</f>
        <v>M15000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251</v>
      </c>
      <c r="M38" s="536"/>
      <c r="N38" s="537" t="str">
        <f>'BD Team'!E11</f>
        <v>17.52MM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252</v>
      </c>
      <c r="M39" s="536"/>
      <c r="N39" s="537" t="str">
        <f>'BD Team'!F11</f>
        <v>NO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253</v>
      </c>
      <c r="D41" s="536"/>
      <c r="E41" s="286" t="str">
        <f>'BD Team'!B12</f>
        <v>FG2</v>
      </c>
      <c r="F41" s="288" t="s">
        <v>254</v>
      </c>
      <c r="G41" s="537" t="str">
        <f>'BD Team'!D12</f>
        <v>FIXED GLASS CORNOR JOINT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GF - NEAR ENTRANCE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246</v>
      </c>
      <c r="M43" s="536"/>
      <c r="N43" s="537" t="str">
        <f>$F$6</f>
        <v>Wood Effect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177</v>
      </c>
      <c r="M44" s="536"/>
      <c r="N44" s="537" t="str">
        <f>$K$6</f>
        <v>Black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247</v>
      </c>
      <c r="M45" s="536"/>
      <c r="N45" s="539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248</v>
      </c>
      <c r="M46" s="536"/>
      <c r="N46" s="537" t="str">
        <f>CONCATENATE('BD Team'!H12," X ",'BD Team'!I12)</f>
        <v>2010 X 3810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249</v>
      </c>
      <c r="M47" s="536"/>
      <c r="N47" s="540">
        <f>'BD Team'!J12</f>
        <v>1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250</v>
      </c>
      <c r="M48" s="536"/>
      <c r="N48" s="537" t="str">
        <f>'BD Team'!C12</f>
        <v>M15000</v>
      </c>
      <c r="O48" s="537"/>
    </row>
    <row r="49" spans="2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251</v>
      </c>
      <c r="M49" s="536"/>
      <c r="N49" s="537" t="str">
        <f>'BD Team'!E12</f>
        <v>17.52MM</v>
      </c>
      <c r="O49" s="537"/>
    </row>
    <row r="50" spans="2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252</v>
      </c>
      <c r="M50" s="536"/>
      <c r="N50" s="537" t="str">
        <f>'BD Team'!F12</f>
        <v>NO</v>
      </c>
      <c r="O50" s="537"/>
    </row>
    <row r="51" spans="2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2:15" ht="25.15" customHeight="1">
      <c r="C52" s="535" t="s">
        <v>253</v>
      </c>
      <c r="D52" s="536"/>
      <c r="E52" s="286" t="str">
        <f>'BD Team'!B13</f>
        <v>CW</v>
      </c>
      <c r="F52" s="288" t="s">
        <v>254</v>
      </c>
      <c r="G52" s="537" t="str">
        <f>'BD Team'!D13</f>
        <v>2 FRENCH CASEMENT DOORS WITH FIXED GLASS WITH SILICON JOINT</v>
      </c>
      <c r="H52" s="537"/>
      <c r="I52" s="537"/>
      <c r="J52" s="537"/>
      <c r="K52" s="537"/>
      <c r="L52" s="537"/>
      <c r="M52" s="537"/>
      <c r="N52" s="537"/>
      <c r="O52" s="537"/>
    </row>
    <row r="53" spans="2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GF - FORMAL LIVING</v>
      </c>
      <c r="O53" s="539"/>
    </row>
    <row r="54" spans="2:15" ht="25.15" customHeight="1">
      <c r="B54"/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246</v>
      </c>
      <c r="M54" s="536"/>
      <c r="N54" s="537" t="str">
        <f>$F$6</f>
        <v>Wood Effect</v>
      </c>
      <c r="O54" s="537"/>
    </row>
    <row r="55" spans="2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177</v>
      </c>
      <c r="M55" s="536"/>
      <c r="N55" s="537" t="str">
        <f>$K$6</f>
        <v>Black</v>
      </c>
      <c r="O55" s="537"/>
    </row>
    <row r="56" spans="2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247</v>
      </c>
      <c r="M56" s="536"/>
      <c r="N56" s="539" t="s">
        <v>255</v>
      </c>
      <c r="O56" s="537"/>
    </row>
    <row r="57" spans="2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248</v>
      </c>
      <c r="M57" s="536"/>
      <c r="N57" s="537" t="str">
        <f>CONCATENATE('BD Team'!H13," X ",'BD Team'!I13)</f>
        <v>10544 X 2440</v>
      </c>
      <c r="O57" s="537"/>
    </row>
    <row r="58" spans="2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249</v>
      </c>
      <c r="M58" s="536"/>
      <c r="N58" s="540">
        <f>'BD Team'!J13</f>
        <v>1</v>
      </c>
      <c r="O58" s="540"/>
    </row>
    <row r="59" spans="2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250</v>
      </c>
      <c r="M59" s="536"/>
      <c r="N59" s="537" t="str">
        <f>'BD Team'!C13</f>
        <v>M15000</v>
      </c>
      <c r="O59" s="537"/>
    </row>
    <row r="60" spans="2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251</v>
      </c>
      <c r="M60" s="536"/>
      <c r="N60" s="537" t="str">
        <f>'BD Team'!E13</f>
        <v>17.52MM</v>
      </c>
      <c r="O60" s="537"/>
    </row>
    <row r="61" spans="2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252</v>
      </c>
      <c r="M61" s="536"/>
      <c r="N61" s="537" t="str">
        <f>'BD Team'!F13</f>
        <v>NO</v>
      </c>
      <c r="O61" s="537"/>
    </row>
    <row r="62" spans="2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2:15" ht="25.15" customHeight="1">
      <c r="C63" s="535" t="s">
        <v>253</v>
      </c>
      <c r="D63" s="536"/>
      <c r="E63" s="286">
        <f>'BD Team'!B14</f>
        <v>0</v>
      </c>
      <c r="F63" s="288" t="s">
        <v>254</v>
      </c>
      <c r="G63" s="537">
        <f>'BD Team'!D14</f>
        <v>0</v>
      </c>
      <c r="H63" s="537"/>
      <c r="I63" s="537"/>
      <c r="J63" s="537"/>
      <c r="K63" s="537"/>
      <c r="L63" s="537"/>
      <c r="M63" s="537"/>
      <c r="N63" s="537"/>
      <c r="O63" s="537"/>
    </row>
    <row r="64" spans="2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>
        <f>'BD Team'!G14</f>
        <v>0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246</v>
      </c>
      <c r="M65" s="536"/>
      <c r="N65" s="537" t="str">
        <f>$F$6</f>
        <v>Wood Effect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177</v>
      </c>
      <c r="M66" s="536"/>
      <c r="N66" s="537" t="str">
        <f>$K$6</f>
        <v>Black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247</v>
      </c>
      <c r="M67" s="536"/>
      <c r="N67" s="539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248</v>
      </c>
      <c r="M68" s="536"/>
      <c r="N68" s="537" t="str">
        <f>CONCATENATE('BD Team'!H14," X ",'BD Team'!I14)</f>
        <v xml:space="preserve"> X 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249</v>
      </c>
      <c r="M69" s="536"/>
      <c r="N69" s="540">
        <f>'BD Team'!J14</f>
        <v>0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250</v>
      </c>
      <c r="M70" s="536"/>
      <c r="N70" s="537">
        <f>'BD Team'!C14</f>
        <v>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251</v>
      </c>
      <c r="M71" s="536"/>
      <c r="N71" s="537">
        <f>'BD Team'!E14</f>
        <v>0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252</v>
      </c>
      <c r="M72" s="536"/>
      <c r="N72" s="537">
        <f>'BD Team'!F14</f>
        <v>0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253</v>
      </c>
      <c r="D74" s="536"/>
      <c r="E74" s="286">
        <f>'BD Team'!B15</f>
        <v>0</v>
      </c>
      <c r="F74" s="288" t="s">
        <v>254</v>
      </c>
      <c r="G74" s="537">
        <f>'BD Team'!D15</f>
        <v>0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>
        <f>'BD Team'!G15</f>
        <v>0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246</v>
      </c>
      <c r="M76" s="536"/>
      <c r="N76" s="537" t="str">
        <f>$F$6</f>
        <v>Wood Effect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177</v>
      </c>
      <c r="M77" s="536"/>
      <c r="N77" s="537" t="str">
        <f>$K$6</f>
        <v>Black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247</v>
      </c>
      <c r="M78" s="536"/>
      <c r="N78" s="539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248</v>
      </c>
      <c r="M79" s="536"/>
      <c r="N79" s="537" t="str">
        <f>CONCATENATE('BD Team'!H15," X ",'BD Team'!I15)</f>
        <v xml:space="preserve"> X 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249</v>
      </c>
      <c r="M80" s="536"/>
      <c r="N80" s="540">
        <f>'BD Team'!J15</f>
        <v>0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250</v>
      </c>
      <c r="M81" s="536"/>
      <c r="N81" s="537">
        <f>'BD Team'!C15</f>
        <v>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251</v>
      </c>
      <c r="M82" s="536"/>
      <c r="N82" s="537">
        <f>'BD Team'!E15</f>
        <v>0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252</v>
      </c>
      <c r="M83" s="536"/>
      <c r="N83" s="537">
        <f>'BD Team'!F15</f>
        <v>0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253</v>
      </c>
      <c r="D85" s="536"/>
      <c r="E85" s="286">
        <f>'BD Team'!B16</f>
        <v>0</v>
      </c>
      <c r="F85" s="288" t="s">
        <v>254</v>
      </c>
      <c r="G85" s="537">
        <f>'BD Team'!D16</f>
        <v>0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>
        <f>'BD Team'!G16</f>
        <v>0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246</v>
      </c>
      <c r="M87" s="536"/>
      <c r="N87" s="537" t="str">
        <f>$F$6</f>
        <v>Wood Effect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177</v>
      </c>
      <c r="M88" s="536"/>
      <c r="N88" s="537" t="str">
        <f>$K$6</f>
        <v>Black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247</v>
      </c>
      <c r="M89" s="536"/>
      <c r="N89" s="539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248</v>
      </c>
      <c r="M90" s="536"/>
      <c r="N90" s="537" t="str">
        <f>CONCATENATE('BD Team'!H16," X ",'BD Team'!I16)</f>
        <v xml:space="preserve"> X 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249</v>
      </c>
      <c r="M91" s="536"/>
      <c r="N91" s="540">
        <f>'BD Team'!J16</f>
        <v>0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250</v>
      </c>
      <c r="M92" s="536"/>
      <c r="N92" s="537">
        <f>'BD Team'!C16</f>
        <v>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251</v>
      </c>
      <c r="M93" s="536"/>
      <c r="N93" s="537">
        <f>'BD Team'!E16</f>
        <v>0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252</v>
      </c>
      <c r="M94" s="536"/>
      <c r="N94" s="537">
        <f>'BD Team'!F16</f>
        <v>0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253</v>
      </c>
      <c r="D96" s="536"/>
      <c r="E96" s="286">
        <f>'BD Team'!B17</f>
        <v>0</v>
      </c>
      <c r="F96" s="288" t="s">
        <v>254</v>
      </c>
      <c r="G96" s="537">
        <f>'BD Team'!D17</f>
        <v>0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>
        <f>'BD Team'!G17</f>
        <v>0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246</v>
      </c>
      <c r="M98" s="536"/>
      <c r="N98" s="537" t="str">
        <f>$F$6</f>
        <v>Wood Effect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177</v>
      </c>
      <c r="M99" s="536"/>
      <c r="N99" s="537" t="str">
        <f>$K$6</f>
        <v>Black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247</v>
      </c>
      <c r="M100" s="536"/>
      <c r="N100" s="539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248</v>
      </c>
      <c r="M101" s="536"/>
      <c r="N101" s="537" t="str">
        <f>CONCATENATE('BD Team'!H17," X ",'BD Team'!I17)</f>
        <v xml:space="preserve"> X 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249</v>
      </c>
      <c r="M102" s="536"/>
      <c r="N102" s="540">
        <f>'BD Team'!J17</f>
        <v>0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250</v>
      </c>
      <c r="M103" s="536"/>
      <c r="N103" s="537">
        <f>'BD Team'!C17</f>
        <v>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251</v>
      </c>
      <c r="M104" s="536"/>
      <c r="N104" s="537">
        <f>'BD Team'!E17</f>
        <v>0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252</v>
      </c>
      <c r="M105" s="536"/>
      <c r="N105" s="537">
        <f>'BD Team'!F17</f>
        <v>0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253</v>
      </c>
      <c r="D107" s="536"/>
      <c r="E107" s="286">
        <f>'BD Team'!B18</f>
        <v>0</v>
      </c>
      <c r="F107" s="288" t="s">
        <v>254</v>
      </c>
      <c r="G107" s="537">
        <f>'BD Team'!D18</f>
        <v>0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>
        <f>'BD Team'!G18</f>
        <v>0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246</v>
      </c>
      <c r="M109" s="536"/>
      <c r="N109" s="537" t="str">
        <f>$F$6</f>
        <v>Wood Effect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177</v>
      </c>
      <c r="M110" s="536"/>
      <c r="N110" s="537" t="str">
        <f>$K$6</f>
        <v>Black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247</v>
      </c>
      <c r="M111" s="536"/>
      <c r="N111" s="539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248</v>
      </c>
      <c r="M112" s="536"/>
      <c r="N112" s="537" t="str">
        <f>CONCATENATE('BD Team'!H18," X ",'BD Team'!I18)</f>
        <v xml:space="preserve"> X 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249</v>
      </c>
      <c r="M113" s="536"/>
      <c r="N113" s="540">
        <f>'BD Team'!J18</f>
        <v>0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250</v>
      </c>
      <c r="M114" s="536"/>
      <c r="N114" s="537">
        <f>'BD Team'!C18</f>
        <v>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251</v>
      </c>
      <c r="M115" s="536"/>
      <c r="N115" s="537">
        <f>'BD Team'!E18</f>
        <v>0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252</v>
      </c>
      <c r="M116" s="536"/>
      <c r="N116" s="537">
        <f>'BD Team'!F18</f>
        <v>0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253</v>
      </c>
      <c r="D118" s="536"/>
      <c r="E118" s="286">
        <f>'BD Team'!B19</f>
        <v>0</v>
      </c>
      <c r="F118" s="288" t="s">
        <v>254</v>
      </c>
      <c r="G118" s="537">
        <f>'BD Team'!D19</f>
        <v>0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>
        <f>'BD Team'!G19</f>
        <v>0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246</v>
      </c>
      <c r="M120" s="536"/>
      <c r="N120" s="537" t="str">
        <f>$F$6</f>
        <v>Wood Effect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177</v>
      </c>
      <c r="M121" s="536"/>
      <c r="N121" s="537" t="str">
        <f>$K$6</f>
        <v>Black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247</v>
      </c>
      <c r="M122" s="536"/>
      <c r="N122" s="539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248</v>
      </c>
      <c r="M123" s="536"/>
      <c r="N123" s="537" t="str">
        <f>CONCATENATE('BD Team'!H19," X ",'BD Team'!I19)</f>
        <v xml:space="preserve"> X 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249</v>
      </c>
      <c r="M124" s="536"/>
      <c r="N124" s="540">
        <f>'BD Team'!J19</f>
        <v>0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250</v>
      </c>
      <c r="M125" s="536"/>
      <c r="N125" s="537">
        <f>'BD Team'!C19</f>
        <v>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251</v>
      </c>
      <c r="M126" s="536"/>
      <c r="N126" s="537">
        <f>'BD Team'!E19</f>
        <v>0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252</v>
      </c>
      <c r="M127" s="536"/>
      <c r="N127" s="537">
        <f>'BD Team'!F19</f>
        <v>0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253</v>
      </c>
      <c r="D129" s="536"/>
      <c r="E129" s="286">
        <f>'BD Team'!B20</f>
        <v>0</v>
      </c>
      <c r="F129" s="288" t="s">
        <v>254</v>
      </c>
      <c r="G129" s="537">
        <f>'BD Team'!D20</f>
        <v>0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>
        <f>'BD Team'!G20</f>
        <v>0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246</v>
      </c>
      <c r="M131" s="536"/>
      <c r="N131" s="537" t="str">
        <f>$F$6</f>
        <v>Wood Effect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177</v>
      </c>
      <c r="M132" s="536"/>
      <c r="N132" s="537" t="str">
        <f>$K$6</f>
        <v>Black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247</v>
      </c>
      <c r="M133" s="536"/>
      <c r="N133" s="539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248</v>
      </c>
      <c r="M134" s="536"/>
      <c r="N134" s="537" t="str">
        <f>CONCATENATE('BD Team'!H20," X ",'BD Team'!I20)</f>
        <v xml:space="preserve"> X 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249</v>
      </c>
      <c r="M135" s="536"/>
      <c r="N135" s="540">
        <f>'BD Team'!J20</f>
        <v>0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250</v>
      </c>
      <c r="M136" s="536"/>
      <c r="N136" s="537">
        <f>'BD Team'!C20</f>
        <v>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251</v>
      </c>
      <c r="M137" s="536"/>
      <c r="N137" s="537">
        <f>'BD Team'!E20</f>
        <v>0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252</v>
      </c>
      <c r="M138" s="536"/>
      <c r="N138" s="537">
        <f>'BD Team'!F20</f>
        <v>0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253</v>
      </c>
      <c r="D140" s="536"/>
      <c r="E140" s="286">
        <f>'BD Team'!B21</f>
        <v>0</v>
      </c>
      <c r="F140" s="288" t="s">
        <v>254</v>
      </c>
      <c r="G140" s="537">
        <f>'BD Team'!D21</f>
        <v>0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>
        <f>'BD Team'!G21</f>
        <v>0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246</v>
      </c>
      <c r="M142" s="536"/>
      <c r="N142" s="537" t="str">
        <f>$F$6</f>
        <v>Wood Effect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177</v>
      </c>
      <c r="M143" s="536"/>
      <c r="N143" s="537" t="str">
        <f>$K$6</f>
        <v>Black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247</v>
      </c>
      <c r="M144" s="536"/>
      <c r="N144" s="539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248</v>
      </c>
      <c r="M145" s="536"/>
      <c r="N145" s="537" t="str">
        <f>CONCATENATE('BD Team'!H21," X ",'BD Team'!I21)</f>
        <v xml:space="preserve"> X 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249</v>
      </c>
      <c r="M146" s="536"/>
      <c r="N146" s="540">
        <f>'BD Team'!J21</f>
        <v>0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250</v>
      </c>
      <c r="M147" s="536"/>
      <c r="N147" s="537">
        <f>'BD Team'!C21</f>
        <v>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251</v>
      </c>
      <c r="M148" s="536"/>
      <c r="N148" s="537">
        <f>'BD Team'!E21</f>
        <v>0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252</v>
      </c>
      <c r="M149" s="536"/>
      <c r="N149" s="537">
        <f>'BD Team'!F21</f>
        <v>0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253</v>
      </c>
      <c r="D151" s="536"/>
      <c r="E151" s="286">
        <f>'BD Team'!B22</f>
        <v>0</v>
      </c>
      <c r="F151" s="288" t="s">
        <v>254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>
        <f>'BD Team'!G22</f>
        <v>0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246</v>
      </c>
      <c r="M153" s="536"/>
      <c r="N153" s="537" t="str">
        <f>$F$6</f>
        <v>Wood Effect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177</v>
      </c>
      <c r="M154" s="536"/>
      <c r="N154" s="537" t="str">
        <f>$K$6</f>
        <v>Black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247</v>
      </c>
      <c r="M155" s="536"/>
      <c r="N155" s="539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248</v>
      </c>
      <c r="M156" s="536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249</v>
      </c>
      <c r="M157" s="536"/>
      <c r="N157" s="540">
        <f>'BD Team'!J22</f>
        <v>0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250</v>
      </c>
      <c r="M158" s="536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251</v>
      </c>
      <c r="M159" s="536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252</v>
      </c>
      <c r="M160" s="536"/>
      <c r="N160" s="537">
        <f>'BD Team'!F22</f>
        <v>0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253</v>
      </c>
      <c r="D162" s="536"/>
      <c r="E162" s="286">
        <f>'BD Team'!B23</f>
        <v>0</v>
      </c>
      <c r="F162" s="288" t="s">
        <v>254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>
        <f>'BD Team'!G23</f>
        <v>0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246</v>
      </c>
      <c r="M164" s="536"/>
      <c r="N164" s="537" t="str">
        <f>$F$6</f>
        <v>Wood Effect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177</v>
      </c>
      <c r="M165" s="536"/>
      <c r="N165" s="537" t="str">
        <f>$K$6</f>
        <v>Black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247</v>
      </c>
      <c r="M166" s="536"/>
      <c r="N166" s="539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248</v>
      </c>
      <c r="M167" s="536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249</v>
      </c>
      <c r="M168" s="536"/>
      <c r="N168" s="540">
        <f>'BD Team'!J23</f>
        <v>0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250</v>
      </c>
      <c r="M169" s="536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251</v>
      </c>
      <c r="M170" s="536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252</v>
      </c>
      <c r="M171" s="536"/>
      <c r="N171" s="537">
        <f>'BD Team'!F23</f>
        <v>0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253</v>
      </c>
      <c r="D173" s="536"/>
      <c r="E173" s="286">
        <f>'BD Team'!B24</f>
        <v>0</v>
      </c>
      <c r="F173" s="288" t="s">
        <v>254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>
        <f>'BD Team'!G24</f>
        <v>0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246</v>
      </c>
      <c r="M175" s="536"/>
      <c r="N175" s="537" t="str">
        <f>$F$6</f>
        <v>Wood Effect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177</v>
      </c>
      <c r="M176" s="536"/>
      <c r="N176" s="537" t="str">
        <f>$K$6</f>
        <v>Black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247</v>
      </c>
      <c r="M177" s="536"/>
      <c r="N177" s="539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248</v>
      </c>
      <c r="M178" s="536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249</v>
      </c>
      <c r="M179" s="536"/>
      <c r="N179" s="540">
        <f>'BD Team'!J24</f>
        <v>0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250</v>
      </c>
      <c r="M180" s="536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251</v>
      </c>
      <c r="M181" s="536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252</v>
      </c>
      <c r="M182" s="536"/>
      <c r="N182" s="537">
        <f>'BD Team'!F24</f>
        <v>0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253</v>
      </c>
      <c r="D184" s="536"/>
      <c r="E184" s="286">
        <f>'BD Team'!B25</f>
        <v>0</v>
      </c>
      <c r="F184" s="288" t="s">
        <v>254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>
        <f>'BD Team'!G25</f>
        <v>0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246</v>
      </c>
      <c r="M186" s="536"/>
      <c r="N186" s="537" t="str">
        <f>$F$6</f>
        <v>Wood Effect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177</v>
      </c>
      <c r="M187" s="536"/>
      <c r="N187" s="537" t="str">
        <f>$K$6</f>
        <v>Black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247</v>
      </c>
      <c r="M188" s="536"/>
      <c r="N188" s="539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248</v>
      </c>
      <c r="M189" s="536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249</v>
      </c>
      <c r="M190" s="536"/>
      <c r="N190" s="540">
        <f>'BD Team'!J25</f>
        <v>0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250</v>
      </c>
      <c r="M191" s="536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251</v>
      </c>
      <c r="M192" s="536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252</v>
      </c>
      <c r="M193" s="536"/>
      <c r="N193" s="537">
        <f>'BD Team'!F25</f>
        <v>0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253</v>
      </c>
      <c r="D195" s="536"/>
      <c r="E195" s="286">
        <f>'BD Team'!B26</f>
        <v>0</v>
      </c>
      <c r="F195" s="288" t="s">
        <v>254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>
        <f>'BD Team'!G26</f>
        <v>0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246</v>
      </c>
      <c r="M197" s="536"/>
      <c r="N197" s="537" t="str">
        <f>$F$6</f>
        <v>Wood Effect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177</v>
      </c>
      <c r="M198" s="536"/>
      <c r="N198" s="537" t="str">
        <f>$K$6</f>
        <v>Black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247</v>
      </c>
      <c r="M199" s="536"/>
      <c r="N199" s="539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248</v>
      </c>
      <c r="M200" s="536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249</v>
      </c>
      <c r="M201" s="536"/>
      <c r="N201" s="540">
        <f>'BD Team'!J26</f>
        <v>0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250</v>
      </c>
      <c r="M202" s="536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251</v>
      </c>
      <c r="M203" s="536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252</v>
      </c>
      <c r="M204" s="536"/>
      <c r="N204" s="537">
        <f>'BD Team'!F26</f>
        <v>0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253</v>
      </c>
      <c r="D206" s="536"/>
      <c r="E206" s="286">
        <f>'BD Team'!B27</f>
        <v>0</v>
      </c>
      <c r="F206" s="288" t="s">
        <v>254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>
        <f>'BD Team'!G27</f>
        <v>0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246</v>
      </c>
      <c r="M208" s="536"/>
      <c r="N208" s="537" t="str">
        <f>$F$6</f>
        <v>Wood Effect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177</v>
      </c>
      <c r="M209" s="536"/>
      <c r="N209" s="537" t="str">
        <f>$K$6</f>
        <v>Black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247</v>
      </c>
      <c r="M210" s="536"/>
      <c r="N210" s="539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248</v>
      </c>
      <c r="M211" s="536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249</v>
      </c>
      <c r="M212" s="536"/>
      <c r="N212" s="540">
        <f>'BD Team'!J27</f>
        <v>0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250</v>
      </c>
      <c r="M213" s="536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251</v>
      </c>
      <c r="M214" s="536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252</v>
      </c>
      <c r="M215" s="536"/>
      <c r="N215" s="537">
        <f>'BD Team'!F27</f>
        <v>0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253</v>
      </c>
      <c r="D217" s="536"/>
      <c r="E217" s="286">
        <f>'BD Team'!B28</f>
        <v>0</v>
      </c>
      <c r="F217" s="288" t="s">
        <v>254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>
        <f>'BD Team'!G28</f>
        <v>0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246</v>
      </c>
      <c r="M219" s="536"/>
      <c r="N219" s="537" t="str">
        <f>$F$6</f>
        <v>Wood Effect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177</v>
      </c>
      <c r="M220" s="536"/>
      <c r="N220" s="537" t="str">
        <f>$K$6</f>
        <v>Black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247</v>
      </c>
      <c r="M221" s="536"/>
      <c r="N221" s="539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248</v>
      </c>
      <c r="M222" s="536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249</v>
      </c>
      <c r="M223" s="536"/>
      <c r="N223" s="540">
        <f>'BD Team'!J28</f>
        <v>0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250</v>
      </c>
      <c r="M224" s="536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251</v>
      </c>
      <c r="M225" s="536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252</v>
      </c>
      <c r="M226" s="536"/>
      <c r="N226" s="537">
        <f>'BD Team'!F28</f>
        <v>0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253</v>
      </c>
      <c r="D228" s="536"/>
      <c r="E228" s="286">
        <f>'BD Team'!B29</f>
        <v>0</v>
      </c>
      <c r="F228" s="288" t="s">
        <v>254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>
        <f>'BD Team'!G29</f>
        <v>0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246</v>
      </c>
      <c r="M230" s="536"/>
      <c r="N230" s="537" t="str">
        <f>$F$6</f>
        <v>Wood Effect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177</v>
      </c>
      <c r="M231" s="536"/>
      <c r="N231" s="537" t="str">
        <f>$K$6</f>
        <v>Black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247</v>
      </c>
      <c r="M232" s="536"/>
      <c r="N232" s="539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248</v>
      </c>
      <c r="M233" s="536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249</v>
      </c>
      <c r="M234" s="536"/>
      <c r="N234" s="540">
        <f>'BD Team'!J29</f>
        <v>0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250</v>
      </c>
      <c r="M235" s="536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251</v>
      </c>
      <c r="M236" s="536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252</v>
      </c>
      <c r="M237" s="536"/>
      <c r="N237" s="537">
        <f>'BD Team'!F29</f>
        <v>0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253</v>
      </c>
      <c r="D239" s="536"/>
      <c r="E239" s="286">
        <f>'BD Team'!B30</f>
        <v>0</v>
      </c>
      <c r="F239" s="288" t="s">
        <v>254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>
        <f>'BD Team'!G30</f>
        <v>0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246</v>
      </c>
      <c r="M241" s="536"/>
      <c r="N241" s="537" t="str">
        <f>$F$6</f>
        <v>Wood Effect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177</v>
      </c>
      <c r="M242" s="536"/>
      <c r="N242" s="537" t="str">
        <f>$K$6</f>
        <v>Black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247</v>
      </c>
      <c r="M243" s="536"/>
      <c r="N243" s="539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248</v>
      </c>
      <c r="M244" s="536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249</v>
      </c>
      <c r="M245" s="536"/>
      <c r="N245" s="540">
        <f>'BD Team'!J30</f>
        <v>0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250</v>
      </c>
      <c r="M246" s="536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251</v>
      </c>
      <c r="M247" s="536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252</v>
      </c>
      <c r="M248" s="536"/>
      <c r="N248" s="537">
        <f>'BD Team'!F30</f>
        <v>0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253</v>
      </c>
      <c r="D250" s="536"/>
      <c r="E250" s="286">
        <f>'BD Team'!B31</f>
        <v>0</v>
      </c>
      <c r="F250" s="288" t="s">
        <v>254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>
        <f>'BD Team'!G31</f>
        <v>0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246</v>
      </c>
      <c r="M252" s="536"/>
      <c r="N252" s="537" t="str">
        <f>$F$6</f>
        <v>Wood Effect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177</v>
      </c>
      <c r="M253" s="536"/>
      <c r="N253" s="537" t="str">
        <f>$K$6</f>
        <v>Black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247</v>
      </c>
      <c r="M254" s="536"/>
      <c r="N254" s="539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248</v>
      </c>
      <c r="M255" s="536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249</v>
      </c>
      <c r="M256" s="536"/>
      <c r="N256" s="540">
        <f>'BD Team'!J31</f>
        <v>0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250</v>
      </c>
      <c r="M257" s="536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251</v>
      </c>
      <c r="M258" s="536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252</v>
      </c>
      <c r="M259" s="536"/>
      <c r="N259" s="537">
        <f>'BD Team'!F31</f>
        <v>0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253</v>
      </c>
      <c r="D261" s="536"/>
      <c r="E261" s="286">
        <f>'BD Team'!B32</f>
        <v>0</v>
      </c>
      <c r="F261" s="288" t="s">
        <v>254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>
        <f>'BD Team'!G32</f>
        <v>0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246</v>
      </c>
      <c r="M263" s="536"/>
      <c r="N263" s="537" t="str">
        <f>$F$6</f>
        <v>Wood Effect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177</v>
      </c>
      <c r="M264" s="536"/>
      <c r="N264" s="537" t="str">
        <f>$K$6</f>
        <v>Black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247</v>
      </c>
      <c r="M265" s="536"/>
      <c r="N265" s="539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248</v>
      </c>
      <c r="M266" s="536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249</v>
      </c>
      <c r="M267" s="536"/>
      <c r="N267" s="540">
        <f>'BD Team'!J32</f>
        <v>0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250</v>
      </c>
      <c r="M268" s="536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251</v>
      </c>
      <c r="M269" s="536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252</v>
      </c>
      <c r="M270" s="536"/>
      <c r="N270" s="537">
        <f>'BD Team'!F32</f>
        <v>0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253</v>
      </c>
      <c r="D272" s="536"/>
      <c r="E272" s="286">
        <f>'BD Team'!B33</f>
        <v>0</v>
      </c>
      <c r="F272" s="288" t="s">
        <v>254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>
        <f>'BD Team'!G33</f>
        <v>0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246</v>
      </c>
      <c r="M274" s="536"/>
      <c r="N274" s="537" t="str">
        <f>$F$6</f>
        <v>Wood Effect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177</v>
      </c>
      <c r="M275" s="536"/>
      <c r="N275" s="537" t="str">
        <f>$K$6</f>
        <v>Black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247</v>
      </c>
      <c r="M276" s="536"/>
      <c r="N276" s="539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248</v>
      </c>
      <c r="M277" s="536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249</v>
      </c>
      <c r="M278" s="536"/>
      <c r="N278" s="540">
        <f>'BD Team'!J33</f>
        <v>0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250</v>
      </c>
      <c r="M279" s="536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251</v>
      </c>
      <c r="M280" s="536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252</v>
      </c>
      <c r="M281" s="536"/>
      <c r="N281" s="537">
        <f>'BD Team'!F33</f>
        <v>0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253</v>
      </c>
      <c r="D283" s="536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246</v>
      </c>
      <c r="M285" s="536"/>
      <c r="N285" s="537" t="str">
        <f>$F$6</f>
        <v>Wood Effect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177</v>
      </c>
      <c r="M286" s="536"/>
      <c r="N286" s="537" t="str">
        <f>$K$6</f>
        <v>Black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247</v>
      </c>
      <c r="M287" s="536"/>
      <c r="N287" s="539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248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249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250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251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252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253</v>
      </c>
      <c r="D294" s="536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246</v>
      </c>
      <c r="M296" s="536"/>
      <c r="N296" s="537" t="str">
        <f>$F$6</f>
        <v>Wood Effect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177</v>
      </c>
      <c r="M297" s="536"/>
      <c r="N297" s="537" t="str">
        <f>$K$6</f>
        <v>Black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247</v>
      </c>
      <c r="M298" s="536"/>
      <c r="N298" s="539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248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249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250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251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252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253</v>
      </c>
      <c r="D305" s="536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246</v>
      </c>
      <c r="M307" s="536"/>
      <c r="N307" s="537" t="str">
        <f>$F$6</f>
        <v>Wood Effect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177</v>
      </c>
      <c r="M308" s="536"/>
      <c r="N308" s="537" t="str">
        <f>$K$6</f>
        <v>Black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247</v>
      </c>
      <c r="M309" s="536"/>
      <c r="N309" s="539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248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249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250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251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252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253</v>
      </c>
      <c r="D316" s="536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246</v>
      </c>
      <c r="M318" s="536"/>
      <c r="N318" s="537" t="str">
        <f>$F$6</f>
        <v>Wood Effect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177</v>
      </c>
      <c r="M319" s="536"/>
      <c r="N319" s="537" t="str">
        <f>$K$6</f>
        <v>Black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247</v>
      </c>
      <c r="M320" s="536"/>
      <c r="N320" s="539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248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249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250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251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252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253</v>
      </c>
      <c r="D327" s="536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246</v>
      </c>
      <c r="M329" s="536"/>
      <c r="N329" s="537" t="str">
        <f>$F$6</f>
        <v>Wood Effect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177</v>
      </c>
      <c r="M330" s="536"/>
      <c r="N330" s="537" t="str">
        <f>$K$6</f>
        <v>Black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247</v>
      </c>
      <c r="M331" s="536"/>
      <c r="N331" s="539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248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249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250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251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252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253</v>
      </c>
      <c r="D338" s="536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246</v>
      </c>
      <c r="M340" s="536"/>
      <c r="N340" s="537" t="str">
        <f>$F$6</f>
        <v>Wood Effect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177</v>
      </c>
      <c r="M341" s="536"/>
      <c r="N341" s="537" t="str">
        <f>$K$6</f>
        <v>Black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247</v>
      </c>
      <c r="M342" s="536"/>
      <c r="N342" s="539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248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249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250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251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252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253</v>
      </c>
      <c r="D349" s="536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246</v>
      </c>
      <c r="M351" s="536"/>
      <c r="N351" s="537" t="str">
        <f>$F$6</f>
        <v>Wood Effect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177</v>
      </c>
      <c r="M352" s="536"/>
      <c r="N352" s="537" t="str">
        <f>$K$6</f>
        <v>Black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247</v>
      </c>
      <c r="M353" s="536"/>
      <c r="N353" s="539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248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249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250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251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252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253</v>
      </c>
      <c r="D360" s="536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246</v>
      </c>
      <c r="M362" s="536"/>
      <c r="N362" s="537" t="str">
        <f>$F$6</f>
        <v>Wood Effect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177</v>
      </c>
      <c r="M363" s="536"/>
      <c r="N363" s="537" t="str">
        <f>$K$6</f>
        <v>Black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247</v>
      </c>
      <c r="M364" s="536"/>
      <c r="N364" s="539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248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249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250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251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252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253</v>
      </c>
      <c r="D371" s="536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246</v>
      </c>
      <c r="M373" s="536"/>
      <c r="N373" s="537" t="str">
        <f>$F$6</f>
        <v>Wood Effect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177</v>
      </c>
      <c r="M374" s="536"/>
      <c r="N374" s="537" t="str">
        <f>$K$6</f>
        <v>Black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247</v>
      </c>
      <c r="M375" s="536"/>
      <c r="N375" s="539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248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249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250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251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252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253</v>
      </c>
      <c r="D382" s="536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246</v>
      </c>
      <c r="M384" s="536"/>
      <c r="N384" s="537" t="str">
        <f>$F$6</f>
        <v>Wood Effect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177</v>
      </c>
      <c r="M385" s="536"/>
      <c r="N385" s="537" t="str">
        <f>$K$6</f>
        <v>Black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247</v>
      </c>
      <c r="M386" s="536"/>
      <c r="N386" s="539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248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249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250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251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252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253</v>
      </c>
      <c r="D393" s="536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246</v>
      </c>
      <c r="M395" s="536"/>
      <c r="N395" s="537" t="str">
        <f>$F$6</f>
        <v>Wood Effect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177</v>
      </c>
      <c r="M396" s="536"/>
      <c r="N396" s="537" t="str">
        <f>$K$6</f>
        <v>Black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247</v>
      </c>
      <c r="M397" s="536"/>
      <c r="N397" s="539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248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249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250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251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252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253</v>
      </c>
      <c r="D404" s="536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246</v>
      </c>
      <c r="M406" s="536"/>
      <c r="N406" s="537" t="str">
        <f>$F$6</f>
        <v>Wood Effect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177</v>
      </c>
      <c r="M407" s="536"/>
      <c r="N407" s="537" t="str">
        <f>$K$6</f>
        <v>Black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247</v>
      </c>
      <c r="M408" s="536"/>
      <c r="N408" s="539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248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249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250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251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252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253</v>
      </c>
      <c r="D415" s="536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246</v>
      </c>
      <c r="M417" s="536"/>
      <c r="N417" s="537" t="str">
        <f>$F$6</f>
        <v>Wood Effect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177</v>
      </c>
      <c r="M418" s="536"/>
      <c r="N418" s="537" t="str">
        <f>$K$6</f>
        <v>Black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247</v>
      </c>
      <c r="M419" s="536"/>
      <c r="N419" s="539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248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249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250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251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252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253</v>
      </c>
      <c r="D426" s="536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246</v>
      </c>
      <c r="M428" s="536"/>
      <c r="N428" s="537" t="str">
        <f>$F$6</f>
        <v>Wood Effect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177</v>
      </c>
      <c r="M429" s="536"/>
      <c r="N429" s="537" t="str">
        <f>$K$6</f>
        <v>Black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247</v>
      </c>
      <c r="M430" s="536"/>
      <c r="N430" s="539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248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249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250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251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252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253</v>
      </c>
      <c r="D437" s="536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246</v>
      </c>
      <c r="M439" s="536"/>
      <c r="N439" s="537" t="str">
        <f>$F$6</f>
        <v>Wood Effect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177</v>
      </c>
      <c r="M440" s="536"/>
      <c r="N440" s="537" t="str">
        <f>$K$6</f>
        <v>Black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247</v>
      </c>
      <c r="M441" s="536"/>
      <c r="N441" s="539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248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249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250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251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252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253</v>
      </c>
      <c r="D448" s="536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246</v>
      </c>
      <c r="M450" s="536"/>
      <c r="N450" s="537" t="str">
        <f>$F$6</f>
        <v>Wood Effect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177</v>
      </c>
      <c r="M451" s="536"/>
      <c r="N451" s="537" t="str">
        <f>$K$6</f>
        <v>Black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247</v>
      </c>
      <c r="M452" s="536"/>
      <c r="N452" s="539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248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249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250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251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252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253</v>
      </c>
      <c r="D459" s="536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246</v>
      </c>
      <c r="M461" s="536"/>
      <c r="N461" s="537" t="str">
        <f>$F$6</f>
        <v>Wood Effect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177</v>
      </c>
      <c r="M462" s="536"/>
      <c r="N462" s="537" t="str">
        <f>$K$6</f>
        <v>Black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247</v>
      </c>
      <c r="M463" s="536"/>
      <c r="N463" s="539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248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249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250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251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252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253</v>
      </c>
      <c r="D470" s="536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246</v>
      </c>
      <c r="M472" s="536"/>
      <c r="N472" s="537" t="str">
        <f>$F$6</f>
        <v>Wood Effect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177</v>
      </c>
      <c r="M473" s="536"/>
      <c r="N473" s="537" t="str">
        <f>$K$6</f>
        <v>Black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247</v>
      </c>
      <c r="M474" s="536"/>
      <c r="N474" s="539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248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249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250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251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252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253</v>
      </c>
      <c r="D481" s="536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246</v>
      </c>
      <c r="M483" s="536"/>
      <c r="N483" s="537" t="str">
        <f>$F$6</f>
        <v>Wood Effect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177</v>
      </c>
      <c r="M484" s="536"/>
      <c r="N484" s="537" t="str">
        <f>$K$6</f>
        <v>Black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247</v>
      </c>
      <c r="M485" s="536"/>
      <c r="N485" s="539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248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249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250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251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252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253</v>
      </c>
      <c r="D492" s="536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246</v>
      </c>
      <c r="M494" s="536"/>
      <c r="N494" s="537" t="str">
        <f>$F$6</f>
        <v>Wood Effect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177</v>
      </c>
      <c r="M495" s="536"/>
      <c r="N495" s="537" t="str">
        <f>$K$6</f>
        <v>Black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247</v>
      </c>
      <c r="M496" s="536"/>
      <c r="N496" s="539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248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249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250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251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252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253</v>
      </c>
      <c r="D503" s="536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246</v>
      </c>
      <c r="M505" s="536"/>
      <c r="N505" s="537" t="str">
        <f>$F$6</f>
        <v>Wood Effect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177</v>
      </c>
      <c r="M506" s="536"/>
      <c r="N506" s="537" t="str">
        <f>$K$6</f>
        <v>Black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247</v>
      </c>
      <c r="M507" s="536"/>
      <c r="N507" s="539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248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249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250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251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252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253</v>
      </c>
      <c r="D514" s="536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246</v>
      </c>
      <c r="M516" s="536"/>
      <c r="N516" s="537" t="str">
        <f>$F$6</f>
        <v>Wood Effect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177</v>
      </c>
      <c r="M517" s="536"/>
      <c r="N517" s="537" t="str">
        <f>$K$6</f>
        <v>Black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247</v>
      </c>
      <c r="M518" s="536"/>
      <c r="N518" s="539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248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249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250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251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252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253</v>
      </c>
      <c r="D525" s="536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246</v>
      </c>
      <c r="M527" s="536"/>
      <c r="N527" s="537" t="str">
        <f>$F$6</f>
        <v>Wood Effect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177</v>
      </c>
      <c r="M528" s="536"/>
      <c r="N528" s="537" t="str">
        <f>$K$6</f>
        <v>Black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247</v>
      </c>
      <c r="M529" s="536"/>
      <c r="N529" s="539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248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249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250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251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252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253</v>
      </c>
      <c r="D536" s="536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246</v>
      </c>
      <c r="M538" s="536"/>
      <c r="N538" s="537" t="str">
        <f>$F$6</f>
        <v>Wood Effect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177</v>
      </c>
      <c r="M539" s="536"/>
      <c r="N539" s="537" t="str">
        <f>$K$6</f>
        <v>Black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247</v>
      </c>
      <c r="M540" s="536"/>
      <c r="N540" s="539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248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249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250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251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252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253</v>
      </c>
      <c r="D547" s="536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246</v>
      </c>
      <c r="M549" s="536"/>
      <c r="N549" s="537" t="str">
        <f>$F$6</f>
        <v>Wood Effect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177</v>
      </c>
      <c r="M550" s="536"/>
      <c r="N550" s="537" t="str">
        <f>$K$6</f>
        <v>Black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247</v>
      </c>
      <c r="M551" s="536"/>
      <c r="N551" s="539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248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249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250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251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252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253</v>
      </c>
      <c r="D558" s="536"/>
      <c r="E558" s="289">
        <f>'BD Team'!B59</f>
        <v>0</v>
      </c>
      <c r="F558" s="288" t="s">
        <v>254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7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246</v>
      </c>
      <c r="M560" s="536"/>
      <c r="N560" s="537" t="str">
        <f>$F$6</f>
        <v>Wood Effect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177</v>
      </c>
      <c r="M561" s="536"/>
      <c r="N561" s="537" t="str">
        <f>$K$6</f>
        <v>Black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247</v>
      </c>
      <c r="M562" s="536"/>
      <c r="N562" s="539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248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249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250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251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252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253</v>
      </c>
      <c r="D569" s="536"/>
      <c r="E569" s="289">
        <f>'BD Team'!B60</f>
        <v>0</v>
      </c>
      <c r="F569" s="288" t="s">
        <v>254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7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246</v>
      </c>
      <c r="M571" s="536"/>
      <c r="N571" s="537" t="str">
        <f>$F$6</f>
        <v>Wood Effect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177</v>
      </c>
      <c r="M572" s="536"/>
      <c r="N572" s="537" t="str">
        <f>$K$6</f>
        <v>Black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247</v>
      </c>
      <c r="M573" s="536"/>
      <c r="N573" s="539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248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249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250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251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252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253</v>
      </c>
      <c r="D580" s="536"/>
      <c r="E580" s="289">
        <f>'BD Team'!B61</f>
        <v>0</v>
      </c>
      <c r="F580" s="288" t="s">
        <v>254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7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246</v>
      </c>
      <c r="M582" s="536"/>
      <c r="N582" s="537" t="str">
        <f>$F$6</f>
        <v>Wood Effect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177</v>
      </c>
      <c r="M583" s="536"/>
      <c r="N583" s="537" t="str">
        <f>$K$6</f>
        <v>Black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247</v>
      </c>
      <c r="M584" s="536"/>
      <c r="N584" s="539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248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249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250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251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252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253</v>
      </c>
      <c r="D591" s="536"/>
      <c r="E591" s="289">
        <f>'BD Team'!B62</f>
        <v>0</v>
      </c>
      <c r="F591" s="288" t="s">
        <v>254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7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246</v>
      </c>
      <c r="M593" s="536"/>
      <c r="N593" s="537" t="str">
        <f>$F$6</f>
        <v>Wood Effect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177</v>
      </c>
      <c r="M594" s="536"/>
      <c r="N594" s="537" t="str">
        <f>$K$6</f>
        <v>Black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247</v>
      </c>
      <c r="M595" s="536"/>
      <c r="N595" s="539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248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249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250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251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252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253</v>
      </c>
      <c r="D602" s="536"/>
      <c r="E602" s="289">
        <f>'BD Team'!B63</f>
        <v>0</v>
      </c>
      <c r="F602" s="288" t="s">
        <v>254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7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246</v>
      </c>
      <c r="M604" s="536"/>
      <c r="N604" s="537" t="str">
        <f>$F$6</f>
        <v>Wood Effect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177</v>
      </c>
      <c r="M605" s="536"/>
      <c r="N605" s="537" t="str">
        <f>$K$6</f>
        <v>Black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247</v>
      </c>
      <c r="M606" s="536"/>
      <c r="N606" s="539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248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249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250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251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252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253</v>
      </c>
      <c r="D613" s="536"/>
      <c r="E613" s="289">
        <f>'BD Team'!B64</f>
        <v>0</v>
      </c>
      <c r="F613" s="288" t="s">
        <v>254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7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246</v>
      </c>
      <c r="M615" s="536"/>
      <c r="N615" s="537" t="str">
        <f>$F$6</f>
        <v>Wood Effect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177</v>
      </c>
      <c r="M616" s="536"/>
      <c r="N616" s="537" t="str">
        <f>$K$6</f>
        <v>Black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247</v>
      </c>
      <c r="M617" s="536"/>
      <c r="N617" s="539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248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249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250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251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252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253</v>
      </c>
      <c r="D624" s="536"/>
      <c r="E624" s="289">
        <f>'BD Team'!B65</f>
        <v>0</v>
      </c>
      <c r="F624" s="288" t="s">
        <v>254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7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246</v>
      </c>
      <c r="M626" s="536"/>
      <c r="N626" s="537" t="str">
        <f>$F$6</f>
        <v>Wood Effect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177</v>
      </c>
      <c r="M627" s="536"/>
      <c r="N627" s="537" t="str">
        <f>$K$6</f>
        <v>Black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247</v>
      </c>
      <c r="M628" s="536"/>
      <c r="N628" s="539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248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249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250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251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252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253</v>
      </c>
      <c r="D635" s="536"/>
      <c r="E635" s="289">
        <f>'BD Team'!B66</f>
        <v>0</v>
      </c>
      <c r="F635" s="288" t="s">
        <v>254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7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246</v>
      </c>
      <c r="M637" s="536"/>
      <c r="N637" s="537" t="str">
        <f>$F$6</f>
        <v>Wood Effect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177</v>
      </c>
      <c r="M638" s="536"/>
      <c r="N638" s="537" t="str">
        <f>$K$6</f>
        <v>Black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247</v>
      </c>
      <c r="M639" s="536"/>
      <c r="N639" s="539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248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249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250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251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252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253</v>
      </c>
      <c r="D646" s="536"/>
      <c r="E646" s="289">
        <f>'BD Team'!B67</f>
        <v>0</v>
      </c>
      <c r="F646" s="288" t="s">
        <v>254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7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246</v>
      </c>
      <c r="M648" s="536"/>
      <c r="N648" s="537" t="str">
        <f>$F$6</f>
        <v>Wood Effect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177</v>
      </c>
      <c r="M649" s="536"/>
      <c r="N649" s="537" t="str">
        <f>$K$6</f>
        <v>Black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247</v>
      </c>
      <c r="M650" s="536"/>
      <c r="N650" s="539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248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249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250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251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252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253</v>
      </c>
      <c r="D657" s="536"/>
      <c r="E657" s="289">
        <f>'BD Team'!B68</f>
        <v>0</v>
      </c>
      <c r="F657" s="288" t="s">
        <v>254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7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246</v>
      </c>
      <c r="M659" s="536"/>
      <c r="N659" s="537" t="str">
        <f>$F$6</f>
        <v>Wood Effect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177</v>
      </c>
      <c r="M660" s="536"/>
      <c r="N660" s="537" t="str">
        <f>$K$6</f>
        <v>Black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247</v>
      </c>
      <c r="M661" s="536"/>
      <c r="N661" s="539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248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249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250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251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252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253</v>
      </c>
      <c r="D668" s="536"/>
      <c r="E668" s="289">
        <f>'BD Team'!B69</f>
        <v>0</v>
      </c>
      <c r="F668" s="288" t="s">
        <v>254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7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246</v>
      </c>
      <c r="M670" s="536"/>
      <c r="N670" s="537" t="str">
        <f>$F$6</f>
        <v>Wood Effect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177</v>
      </c>
      <c r="M671" s="536"/>
      <c r="N671" s="537" t="str">
        <f>$K$6</f>
        <v>Black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247</v>
      </c>
      <c r="M672" s="536"/>
      <c r="N672" s="539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248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249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250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251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252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253</v>
      </c>
      <c r="D679" s="536"/>
      <c r="E679" s="289">
        <f>'BD Team'!B70</f>
        <v>0</v>
      </c>
      <c r="F679" s="288" t="s">
        <v>254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7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246</v>
      </c>
      <c r="M681" s="536"/>
      <c r="N681" s="537" t="str">
        <f>$F$6</f>
        <v>Wood Effect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177</v>
      </c>
      <c r="M682" s="536"/>
      <c r="N682" s="537" t="str">
        <f>$K$6</f>
        <v>Black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247</v>
      </c>
      <c r="M683" s="536"/>
      <c r="N683" s="539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248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249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250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251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252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253</v>
      </c>
      <c r="D690" s="536"/>
      <c r="E690" s="289">
        <f>'BD Team'!B71</f>
        <v>0</v>
      </c>
      <c r="F690" s="288" t="s">
        <v>254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7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246</v>
      </c>
      <c r="M692" s="536"/>
      <c r="N692" s="537" t="str">
        <f>$F$6</f>
        <v>Wood Effect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177</v>
      </c>
      <c r="M693" s="536"/>
      <c r="N693" s="537" t="str">
        <f>$K$6</f>
        <v>Black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247</v>
      </c>
      <c r="M694" s="536"/>
      <c r="N694" s="539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248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249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250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251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252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253</v>
      </c>
      <c r="D701" s="536"/>
      <c r="E701" s="289">
        <f>'BD Team'!B72</f>
        <v>0</v>
      </c>
      <c r="F701" s="288" t="s">
        <v>254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7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246</v>
      </c>
      <c r="M703" s="536"/>
      <c r="N703" s="537" t="str">
        <f>$F$6</f>
        <v>Wood Effect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177</v>
      </c>
      <c r="M704" s="536"/>
      <c r="N704" s="537" t="str">
        <f>$K$6</f>
        <v>Black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247</v>
      </c>
      <c r="M705" s="536"/>
      <c r="N705" s="539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248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249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250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251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252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253</v>
      </c>
      <c r="D712" s="536"/>
      <c r="E712" s="289">
        <f>'BD Team'!B73</f>
        <v>0</v>
      </c>
      <c r="F712" s="288" t="s">
        <v>254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7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246</v>
      </c>
      <c r="M714" s="536"/>
      <c r="N714" s="537" t="str">
        <f>$F$6</f>
        <v>Wood Effect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177</v>
      </c>
      <c r="M715" s="536"/>
      <c r="N715" s="537" t="str">
        <f>$K$6</f>
        <v>Black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247</v>
      </c>
      <c r="M716" s="536"/>
      <c r="N716" s="539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248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249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250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251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252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253</v>
      </c>
      <c r="D723" s="536"/>
      <c r="E723" s="289">
        <f>'BD Team'!B74</f>
        <v>0</v>
      </c>
      <c r="F723" s="288" t="s">
        <v>254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7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246</v>
      </c>
      <c r="M725" s="536"/>
      <c r="N725" s="537" t="str">
        <f>$F$6</f>
        <v>Wood Effect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177</v>
      </c>
      <c r="M726" s="536"/>
      <c r="N726" s="537" t="str">
        <f>$K$6</f>
        <v>Black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247</v>
      </c>
      <c r="M727" s="536"/>
      <c r="N727" s="539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248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249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250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251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252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253</v>
      </c>
      <c r="D734" s="536"/>
      <c r="E734" s="289">
        <f>'BD Team'!B75</f>
        <v>0</v>
      </c>
      <c r="F734" s="288" t="s">
        <v>254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7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246</v>
      </c>
      <c r="M736" s="536"/>
      <c r="N736" s="537" t="str">
        <f>$F$6</f>
        <v>Wood Effect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177</v>
      </c>
      <c r="M737" s="536"/>
      <c r="N737" s="537" t="str">
        <f>$K$6</f>
        <v>Black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247</v>
      </c>
      <c r="M738" s="536"/>
      <c r="N738" s="539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248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249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250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251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252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253</v>
      </c>
      <c r="D745" s="536"/>
      <c r="E745" s="289">
        <f>'BD Team'!B76</f>
        <v>0</v>
      </c>
      <c r="F745" s="288" t="s">
        <v>254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7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246</v>
      </c>
      <c r="M747" s="536"/>
      <c r="N747" s="537" t="str">
        <f>$F$6</f>
        <v>Wood Effect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177</v>
      </c>
      <c r="M748" s="536"/>
      <c r="N748" s="537" t="str">
        <f>$K$6</f>
        <v>Black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247</v>
      </c>
      <c r="M749" s="536"/>
      <c r="N749" s="539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248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249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250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251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252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253</v>
      </c>
      <c r="D756" s="536"/>
      <c r="E756" s="289">
        <f>'BD Team'!B77</f>
        <v>0</v>
      </c>
      <c r="F756" s="288" t="s">
        <v>254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7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246</v>
      </c>
      <c r="M758" s="536"/>
      <c r="N758" s="537" t="str">
        <f>$F$6</f>
        <v>Wood Effect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177</v>
      </c>
      <c r="M759" s="536"/>
      <c r="N759" s="537" t="str">
        <f>$K$6</f>
        <v>Black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247</v>
      </c>
      <c r="M760" s="536"/>
      <c r="N760" s="539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248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249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250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251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252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253</v>
      </c>
      <c r="D767" s="536"/>
      <c r="E767" s="289">
        <f>'BD Team'!B78</f>
        <v>0</v>
      </c>
      <c r="F767" s="288" t="s">
        <v>254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7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246</v>
      </c>
      <c r="M769" s="536"/>
      <c r="N769" s="537" t="str">
        <f>$F$6</f>
        <v>Wood Effect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177</v>
      </c>
      <c r="M770" s="536"/>
      <c r="N770" s="537" t="str">
        <f>$K$6</f>
        <v>Black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247</v>
      </c>
      <c r="M771" s="536"/>
      <c r="N771" s="539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248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249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250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251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252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253</v>
      </c>
      <c r="D778" s="536"/>
      <c r="E778" s="289">
        <f>'BD Team'!B79</f>
        <v>0</v>
      </c>
      <c r="F778" s="288" t="s">
        <v>254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7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246</v>
      </c>
      <c r="M780" s="536"/>
      <c r="N780" s="537" t="str">
        <f>$F$6</f>
        <v>Wood Effect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177</v>
      </c>
      <c r="M781" s="536"/>
      <c r="N781" s="537" t="str">
        <f>$K$6</f>
        <v>Black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247</v>
      </c>
      <c r="M782" s="536"/>
      <c r="N782" s="539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248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249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250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251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252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253</v>
      </c>
      <c r="D789" s="536"/>
      <c r="E789" s="289">
        <f>'BD Team'!B80</f>
        <v>0</v>
      </c>
      <c r="F789" s="288" t="s">
        <v>254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7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246</v>
      </c>
      <c r="M791" s="536"/>
      <c r="N791" s="537" t="str">
        <f>$F$6</f>
        <v>Wood Effect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177</v>
      </c>
      <c r="M792" s="536"/>
      <c r="N792" s="537" t="str">
        <f>$K$6</f>
        <v>Black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247</v>
      </c>
      <c r="M793" s="536"/>
      <c r="N793" s="539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248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249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250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251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252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253</v>
      </c>
      <c r="D800" s="536"/>
      <c r="E800" s="289">
        <f>'BD Team'!B81</f>
        <v>0</v>
      </c>
      <c r="F800" s="288" t="s">
        <v>254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7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246</v>
      </c>
      <c r="M802" s="536"/>
      <c r="N802" s="537" t="str">
        <f>$F$6</f>
        <v>Wood Effect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177</v>
      </c>
      <c r="M803" s="536"/>
      <c r="N803" s="537" t="str">
        <f>$K$6</f>
        <v>Black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247</v>
      </c>
      <c r="M804" s="536"/>
      <c r="N804" s="539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248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249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250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251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252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253</v>
      </c>
      <c r="D811" s="536"/>
      <c r="E811" s="289">
        <f>'BD Team'!B82</f>
        <v>0</v>
      </c>
      <c r="F811" s="288" t="s">
        <v>254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7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246</v>
      </c>
      <c r="M813" s="536"/>
      <c r="N813" s="537" t="str">
        <f>$F$6</f>
        <v>Wood Effect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177</v>
      </c>
      <c r="M814" s="536"/>
      <c r="N814" s="537" t="str">
        <f>$K$6</f>
        <v>Black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247</v>
      </c>
      <c r="M815" s="536"/>
      <c r="N815" s="539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248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249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250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251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252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253</v>
      </c>
      <c r="D822" s="536"/>
      <c r="E822" s="289">
        <f>'BD Team'!B83</f>
        <v>0</v>
      </c>
      <c r="F822" s="288" t="s">
        <v>254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7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246</v>
      </c>
      <c r="M824" s="536"/>
      <c r="N824" s="537" t="str">
        <f>$F$6</f>
        <v>Wood Effect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177</v>
      </c>
      <c r="M825" s="536"/>
      <c r="N825" s="537" t="str">
        <f>$K$6</f>
        <v>Black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247</v>
      </c>
      <c r="M826" s="536"/>
      <c r="N826" s="539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248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249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250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251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252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253</v>
      </c>
      <c r="D833" s="536"/>
      <c r="E833" s="289">
        <f>'BD Team'!B84</f>
        <v>0</v>
      </c>
      <c r="F833" s="288" t="s">
        <v>254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7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246</v>
      </c>
      <c r="M835" s="536"/>
      <c r="N835" s="537" t="str">
        <f>$F$6</f>
        <v>Wood Effect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177</v>
      </c>
      <c r="M836" s="536"/>
      <c r="N836" s="537" t="str">
        <f>$K$6</f>
        <v>Black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247</v>
      </c>
      <c r="M837" s="536"/>
      <c r="N837" s="539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248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249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250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251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252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253</v>
      </c>
      <c r="D844" s="536"/>
      <c r="E844" s="289">
        <f>'BD Team'!B85</f>
        <v>0</v>
      </c>
      <c r="F844" s="288" t="s">
        <v>254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7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246</v>
      </c>
      <c r="M846" s="536"/>
      <c r="N846" s="537" t="str">
        <f>$F$6</f>
        <v>Wood Effect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177</v>
      </c>
      <c r="M847" s="536"/>
      <c r="N847" s="537" t="str">
        <f>$K$6</f>
        <v>Black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247</v>
      </c>
      <c r="M848" s="536"/>
      <c r="N848" s="539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248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249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250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251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252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253</v>
      </c>
      <c r="D855" s="536"/>
      <c r="E855" s="289">
        <f>'BD Team'!B86</f>
        <v>0</v>
      </c>
      <c r="F855" s="288" t="s">
        <v>254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7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246</v>
      </c>
      <c r="M857" s="536"/>
      <c r="N857" s="537" t="str">
        <f>$F$6</f>
        <v>Wood Effect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177</v>
      </c>
      <c r="M858" s="536"/>
      <c r="N858" s="537" t="str">
        <f>$K$6</f>
        <v>Black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247</v>
      </c>
      <c r="M859" s="536"/>
      <c r="N859" s="539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248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249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250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251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252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253</v>
      </c>
      <c r="D866" s="536"/>
      <c r="E866" s="289">
        <f>'BD Team'!B87</f>
        <v>0</v>
      </c>
      <c r="F866" s="288" t="s">
        <v>254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7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246</v>
      </c>
      <c r="M868" s="536"/>
      <c r="N868" s="537" t="str">
        <f>$F$6</f>
        <v>Wood Effect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177</v>
      </c>
      <c r="M869" s="536"/>
      <c r="N869" s="537" t="str">
        <f>$K$6</f>
        <v>Black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247</v>
      </c>
      <c r="M870" s="536"/>
      <c r="N870" s="539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248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249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250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251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252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253</v>
      </c>
      <c r="D877" s="536"/>
      <c r="E877" s="289">
        <f>'BD Team'!B88</f>
        <v>0</v>
      </c>
      <c r="F877" s="288" t="s">
        <v>254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7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246</v>
      </c>
      <c r="M879" s="536"/>
      <c r="N879" s="537" t="str">
        <f>$F$6</f>
        <v>Wood Effect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177</v>
      </c>
      <c r="M880" s="536"/>
      <c r="N880" s="537" t="str">
        <f>$K$6</f>
        <v>Black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247</v>
      </c>
      <c r="M881" s="536"/>
      <c r="N881" s="539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248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249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250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251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252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253</v>
      </c>
      <c r="D888" s="536"/>
      <c r="E888" s="289">
        <f>'BD Team'!B89</f>
        <v>0</v>
      </c>
      <c r="F888" s="288" t="s">
        <v>254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7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246</v>
      </c>
      <c r="M890" s="536"/>
      <c r="N890" s="537" t="str">
        <f>$F$6</f>
        <v>Wood Effect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177</v>
      </c>
      <c r="M891" s="536"/>
      <c r="N891" s="537" t="str">
        <f>$K$6</f>
        <v>Black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247</v>
      </c>
      <c r="M892" s="536"/>
      <c r="N892" s="539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248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249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250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251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252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253</v>
      </c>
      <c r="D899" s="536"/>
      <c r="E899" s="289">
        <f>'BD Team'!B90</f>
        <v>0</v>
      </c>
      <c r="F899" s="288" t="s">
        <v>254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7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246</v>
      </c>
      <c r="M901" s="536"/>
      <c r="N901" s="537" t="str">
        <f>$F$6</f>
        <v>Wood Effect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177</v>
      </c>
      <c r="M902" s="536"/>
      <c r="N902" s="537" t="str">
        <f>$K$6</f>
        <v>Black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247</v>
      </c>
      <c r="M903" s="536"/>
      <c r="N903" s="539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248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249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250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251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252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253</v>
      </c>
      <c r="D910" s="536"/>
      <c r="E910" s="289">
        <f>'BD Team'!B91</f>
        <v>0</v>
      </c>
      <c r="F910" s="288" t="s">
        <v>254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7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246</v>
      </c>
      <c r="M912" s="536"/>
      <c r="N912" s="537" t="str">
        <f>$F$6</f>
        <v>Wood Effect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177</v>
      </c>
      <c r="M913" s="536"/>
      <c r="N913" s="537" t="str">
        <f>$K$6</f>
        <v>Black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247</v>
      </c>
      <c r="M914" s="536"/>
      <c r="N914" s="539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248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249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250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251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252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253</v>
      </c>
      <c r="D921" s="536"/>
      <c r="E921" s="289">
        <f>'BD Team'!B92</f>
        <v>0</v>
      </c>
      <c r="F921" s="288" t="s">
        <v>254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7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246</v>
      </c>
      <c r="M923" s="536"/>
      <c r="N923" s="537" t="str">
        <f>$F$6</f>
        <v>Wood Effect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177</v>
      </c>
      <c r="M924" s="536"/>
      <c r="N924" s="537" t="str">
        <f>$K$6</f>
        <v>Black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247</v>
      </c>
      <c r="M925" s="536"/>
      <c r="N925" s="539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248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249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250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251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252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253</v>
      </c>
      <c r="D932" s="536"/>
      <c r="E932" s="289">
        <f>'BD Team'!B93</f>
        <v>0</v>
      </c>
      <c r="F932" s="288" t="s">
        <v>254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7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246</v>
      </c>
      <c r="M934" s="536"/>
      <c r="N934" s="537" t="str">
        <f>$F$6</f>
        <v>Wood Effect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177</v>
      </c>
      <c r="M935" s="536"/>
      <c r="N935" s="537" t="str">
        <f>$K$6</f>
        <v>Black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247</v>
      </c>
      <c r="M936" s="536"/>
      <c r="N936" s="539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248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249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250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251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252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253</v>
      </c>
      <c r="D943" s="536"/>
      <c r="E943" s="289">
        <f>'BD Team'!B94</f>
        <v>0</v>
      </c>
      <c r="F943" s="288" t="s">
        <v>254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7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246</v>
      </c>
      <c r="M945" s="536"/>
      <c r="N945" s="537" t="str">
        <f>$F$6</f>
        <v>Wood Effect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177</v>
      </c>
      <c r="M946" s="536"/>
      <c r="N946" s="537" t="str">
        <f>$K$6</f>
        <v>Black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247</v>
      </c>
      <c r="M947" s="536"/>
      <c r="N947" s="539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248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249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250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251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252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253</v>
      </c>
      <c r="D954" s="536"/>
      <c r="E954" s="289">
        <f>'BD Team'!B95</f>
        <v>0</v>
      </c>
      <c r="F954" s="288" t="s">
        <v>254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7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246</v>
      </c>
      <c r="M956" s="536"/>
      <c r="N956" s="537" t="str">
        <f>$F$6</f>
        <v>Wood Effect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177</v>
      </c>
      <c r="M957" s="536"/>
      <c r="N957" s="537" t="str">
        <f>$K$6</f>
        <v>Black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247</v>
      </c>
      <c r="M958" s="536"/>
      <c r="N958" s="539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248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249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250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251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252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253</v>
      </c>
      <c r="D965" s="536"/>
      <c r="E965" s="289">
        <f>'BD Team'!B96</f>
        <v>0</v>
      </c>
      <c r="F965" s="288" t="s">
        <v>254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7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246</v>
      </c>
      <c r="M967" s="536"/>
      <c r="N967" s="537" t="str">
        <f>$F$6</f>
        <v>Wood Effect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177</v>
      </c>
      <c r="M968" s="536"/>
      <c r="N968" s="537" t="str">
        <f>$K$6</f>
        <v>Black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247</v>
      </c>
      <c r="M969" s="536"/>
      <c r="N969" s="539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248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249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250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251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252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253</v>
      </c>
      <c r="D976" s="536"/>
      <c r="E976" s="289">
        <f>'BD Team'!B97</f>
        <v>0</v>
      </c>
      <c r="F976" s="288" t="s">
        <v>254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7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246</v>
      </c>
      <c r="M978" s="536"/>
      <c r="N978" s="537" t="str">
        <f>$F$6</f>
        <v>Wood Effect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177</v>
      </c>
      <c r="M979" s="536"/>
      <c r="N979" s="537" t="str">
        <f>$K$6</f>
        <v>Black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247</v>
      </c>
      <c r="M980" s="536"/>
      <c r="N980" s="539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248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249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250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251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252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253</v>
      </c>
      <c r="D987" s="536"/>
      <c r="E987" s="289">
        <f>'BD Team'!B98</f>
        <v>0</v>
      </c>
      <c r="F987" s="288" t="s">
        <v>254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7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246</v>
      </c>
      <c r="M989" s="536"/>
      <c r="N989" s="537" t="str">
        <f>$F$6</f>
        <v>Wood Effect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177</v>
      </c>
      <c r="M990" s="536"/>
      <c r="N990" s="537" t="str">
        <f>$K$6</f>
        <v>Black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247</v>
      </c>
      <c r="M991" s="536"/>
      <c r="N991" s="539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248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249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250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251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252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253</v>
      </c>
      <c r="D998" s="536"/>
      <c r="E998" s="289">
        <f>'BD Team'!B99</f>
        <v>0</v>
      </c>
      <c r="F998" s="288" t="s">
        <v>254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7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246</v>
      </c>
      <c r="M1000" s="536"/>
      <c r="N1000" s="537" t="str">
        <f>$F$6</f>
        <v>Wood Effect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177</v>
      </c>
      <c r="M1001" s="536"/>
      <c r="N1001" s="537" t="str">
        <f>$K$6</f>
        <v>Black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247</v>
      </c>
      <c r="M1002" s="536"/>
      <c r="N1002" s="539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248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249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250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251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252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253</v>
      </c>
      <c r="D1009" s="536"/>
      <c r="E1009" s="289">
        <f>'BD Team'!B100</f>
        <v>0</v>
      </c>
      <c r="F1009" s="288" t="s">
        <v>254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7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246</v>
      </c>
      <c r="M1011" s="536"/>
      <c r="N1011" s="537" t="str">
        <f>$F$6</f>
        <v>Wood Effect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177</v>
      </c>
      <c r="M1012" s="536"/>
      <c r="N1012" s="537" t="str">
        <f>$K$6</f>
        <v>Black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247</v>
      </c>
      <c r="M1013" s="536"/>
      <c r="N1013" s="539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248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249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250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251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252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253</v>
      </c>
      <c r="D1020" s="536"/>
      <c r="E1020" s="289">
        <f>'BD Team'!B101</f>
        <v>0</v>
      </c>
      <c r="F1020" s="288" t="s">
        <v>254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7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246</v>
      </c>
      <c r="M1022" s="536"/>
      <c r="N1022" s="537" t="str">
        <f>$F$6</f>
        <v>Wood Effect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177</v>
      </c>
      <c r="M1023" s="536"/>
      <c r="N1023" s="537" t="str">
        <f>$K$6</f>
        <v>Black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247</v>
      </c>
      <c r="M1024" s="536"/>
      <c r="N1024" s="539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248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249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250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251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252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253</v>
      </c>
      <c r="D1031" s="536"/>
      <c r="E1031" s="289">
        <f>'BD Team'!B102</f>
        <v>0</v>
      </c>
      <c r="F1031" s="288" t="s">
        <v>254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7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246</v>
      </c>
      <c r="M1033" s="536"/>
      <c r="N1033" s="537" t="str">
        <f>$F$6</f>
        <v>Wood Effect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177</v>
      </c>
      <c r="M1034" s="536"/>
      <c r="N1034" s="537" t="str">
        <f>$K$6</f>
        <v>Black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247</v>
      </c>
      <c r="M1035" s="536"/>
      <c r="N1035" s="539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248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249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250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251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252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253</v>
      </c>
      <c r="D1042" s="536"/>
      <c r="E1042" s="289">
        <f>'BD Team'!B103</f>
        <v>0</v>
      </c>
      <c r="F1042" s="288" t="s">
        <v>254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7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246</v>
      </c>
      <c r="M1044" s="536"/>
      <c r="N1044" s="537" t="str">
        <f>$F$6</f>
        <v>Wood Effect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177</v>
      </c>
      <c r="M1045" s="536"/>
      <c r="N1045" s="537" t="str">
        <f>$K$6</f>
        <v>Black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247</v>
      </c>
      <c r="M1046" s="536"/>
      <c r="N1046" s="539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248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249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250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251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252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253</v>
      </c>
      <c r="D1053" s="536"/>
      <c r="E1053" s="289">
        <f>'BD Team'!B104</f>
        <v>0</v>
      </c>
      <c r="F1053" s="288" t="s">
        <v>254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7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246</v>
      </c>
      <c r="M1055" s="536"/>
      <c r="N1055" s="537" t="str">
        <f>$F$6</f>
        <v>Wood Effect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177</v>
      </c>
      <c r="M1056" s="536"/>
      <c r="N1056" s="537" t="str">
        <f>$K$6</f>
        <v>Black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247</v>
      </c>
      <c r="M1057" s="536"/>
      <c r="N1057" s="539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248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249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250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251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252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253</v>
      </c>
      <c r="D1064" s="536"/>
      <c r="E1064" s="289">
        <f>'BD Team'!B105</f>
        <v>0</v>
      </c>
      <c r="F1064" s="288" t="s">
        <v>254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7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246</v>
      </c>
      <c r="M1066" s="536"/>
      <c r="N1066" s="537" t="str">
        <f>$F$6</f>
        <v>Wood Effect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177</v>
      </c>
      <c r="M1067" s="536"/>
      <c r="N1067" s="537" t="str">
        <f>$K$6</f>
        <v>Black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247</v>
      </c>
      <c r="M1068" s="536"/>
      <c r="N1068" s="539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248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249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250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251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252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253</v>
      </c>
      <c r="D1075" s="536"/>
      <c r="E1075" s="289">
        <f>'BD Team'!B106</f>
        <v>0</v>
      </c>
      <c r="F1075" s="288" t="s">
        <v>254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7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246</v>
      </c>
      <c r="M1077" s="536"/>
      <c r="N1077" s="537" t="str">
        <f>$F$6</f>
        <v>Wood Effect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177</v>
      </c>
      <c r="M1078" s="536"/>
      <c r="N1078" s="537" t="str">
        <f>$K$6</f>
        <v>Black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247</v>
      </c>
      <c r="M1079" s="536"/>
      <c r="N1079" s="539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248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249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250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251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252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253</v>
      </c>
      <c r="D1086" s="536"/>
      <c r="E1086" s="289">
        <f>'BD Team'!B107</f>
        <v>0</v>
      </c>
      <c r="F1086" s="288" t="s">
        <v>254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7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246</v>
      </c>
      <c r="M1088" s="536"/>
      <c r="N1088" s="537" t="str">
        <f>$F$6</f>
        <v>Wood Effect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177</v>
      </c>
      <c r="M1089" s="536"/>
      <c r="N1089" s="537" t="str">
        <f>$K$6</f>
        <v>Black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247</v>
      </c>
      <c r="M1090" s="536"/>
      <c r="N1090" s="539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248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249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250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251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252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253</v>
      </c>
      <c r="D1097" s="536"/>
      <c r="E1097" s="289">
        <f>'BD Team'!B108</f>
        <v>0</v>
      </c>
      <c r="F1097" s="288" t="s">
        <v>254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7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246</v>
      </c>
      <c r="M1099" s="536"/>
      <c r="N1099" s="537" t="str">
        <f>$F$6</f>
        <v>Wood Effect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177</v>
      </c>
      <c r="M1100" s="536"/>
      <c r="N1100" s="537" t="str">
        <f>$K$6</f>
        <v>Black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247</v>
      </c>
      <c r="M1101" s="536"/>
      <c r="N1101" s="539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248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249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250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251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252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PBrush" shapeId="6148" r:id="rId5">
          <objectPr defaultSize="0" autoPict="0" r:id="rId6">
            <anchor moveWithCells="1" sizeWithCells="1">
              <from>
                <xdr:col>2</xdr:col>
                <xdr:colOff>85725</xdr:colOff>
                <xdr:row>53</xdr:row>
                <xdr:rowOff>133350</xdr:rowOff>
              </from>
              <to>
                <xdr:col>10</xdr:col>
                <xdr:colOff>438150</xdr:colOff>
                <xdr:row>59</xdr:row>
                <xdr:rowOff>57150</xdr:rowOff>
              </to>
            </anchor>
          </objectPr>
        </oleObject>
      </mc:Choice>
      <mc:Fallback>
        <oleObject progId="PBrush" shapeId="6148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262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314</v>
      </c>
    </row>
    <row r="5" spans="3:5">
      <c r="C5" s="236" t="s">
        <v>394</v>
      </c>
      <c r="D5" s="236" t="s">
        <v>392</v>
      </c>
      <c r="E5" s="309">
        <f>ROUND(Pricing!U104,0.1)/40</f>
        <v>9.4250000000000007</v>
      </c>
    </row>
    <row r="6" spans="3:5">
      <c r="C6" s="236" t="s">
        <v>83</v>
      </c>
      <c r="D6" s="236" t="s">
        <v>391</v>
      </c>
      <c r="E6" s="309">
        <f>ROUND(Pricing!V104,0.1)</f>
        <v>20</v>
      </c>
    </row>
    <row r="7" spans="3:5">
      <c r="C7" s="236" t="s">
        <v>398</v>
      </c>
      <c r="D7" s="236" t="s">
        <v>390</v>
      </c>
      <c r="E7" s="309">
        <f>ROUND(Pricing!W104,0.1)</f>
        <v>314</v>
      </c>
    </row>
    <row r="8" spans="3:5">
      <c r="C8" s="236" t="s">
        <v>395</v>
      </c>
      <c r="D8" s="236" t="s">
        <v>390</v>
      </c>
      <c r="E8" s="309">
        <f>ROUND(Pricing!X104,0.1)</f>
        <v>629</v>
      </c>
    </row>
    <row r="9" spans="3:5">
      <c r="C9" t="s">
        <v>222</v>
      </c>
      <c r="D9" s="236" t="s">
        <v>393</v>
      </c>
      <c r="E9" s="309">
        <f>ROUND(Pricing!Y104,0.1)</f>
        <v>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"/>
  <sheetViews>
    <sheetView workbookViewId="0">
      <selection activeCell="A7" sqref="A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403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404</v>
      </c>
      <c r="G1" s="315" t="s">
        <v>405</v>
      </c>
      <c r="H1" s="315" t="s">
        <v>406</v>
      </c>
      <c r="I1" s="315" t="s">
        <v>114</v>
      </c>
      <c r="J1" s="315" t="s">
        <v>407</v>
      </c>
      <c r="K1" s="315" t="s">
        <v>9</v>
      </c>
      <c r="L1" s="316" t="s">
        <v>215</v>
      </c>
      <c r="M1" s="315" t="s">
        <v>218</v>
      </c>
      <c r="N1" s="315" t="s">
        <v>408</v>
      </c>
      <c r="O1" s="315" t="s">
        <v>409</v>
      </c>
      <c r="P1" s="315" t="s">
        <v>189</v>
      </c>
      <c r="Q1" s="315" t="s">
        <v>410</v>
      </c>
      <c r="R1" s="315" t="s">
        <v>411</v>
      </c>
      <c r="S1" s="315" t="s">
        <v>412</v>
      </c>
      <c r="T1" s="315" t="s">
        <v>277</v>
      </c>
      <c r="U1" s="315" t="s">
        <v>413</v>
      </c>
    </row>
    <row r="2" spans="1:21">
      <c r="A2" s="318" t="str">
        <f>'BD Team'!B9</f>
        <v>SD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17.52MM</v>
      </c>
      <c r="E2" s="318" t="str">
        <f>'BD Team'!G9</f>
        <v>GF - INFORMAL LIVING, DINING &amp; FF - STUDY</v>
      </c>
      <c r="F2" s="318" t="str">
        <f>'BD Team'!F9</f>
        <v>SS</v>
      </c>
      <c r="I2" s="318">
        <f>'BD Team'!H9</f>
        <v>3048</v>
      </c>
      <c r="J2" s="318">
        <f>'BD Team'!I9</f>
        <v>2440</v>
      </c>
      <c r="K2" s="318">
        <f>'BD Team'!J9</f>
        <v>3</v>
      </c>
      <c r="L2" s="319">
        <f>'BD Team'!K9</f>
        <v>611.05999999999995</v>
      </c>
      <c r="M2" s="318">
        <f>Pricing!O4</f>
        <v>5049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FRENCH CASEMENT WINDOW</v>
      </c>
      <c r="D3" s="318" t="str">
        <f>'BD Team'!E10</f>
        <v>17.52MM</v>
      </c>
      <c r="E3" s="318" t="str">
        <f>'BD Team'!G10</f>
        <v>FF - DAUGHTER'S BEDROOM</v>
      </c>
      <c r="F3" s="318" t="str">
        <f>'BD Team'!F10</f>
        <v>NO</v>
      </c>
      <c r="I3" s="318">
        <f>'BD Team'!H10</f>
        <v>1524</v>
      </c>
      <c r="J3" s="318">
        <f>'BD Team'!I10</f>
        <v>2440</v>
      </c>
      <c r="K3" s="318">
        <f>'BD Team'!J10</f>
        <v>1</v>
      </c>
      <c r="L3" s="319">
        <f>'BD Team'!K10</f>
        <v>352.41</v>
      </c>
      <c r="M3" s="318">
        <f>Pricing!O5</f>
        <v>5049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D3</v>
      </c>
      <c r="B4" s="318" t="str">
        <f>'BD Team'!C11</f>
        <v>M15000</v>
      </c>
      <c r="C4" s="318" t="str">
        <f>'BD Team'!D11</f>
        <v>FRENCH CASEMENT DOOR</v>
      </c>
      <c r="D4" s="318" t="str">
        <f>'BD Team'!E11</f>
        <v>17.52MM</v>
      </c>
      <c r="E4" s="318" t="str">
        <f>'BD Team'!G11</f>
        <v>FF - DAUGHTER'S BEDROOM &amp; SF - NEAR STAIRCASE</v>
      </c>
      <c r="F4" s="318" t="str">
        <f>'BD Team'!F11</f>
        <v>NO</v>
      </c>
      <c r="I4" s="318">
        <f>'BD Team'!H11</f>
        <v>1524</v>
      </c>
      <c r="J4" s="318">
        <f>'BD Team'!I11</f>
        <v>2440</v>
      </c>
      <c r="K4" s="318">
        <f>'BD Team'!J11</f>
        <v>2</v>
      </c>
      <c r="L4" s="319">
        <f>'BD Team'!K11</f>
        <v>474.23</v>
      </c>
      <c r="M4" s="318">
        <f>Pricing!O6</f>
        <v>5049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FG2</v>
      </c>
      <c r="B5" s="318" t="str">
        <f>'BD Team'!C12</f>
        <v>M15000</v>
      </c>
      <c r="C5" s="318" t="str">
        <f>'BD Team'!D12</f>
        <v>FIXED GLASS CORNOR JOINT</v>
      </c>
      <c r="D5" s="318" t="str">
        <f>'BD Team'!E12</f>
        <v>17.52MM</v>
      </c>
      <c r="E5" s="318" t="str">
        <f>'BD Team'!G12</f>
        <v>GF - NEAR ENTRANCE</v>
      </c>
      <c r="F5" s="318" t="str">
        <f>'BD Team'!F12</f>
        <v>NO</v>
      </c>
      <c r="I5" s="318">
        <f>'BD Team'!H12</f>
        <v>2010</v>
      </c>
      <c r="J5" s="318">
        <f>'BD Team'!I12</f>
        <v>3810</v>
      </c>
      <c r="K5" s="318">
        <f>'BD Team'!J12</f>
        <v>1</v>
      </c>
      <c r="L5" s="319">
        <f>'BD Team'!K12</f>
        <v>112.95</v>
      </c>
      <c r="M5" s="318">
        <f>Pricing!O7</f>
        <v>5049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CW</v>
      </c>
      <c r="B6" s="318" t="str">
        <f>'BD Team'!C13</f>
        <v>M15000</v>
      </c>
      <c r="C6" s="318" t="str">
        <f>'BD Team'!D13</f>
        <v>2 FRENCH CASEMENT DOORS WITH FIXED GLASS WITH SILICON JOINT</v>
      </c>
      <c r="D6" s="318" t="str">
        <f>'BD Team'!E13</f>
        <v>17.52MM</v>
      </c>
      <c r="E6" s="318" t="str">
        <f>'BD Team'!G13</f>
        <v>GF - FORMAL LIVING</v>
      </c>
      <c r="F6" s="318" t="str">
        <f>'BD Team'!F13</f>
        <v>NO</v>
      </c>
      <c r="I6" s="318">
        <f>'BD Team'!H13</f>
        <v>10544</v>
      </c>
      <c r="J6" s="318">
        <f>'BD Team'!I13</f>
        <v>2440</v>
      </c>
      <c r="K6" s="318">
        <f>'BD Team'!J13</f>
        <v>1</v>
      </c>
      <c r="L6" s="319">
        <f>'BD Team'!K13</f>
        <v>1191.3900000000001</v>
      </c>
      <c r="M6" s="318">
        <f>Pricing!O8</f>
        <v>5049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4" sqref="K1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420</v>
      </c>
      <c r="F2" s="137"/>
      <c r="G2" s="163"/>
      <c r="H2" s="323" t="s">
        <v>184</v>
      </c>
      <c r="I2" s="324"/>
      <c r="J2" s="165" t="s">
        <v>423</v>
      </c>
      <c r="K2" s="167"/>
      <c r="L2" s="104" t="s">
        <v>207</v>
      </c>
      <c r="M2" s="104" t="s">
        <v>379</v>
      </c>
    </row>
    <row r="3" spans="1:13" s="104" customFormat="1">
      <c r="A3" s="322" t="s">
        <v>127</v>
      </c>
      <c r="B3" s="322"/>
      <c r="C3" s="322"/>
      <c r="D3" s="322"/>
      <c r="E3" s="162" t="s">
        <v>417</v>
      </c>
      <c r="F3" s="136" t="s">
        <v>182</v>
      </c>
      <c r="G3" s="162" t="s">
        <v>422</v>
      </c>
      <c r="H3" s="323" t="s">
        <v>185</v>
      </c>
      <c r="I3" s="324"/>
      <c r="J3" s="166">
        <v>43727</v>
      </c>
      <c r="K3" s="167"/>
      <c r="L3" s="104" t="s">
        <v>257</v>
      </c>
      <c r="M3" s="104" t="s">
        <v>380</v>
      </c>
    </row>
    <row r="4" spans="1:13" s="104" customFormat="1" ht="18">
      <c r="A4" s="322" t="s">
        <v>168</v>
      </c>
      <c r="B4" s="322"/>
      <c r="C4" s="322"/>
      <c r="D4" s="322"/>
      <c r="E4" s="162" t="s">
        <v>364</v>
      </c>
      <c r="F4" s="135"/>
      <c r="G4" s="164"/>
      <c r="H4" s="323" t="s">
        <v>186</v>
      </c>
      <c r="I4" s="324"/>
      <c r="J4" s="165" t="s">
        <v>400</v>
      </c>
      <c r="K4" s="167"/>
      <c r="L4" s="104" t="s">
        <v>258</v>
      </c>
      <c r="M4" s="104" t="s">
        <v>381</v>
      </c>
    </row>
    <row r="5" spans="1:13" s="104" customFormat="1">
      <c r="A5" s="322" t="s">
        <v>176</v>
      </c>
      <c r="B5" s="322"/>
      <c r="C5" s="322"/>
      <c r="D5" s="322"/>
      <c r="E5" s="162" t="s">
        <v>421</v>
      </c>
      <c r="F5" s="136" t="s">
        <v>183</v>
      </c>
      <c r="G5" s="162" t="s">
        <v>260</v>
      </c>
      <c r="H5" s="323" t="s">
        <v>373</v>
      </c>
      <c r="I5" s="324"/>
      <c r="J5" s="165" t="s">
        <v>424</v>
      </c>
      <c r="K5" s="167"/>
      <c r="L5" s="104" t="s">
        <v>259</v>
      </c>
      <c r="M5" s="104" t="s">
        <v>382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383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400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428</v>
      </c>
      <c r="F9" s="113" t="s">
        <v>429</v>
      </c>
      <c r="G9" s="113" t="s">
        <v>430</v>
      </c>
      <c r="H9" s="113">
        <v>3048</v>
      </c>
      <c r="I9" s="113">
        <v>2440</v>
      </c>
      <c r="J9" s="113">
        <v>3</v>
      </c>
      <c r="K9" s="123">
        <v>611.05999999999995</v>
      </c>
    </row>
    <row r="10" spans="1:13" ht="20.100000000000001" customHeight="1">
      <c r="A10" s="113">
        <v>2</v>
      </c>
      <c r="B10" s="113" t="s">
        <v>432</v>
      </c>
      <c r="C10" s="113" t="s">
        <v>433</v>
      </c>
      <c r="D10" s="113" t="s">
        <v>439</v>
      </c>
      <c r="E10" s="113" t="s">
        <v>428</v>
      </c>
      <c r="F10" s="113" t="s">
        <v>435</v>
      </c>
      <c r="G10" s="113" t="s">
        <v>436</v>
      </c>
      <c r="H10" s="113">
        <v>1524</v>
      </c>
      <c r="I10" s="113">
        <v>2440</v>
      </c>
      <c r="J10" s="113">
        <v>1</v>
      </c>
      <c r="K10" s="123">
        <v>352.41</v>
      </c>
      <c r="L10" s="47" t="s">
        <v>282</v>
      </c>
    </row>
    <row r="11" spans="1:13" ht="20.100000000000001" customHeight="1">
      <c r="A11" s="113">
        <v>3</v>
      </c>
      <c r="B11" s="113" t="s">
        <v>437</v>
      </c>
      <c r="C11" s="113" t="s">
        <v>433</v>
      </c>
      <c r="D11" s="113" t="s">
        <v>434</v>
      </c>
      <c r="E11" s="113" t="s">
        <v>428</v>
      </c>
      <c r="F11" s="113" t="s">
        <v>435</v>
      </c>
      <c r="G11" s="113" t="s">
        <v>438</v>
      </c>
      <c r="H11" s="113">
        <v>1524</v>
      </c>
      <c r="I11" s="113">
        <v>2440</v>
      </c>
      <c r="J11" s="113">
        <v>2</v>
      </c>
      <c r="K11" s="123">
        <v>474.23</v>
      </c>
      <c r="L11" s="47" t="s">
        <v>281</v>
      </c>
    </row>
    <row r="12" spans="1:13" ht="20.100000000000001" customHeight="1">
      <c r="A12" s="113">
        <v>4</v>
      </c>
      <c r="B12" s="113" t="s">
        <v>440</v>
      </c>
      <c r="C12" s="113" t="s">
        <v>433</v>
      </c>
      <c r="D12" s="113" t="s">
        <v>441</v>
      </c>
      <c r="E12" s="113" t="s">
        <v>428</v>
      </c>
      <c r="F12" s="113" t="s">
        <v>435</v>
      </c>
      <c r="G12" s="113" t="s">
        <v>442</v>
      </c>
      <c r="H12" s="113">
        <v>2010</v>
      </c>
      <c r="I12" s="113">
        <v>3810</v>
      </c>
      <c r="J12" s="113">
        <v>1</v>
      </c>
      <c r="K12" s="123">
        <v>112.95</v>
      </c>
      <c r="L12" s="47" t="s">
        <v>364</v>
      </c>
    </row>
    <row r="13" spans="1:13" ht="20.100000000000001" customHeight="1">
      <c r="A13" s="113">
        <v>5</v>
      </c>
      <c r="B13" s="113" t="s">
        <v>443</v>
      </c>
      <c r="C13" s="113" t="s">
        <v>433</v>
      </c>
      <c r="D13" s="113" t="s">
        <v>444</v>
      </c>
      <c r="E13" s="113" t="s">
        <v>428</v>
      </c>
      <c r="F13" s="113" t="s">
        <v>435</v>
      </c>
      <c r="G13" s="113" t="s">
        <v>445</v>
      </c>
      <c r="H13" s="113">
        <v>10544</v>
      </c>
      <c r="I13" s="113">
        <v>2440</v>
      </c>
      <c r="J13" s="113">
        <v>1</v>
      </c>
      <c r="K13" s="123">
        <v>1191.3900000000001</v>
      </c>
      <c r="L13" s="47" t="s">
        <v>365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366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367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368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369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370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371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384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385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386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401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414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415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416</v>
      </c>
      <c r="M26" s="47" t="s">
        <v>417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13" sqref="O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 ht="28.5">
      <c r="A4" s="118">
        <f>'BD Team'!A9</f>
        <v>1</v>
      </c>
      <c r="B4" s="118" t="str">
        <f>'BD Team'!B9</f>
        <v>SD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GF - INFORMAL LIVING, DINING &amp; FF - STUDY</v>
      </c>
      <c r="G4" s="118">
        <f>'BD Team'!H9</f>
        <v>3048</v>
      </c>
      <c r="H4" s="118">
        <f>'BD Team'!I9</f>
        <v>2440</v>
      </c>
      <c r="I4" s="118">
        <f>'BD Team'!J9</f>
        <v>3</v>
      </c>
      <c r="J4" s="103">
        <f t="shared" ref="J4:J53" si="0">G4*H4*I4*10.764/1000000</f>
        <v>240.15947903999998</v>
      </c>
      <c r="K4" s="172">
        <f>'BD Team'!K9</f>
        <v>611.05999999999995</v>
      </c>
      <c r="L4" s="171">
        <f>K4*I4</f>
        <v>1833.1799999999998</v>
      </c>
      <c r="M4" s="170">
        <f>L4*'Changable Values'!$D$4</f>
        <v>152153.93999999997</v>
      </c>
      <c r="N4" s="170" t="str">
        <f>'BD Team'!E9</f>
        <v>17.52MM</v>
      </c>
      <c r="O4" s="172">
        <v>5049</v>
      </c>
      <c r="P4" s="241"/>
      <c r="Q4" s="173">
        <f>50*10.764</f>
        <v>538.19999999999993</v>
      </c>
      <c r="R4" s="185"/>
      <c r="S4" s="312"/>
      <c r="T4" s="313">
        <f>(G4+H4)*I4*2/300</f>
        <v>109.76</v>
      </c>
      <c r="U4" s="313">
        <f>SUM(G4:H4)*I4*2*4/1000</f>
        <v>131.71199999999999</v>
      </c>
      <c r="V4" s="313">
        <f>SUM(G4:H4)*I4*5*5*4/(1000*240)</f>
        <v>6.86</v>
      </c>
      <c r="W4" s="313">
        <f>T4</f>
        <v>109.76</v>
      </c>
      <c r="X4" s="313">
        <f>W4*2</f>
        <v>219.52</v>
      </c>
      <c r="Y4" s="313">
        <f>SUM(G4:H4)*I4*4/1000</f>
        <v>65.855999999999995</v>
      </c>
    </row>
    <row r="5" spans="1:25" ht="28.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FRENCH CASEMENT WINDOW</v>
      </c>
      <c r="E5" s="118" t="str">
        <f>'BD Team'!F10</f>
        <v>NO</v>
      </c>
      <c r="F5" s="121" t="str">
        <f>'BD Team'!G10</f>
        <v>FF - DAUGHTER'S BEDROOM</v>
      </c>
      <c r="G5" s="118">
        <f>'BD Team'!H10</f>
        <v>1524</v>
      </c>
      <c r="H5" s="118">
        <f>'BD Team'!I10</f>
        <v>2440</v>
      </c>
      <c r="I5" s="118">
        <f>'BD Team'!J10</f>
        <v>1</v>
      </c>
      <c r="J5" s="103">
        <f t="shared" si="0"/>
        <v>40.026579839999997</v>
      </c>
      <c r="K5" s="172">
        <f>'BD Team'!K10</f>
        <v>352.41</v>
      </c>
      <c r="L5" s="171">
        <f t="shared" ref="L5:L53" si="1">K5*I5</f>
        <v>352.41</v>
      </c>
      <c r="M5" s="170">
        <f>L5*'Changable Values'!$D$4</f>
        <v>29250.030000000002</v>
      </c>
      <c r="N5" s="170" t="str">
        <f>'BD Team'!E10</f>
        <v>17.52MM</v>
      </c>
      <c r="O5" s="172">
        <v>5049</v>
      </c>
      <c r="P5" s="241"/>
      <c r="Q5" s="173"/>
      <c r="R5" s="185"/>
      <c r="S5" s="312"/>
      <c r="T5" s="313">
        <f t="shared" ref="T5:T68" si="2">(G5+H5)*I5*2/300</f>
        <v>26.426666666666666</v>
      </c>
      <c r="U5" s="313">
        <f t="shared" ref="U5:U68" si="3">SUM(G5:H5)*I5*2*4/1000</f>
        <v>31.712</v>
      </c>
      <c r="V5" s="313">
        <f t="shared" ref="V5:V68" si="4">SUM(G5:H5)*I5*5*5*4/(1000*240)</f>
        <v>1.6516666666666666</v>
      </c>
      <c r="W5" s="313">
        <f t="shared" ref="W5:W68" si="5">T5</f>
        <v>26.426666666666666</v>
      </c>
      <c r="X5" s="313">
        <f t="shared" ref="X5:X68" si="6">W5*2</f>
        <v>52.853333333333332</v>
      </c>
      <c r="Y5" s="313">
        <f t="shared" ref="Y5:Y68" si="7">SUM(G5:H5)*I5*4/1000</f>
        <v>15.856</v>
      </c>
    </row>
    <row r="6" spans="1:25" ht="42.75">
      <c r="A6" s="118">
        <f>'BD Team'!A11</f>
        <v>3</v>
      </c>
      <c r="B6" s="118" t="str">
        <f>'BD Team'!B11</f>
        <v>D3</v>
      </c>
      <c r="C6" s="118" t="str">
        <f>'BD Team'!C11</f>
        <v>M15000</v>
      </c>
      <c r="D6" s="118" t="str">
        <f>'BD Team'!D11</f>
        <v>FRENCH CASEMENT DOOR</v>
      </c>
      <c r="E6" s="118" t="str">
        <f>'BD Team'!F11</f>
        <v>NO</v>
      </c>
      <c r="F6" s="121" t="str">
        <f>'BD Team'!G11</f>
        <v>FF - DAUGHTER'S BEDROOM &amp; SF - NEAR STAIRCASE</v>
      </c>
      <c r="G6" s="118">
        <f>'BD Team'!H11</f>
        <v>1524</v>
      </c>
      <c r="H6" s="118">
        <f>'BD Team'!I11</f>
        <v>2440</v>
      </c>
      <c r="I6" s="118">
        <f>'BD Team'!J11</f>
        <v>2</v>
      </c>
      <c r="J6" s="103">
        <f t="shared" si="0"/>
        <v>80.053159679999993</v>
      </c>
      <c r="K6" s="172">
        <f>'BD Team'!K11</f>
        <v>474.23</v>
      </c>
      <c r="L6" s="171">
        <f t="shared" si="1"/>
        <v>948.46</v>
      </c>
      <c r="M6" s="170">
        <f>L6*'Changable Values'!$D$4</f>
        <v>78722.180000000008</v>
      </c>
      <c r="N6" s="170" t="str">
        <f>'BD Team'!E11</f>
        <v>17.52MM</v>
      </c>
      <c r="O6" s="172">
        <v>5049</v>
      </c>
      <c r="P6" s="241"/>
      <c r="Q6" s="173"/>
      <c r="R6" s="185"/>
      <c r="S6" s="312"/>
      <c r="T6" s="313">
        <f t="shared" si="2"/>
        <v>52.853333333333332</v>
      </c>
      <c r="U6" s="313">
        <f t="shared" si="3"/>
        <v>63.423999999999999</v>
      </c>
      <c r="V6" s="313">
        <f t="shared" si="4"/>
        <v>3.3033333333333332</v>
      </c>
      <c r="W6" s="313">
        <f t="shared" si="5"/>
        <v>52.853333333333332</v>
      </c>
      <c r="X6" s="313">
        <f t="shared" si="6"/>
        <v>105.70666666666666</v>
      </c>
      <c r="Y6" s="313">
        <f t="shared" si="7"/>
        <v>31.712</v>
      </c>
    </row>
    <row r="7" spans="1:25">
      <c r="A7" s="118">
        <f>'BD Team'!A12</f>
        <v>4</v>
      </c>
      <c r="B7" s="118" t="str">
        <f>'BD Team'!B12</f>
        <v>FG2</v>
      </c>
      <c r="C7" s="118" t="str">
        <f>'BD Team'!C12</f>
        <v>M15000</v>
      </c>
      <c r="D7" s="118" t="str">
        <f>'BD Team'!D12</f>
        <v>FIXED GLASS CORNOR JOINT</v>
      </c>
      <c r="E7" s="118" t="str">
        <f>'BD Team'!F12</f>
        <v>NO</v>
      </c>
      <c r="F7" s="121" t="str">
        <f>'BD Team'!G12</f>
        <v>GF - NEAR ENTRANCE</v>
      </c>
      <c r="G7" s="118">
        <f>'BD Team'!H12</f>
        <v>2010</v>
      </c>
      <c r="H7" s="118">
        <f>'BD Team'!I12</f>
        <v>3810</v>
      </c>
      <c r="I7" s="118">
        <f>'BD Team'!J12</f>
        <v>1</v>
      </c>
      <c r="J7" s="103">
        <f t="shared" si="0"/>
        <v>82.431788399999988</v>
      </c>
      <c r="K7" s="172">
        <f>'BD Team'!K12</f>
        <v>112.95</v>
      </c>
      <c r="L7" s="171">
        <f t="shared" si="1"/>
        <v>112.95</v>
      </c>
      <c r="M7" s="170">
        <f>L7*'Changable Values'!$D$4</f>
        <v>9374.85</v>
      </c>
      <c r="N7" s="170" t="str">
        <f>'BD Team'!E12</f>
        <v>17.52MM</v>
      </c>
      <c r="O7" s="172">
        <v>5049</v>
      </c>
      <c r="P7" s="241"/>
      <c r="Q7" s="173"/>
      <c r="R7" s="185"/>
      <c r="S7" s="312"/>
      <c r="T7" s="313">
        <f t="shared" si="2"/>
        <v>38.799999999999997</v>
      </c>
      <c r="U7" s="313">
        <f t="shared" si="3"/>
        <v>46.56</v>
      </c>
      <c r="V7" s="313">
        <f t="shared" si="4"/>
        <v>2.4249999999999998</v>
      </c>
      <c r="W7" s="313">
        <f t="shared" si="5"/>
        <v>38.799999999999997</v>
      </c>
      <c r="X7" s="313">
        <f t="shared" si="6"/>
        <v>77.599999999999994</v>
      </c>
      <c r="Y7" s="313">
        <f t="shared" si="7"/>
        <v>23.28</v>
      </c>
    </row>
    <row r="8" spans="1:25">
      <c r="A8" s="118">
        <f>'BD Team'!A13</f>
        <v>5</v>
      </c>
      <c r="B8" s="118" t="str">
        <f>'BD Team'!B13</f>
        <v>CW</v>
      </c>
      <c r="C8" s="118" t="str">
        <f>'BD Team'!C13</f>
        <v>M15000</v>
      </c>
      <c r="D8" s="118" t="str">
        <f>'BD Team'!D13</f>
        <v>2 FRENCH CASEMENT DOORS WITH FIXED GLASS WITH SILICON JOINT</v>
      </c>
      <c r="E8" s="118" t="str">
        <f>'BD Team'!F13</f>
        <v>NO</v>
      </c>
      <c r="F8" s="121" t="str">
        <f>'BD Team'!G13</f>
        <v>GF - FORMAL LIVING</v>
      </c>
      <c r="G8" s="118">
        <f>'BD Team'!H13</f>
        <v>10544</v>
      </c>
      <c r="H8" s="118">
        <f>'BD Team'!I13</f>
        <v>2440</v>
      </c>
      <c r="I8" s="118">
        <f>'BD Team'!J13</f>
        <v>1</v>
      </c>
      <c r="J8" s="103">
        <f t="shared" si="0"/>
        <v>276.92930303999998</v>
      </c>
      <c r="K8" s="172">
        <f>'BD Team'!K13</f>
        <v>1191.3900000000001</v>
      </c>
      <c r="L8" s="171">
        <f t="shared" si="1"/>
        <v>1191.3900000000001</v>
      </c>
      <c r="M8" s="170">
        <f>L8*'Changable Values'!$D$4</f>
        <v>98885.37000000001</v>
      </c>
      <c r="N8" s="170" t="str">
        <f>'BD Team'!E13</f>
        <v>17.52MM</v>
      </c>
      <c r="O8" s="172">
        <v>5049</v>
      </c>
      <c r="P8" s="241"/>
      <c r="Q8" s="173"/>
      <c r="R8" s="185"/>
      <c r="S8" s="312"/>
      <c r="T8" s="313">
        <f t="shared" si="2"/>
        <v>86.56</v>
      </c>
      <c r="U8" s="313">
        <f t="shared" si="3"/>
        <v>103.872</v>
      </c>
      <c r="V8" s="313">
        <f t="shared" si="4"/>
        <v>5.41</v>
      </c>
      <c r="W8" s="313">
        <f t="shared" si="5"/>
        <v>86.56</v>
      </c>
      <c r="X8" s="313">
        <f t="shared" si="6"/>
        <v>173.12</v>
      </c>
      <c r="Y8" s="313">
        <f t="shared" si="7"/>
        <v>51.936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2742.04</v>
      </c>
      <c r="L104" s="168">
        <f>SUM(L4:L103)</f>
        <v>4438.3899999999994</v>
      </c>
      <c r="M104" s="168">
        <f>SUM(M4:M103)</f>
        <v>368386.36999999994</v>
      </c>
      <c r="T104" s="314">
        <f t="shared" ref="T104:Y104" si="16">SUM(T4:T103)</f>
        <v>314.39999999999998</v>
      </c>
      <c r="U104" s="314">
        <f t="shared" si="16"/>
        <v>377.28000000000003</v>
      </c>
      <c r="V104" s="314">
        <f t="shared" si="16"/>
        <v>19.649999999999999</v>
      </c>
      <c r="W104" s="314">
        <f t="shared" si="16"/>
        <v>314.39999999999998</v>
      </c>
      <c r="X104" s="314">
        <f t="shared" si="16"/>
        <v>628.79999999999995</v>
      </c>
      <c r="Y104" s="314">
        <f t="shared" si="16"/>
        <v>188.64000000000001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5048.5679999999993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</v>
      </c>
      <c r="E8" s="132" t="str">
        <f>Pricing!N4</f>
        <v>17.52MM</v>
      </c>
      <c r="F8" s="68">
        <f>Pricing!G4</f>
        <v>3048</v>
      </c>
      <c r="G8" s="68">
        <f>Pricing!H4</f>
        <v>2440</v>
      </c>
      <c r="H8" s="100">
        <f t="shared" ref="H8:H57" si="0">(F8*G8)/1000000</f>
        <v>7.4371200000000002</v>
      </c>
      <c r="I8" s="70">
        <f>Pricing!I4</f>
        <v>3</v>
      </c>
      <c r="J8" s="69">
        <f t="shared" ref="J8" si="1">H8*I8</f>
        <v>22.311360000000001</v>
      </c>
      <c r="K8" s="71">
        <f t="shared" ref="K8" si="2">J8*10.764</f>
        <v>240.15947903999998</v>
      </c>
      <c r="L8" s="69"/>
      <c r="M8" s="72"/>
      <c r="N8" s="72"/>
      <c r="O8" s="72">
        <f t="shared" ref="O8:O35" si="3">N8*M8*L8/1000000</f>
        <v>0</v>
      </c>
      <c r="P8" s="73">
        <f>Pricing!M4</f>
        <v>152153.93999999997</v>
      </c>
      <c r="Q8" s="74">
        <f t="shared" ref="Q8:Q56" si="4">P8*$Q$6</f>
        <v>15215.393999999998</v>
      </c>
      <c r="R8" s="74">
        <f t="shared" ref="R8:R56" si="5">(P8+Q8)*$R$6</f>
        <v>18410.626739999996</v>
      </c>
      <c r="S8" s="74">
        <f t="shared" ref="S8:S56" si="6">(P8+Q8+R8)*$S$6</f>
        <v>928.89980369999989</v>
      </c>
      <c r="T8" s="74">
        <f t="shared" ref="T8:T56" si="7">(P8+Q8+R8+S8)*$T$6</f>
        <v>1867.0886054370001</v>
      </c>
      <c r="U8" s="72">
        <f t="shared" ref="U8:U56" si="8">SUM(P8:T8)</f>
        <v>188575.94914913698</v>
      </c>
      <c r="V8" s="74">
        <f t="shared" ref="V8:V56" si="9">U8*$V$6</f>
        <v>2828.6392372370547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112650.05664000001</v>
      </c>
      <c r="AE8" s="76">
        <f>((((F8+G8)*2)/305)*I8*$AE$7)</f>
        <v>2699.0163934426228</v>
      </c>
      <c r="AF8" s="346">
        <f>(((((F8*4)+(G8*4))/1000)*$AF$6*$AG$6)/300)*I8*$AF$7</f>
        <v>2765.9520000000007</v>
      </c>
      <c r="AG8" s="347"/>
      <c r="AH8" s="76">
        <f>(((F8+G8))*I8/1000)*8*$AH$7</f>
        <v>98.783999999999992</v>
      </c>
      <c r="AI8" s="76">
        <f t="shared" ref="AI8:AI57" si="15">(((F8+G8)*2*I8)/1000)*2*$AI$7</f>
        <v>329.28</v>
      </c>
      <c r="AJ8" s="76">
        <f>J8*Pricing!Q4</f>
        <v>12007.973951999998</v>
      </c>
      <c r="AK8" s="76">
        <f>J8*Pricing!R4</f>
        <v>0</v>
      </c>
      <c r="AL8" s="76">
        <f t="shared" ref="AL8:AL39" si="16">J8*$AL$6</f>
        <v>24015.947903999997</v>
      </c>
      <c r="AM8" s="77">
        <f t="shared" ref="AM8:AM39" si="17">$AM$6*J8</f>
        <v>0</v>
      </c>
      <c r="AN8" s="76">
        <f t="shared" ref="AN8:AN39" si="18">$AN$6*J8</f>
        <v>24015.947903999997</v>
      </c>
      <c r="AO8" s="72">
        <f t="shared" ref="AO8:AO39" si="19">SUM(U8:V8)+SUM(AC8:AI8)-AD8</f>
        <v>197297.62077981664</v>
      </c>
      <c r="AP8" s="74">
        <f t="shared" ref="AP8:AP39" si="20">AO8*$AP$6</f>
        <v>246622.0259747708</v>
      </c>
      <c r="AQ8" s="74">
        <f t="shared" ref="AQ8:AQ56" si="21">(AO8+AP8)*$AQ$6</f>
        <v>0</v>
      </c>
      <c r="AR8" s="74">
        <f t="shared" ref="AR8:AR39" si="22">SUM(AO8:AQ8)/J8</f>
        <v>19896.574962466984</v>
      </c>
      <c r="AS8" s="72">
        <f t="shared" ref="AS8:AS39" si="23">SUM(AJ8:AQ8)+AD8+AB8</f>
        <v>616609.57315458742</v>
      </c>
      <c r="AT8" s="72">
        <f t="shared" ref="AT8:AT39" si="24">AS8/J8</f>
        <v>27636.574962466984</v>
      </c>
      <c r="AU8" s="78">
        <f t="shared" ref="AU8:AU56" si="25">AT8/10.764</f>
        <v>2567.5004610244318</v>
      </c>
      <c r="AV8" s="79">
        <f t="shared" ref="AV8:AV39" si="26">K8/$K$109</f>
        <v>0.33374009947271982</v>
      </c>
      <c r="AW8" s="80">
        <f t="shared" ref="AW8:AW39" si="27">(U8+V8)/(J8*10.764)</f>
        <v>796.98952192719605</v>
      </c>
      <c r="AX8" s="81">
        <f t="shared" ref="AX8:AX39" si="28">SUM(W8:AN8,AP8)/(J8*10.764)</f>
        <v>1770.5109390972366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FRENCH CASEMENT WINDOW</v>
      </c>
      <c r="D9" s="131" t="str">
        <f>Pricing!B5</f>
        <v>W2</v>
      </c>
      <c r="E9" s="132" t="str">
        <f>Pricing!N5</f>
        <v>17.52MM</v>
      </c>
      <c r="F9" s="68">
        <f>Pricing!G5</f>
        <v>1524</v>
      </c>
      <c r="G9" s="68">
        <f>Pricing!H5</f>
        <v>2440</v>
      </c>
      <c r="H9" s="100">
        <f t="shared" si="0"/>
        <v>3.7185600000000001</v>
      </c>
      <c r="I9" s="70">
        <f>Pricing!I5</f>
        <v>1</v>
      </c>
      <c r="J9" s="69">
        <f t="shared" ref="J9:J58" si="30">H9*I9</f>
        <v>3.7185600000000001</v>
      </c>
      <c r="K9" s="71">
        <f t="shared" ref="K9:K58" si="31">J9*10.764</f>
        <v>40.026579839999997</v>
      </c>
      <c r="L9" s="69"/>
      <c r="M9" s="72"/>
      <c r="N9" s="72"/>
      <c r="O9" s="72">
        <f t="shared" si="3"/>
        <v>0</v>
      </c>
      <c r="P9" s="73">
        <f>Pricing!M5</f>
        <v>29250.030000000002</v>
      </c>
      <c r="Q9" s="74">
        <f t="shared" ref="Q9:Q14" si="32">P9*$Q$6</f>
        <v>2925.0030000000006</v>
      </c>
      <c r="R9" s="74">
        <f t="shared" ref="R9:R14" si="33">(P9+Q9)*$R$6</f>
        <v>3539.2536300000002</v>
      </c>
      <c r="S9" s="74">
        <f t="shared" ref="S9:S14" si="34">(P9+Q9+R9)*$S$6</f>
        <v>178.57143315000002</v>
      </c>
      <c r="T9" s="74">
        <f t="shared" ref="T9:T14" si="35">(P9+Q9+R9+S9)*$T$6</f>
        <v>358.92858063150004</v>
      </c>
      <c r="U9" s="72">
        <f t="shared" ref="U9:U14" si="36">SUM(P9:T9)</f>
        <v>36251.786643781503</v>
      </c>
      <c r="V9" s="74">
        <f t="shared" ref="V9:V14" si="37">U9*$V$6</f>
        <v>543.77679965672257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18775.009440000002</v>
      </c>
      <c r="AE9" s="76">
        <f t="shared" ref="AE9:AE57" si="43">((((F9+G9)*2)/305)*I9*$AE$7)</f>
        <v>649.8360655737705</v>
      </c>
      <c r="AF9" s="346">
        <f t="shared" ref="AF9:AF57" si="44">(((((F9*4)+(G9*4))/1000)*$AF$6*$AG$6)/300)*I9*$AF$7</f>
        <v>665.95200000000011</v>
      </c>
      <c r="AG9" s="347"/>
      <c r="AH9" s="76">
        <f t="shared" ref="AH9:AH72" si="45">(((F9+G9))*I9/1000)*8*$AH$7</f>
        <v>23.783999999999999</v>
      </c>
      <c r="AI9" s="76">
        <f t="shared" si="15"/>
        <v>79.28</v>
      </c>
      <c r="AJ9" s="76">
        <f>J9*Pricing!Q5</f>
        <v>0</v>
      </c>
      <c r="AK9" s="76">
        <f>J9*Pricing!R5</f>
        <v>0</v>
      </c>
      <c r="AL9" s="76">
        <f t="shared" si="16"/>
        <v>4002.6579839999995</v>
      </c>
      <c r="AM9" s="77">
        <f t="shared" si="17"/>
        <v>0</v>
      </c>
      <c r="AN9" s="76">
        <f t="shared" si="18"/>
        <v>4002.6579839999995</v>
      </c>
      <c r="AO9" s="72">
        <f t="shared" si="19"/>
        <v>38214.415509011997</v>
      </c>
      <c r="AP9" s="74">
        <f t="shared" si="20"/>
        <v>47768.019386264998</v>
      </c>
      <c r="AQ9" s="74">
        <f t="shared" ref="AQ9:AQ14" si="46">(AO9+AP9)*$AQ$6</f>
        <v>0</v>
      </c>
      <c r="AR9" s="74">
        <f t="shared" si="22"/>
        <v>23122.508415966662</v>
      </c>
      <c r="AS9" s="72">
        <f t="shared" si="23"/>
        <v>112762.760303277</v>
      </c>
      <c r="AT9" s="72">
        <f t="shared" si="24"/>
        <v>30324.308415966665</v>
      </c>
      <c r="AU9" s="78">
        <f t="shared" ref="AU9:AU14" si="47">AT9/10.764</f>
        <v>2817.1969914498945</v>
      </c>
      <c r="AV9" s="79">
        <f t="shared" si="26"/>
        <v>5.5623349912119965E-2</v>
      </c>
      <c r="AW9" s="80">
        <f t="shared" si="27"/>
        <v>919.27822937964584</v>
      </c>
      <c r="AX9" s="81">
        <f t="shared" si="28"/>
        <v>1897.9187620702485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FRENCH CASEMENT DOOR</v>
      </c>
      <c r="D10" s="131" t="str">
        <f>Pricing!B6</f>
        <v>D3</v>
      </c>
      <c r="E10" s="132" t="str">
        <f>Pricing!N6</f>
        <v>17.52MM</v>
      </c>
      <c r="F10" s="68">
        <f>Pricing!G6</f>
        <v>1524</v>
      </c>
      <c r="G10" s="68">
        <f>Pricing!H6</f>
        <v>2440</v>
      </c>
      <c r="H10" s="100">
        <f t="shared" si="0"/>
        <v>3.7185600000000001</v>
      </c>
      <c r="I10" s="70">
        <f>Pricing!I6</f>
        <v>2</v>
      </c>
      <c r="J10" s="69">
        <f t="shared" si="30"/>
        <v>7.4371200000000002</v>
      </c>
      <c r="K10" s="71">
        <f t="shared" si="31"/>
        <v>80.053159679999993</v>
      </c>
      <c r="L10" s="69"/>
      <c r="M10" s="72"/>
      <c r="N10" s="72"/>
      <c r="O10" s="72">
        <f t="shared" si="3"/>
        <v>0</v>
      </c>
      <c r="P10" s="73">
        <f>Pricing!M6</f>
        <v>78722.180000000008</v>
      </c>
      <c r="Q10" s="74">
        <f t="shared" si="32"/>
        <v>7872.2180000000008</v>
      </c>
      <c r="R10" s="74">
        <f t="shared" si="33"/>
        <v>9525.3837800000019</v>
      </c>
      <c r="S10" s="74">
        <f t="shared" si="34"/>
        <v>480.59890890000008</v>
      </c>
      <c r="T10" s="74">
        <f t="shared" si="35"/>
        <v>966.00380688900032</v>
      </c>
      <c r="U10" s="72">
        <f t="shared" si="36"/>
        <v>97566.384495789025</v>
      </c>
      <c r="V10" s="74">
        <f t="shared" si="37"/>
        <v>1463.4957674368354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37550.018880000003</v>
      </c>
      <c r="AE10" s="76">
        <f t="shared" si="43"/>
        <v>1299.672131147541</v>
      </c>
      <c r="AF10" s="346">
        <f t="shared" si="44"/>
        <v>1331.9040000000002</v>
      </c>
      <c r="AG10" s="347"/>
      <c r="AH10" s="76">
        <f t="shared" si="45"/>
        <v>47.567999999999998</v>
      </c>
      <c r="AI10" s="76">
        <f t="shared" si="15"/>
        <v>158.56</v>
      </c>
      <c r="AJ10" s="76">
        <f>J10*Pricing!Q6</f>
        <v>0</v>
      </c>
      <c r="AK10" s="76">
        <f>J10*Pricing!R6</f>
        <v>0</v>
      </c>
      <c r="AL10" s="76">
        <f t="shared" si="16"/>
        <v>8005.315967999999</v>
      </c>
      <c r="AM10" s="77">
        <f t="shared" si="17"/>
        <v>0</v>
      </c>
      <c r="AN10" s="76">
        <f t="shared" si="18"/>
        <v>8005.315967999999</v>
      </c>
      <c r="AO10" s="72">
        <f t="shared" si="19"/>
        <v>101867.58439437339</v>
      </c>
      <c r="AP10" s="74">
        <f t="shared" si="20"/>
        <v>127334.48049296674</v>
      </c>
      <c r="AQ10" s="74">
        <f t="shared" si="46"/>
        <v>0</v>
      </c>
      <c r="AR10" s="74">
        <f t="shared" si="22"/>
        <v>30818.658954990657</v>
      </c>
      <c r="AS10" s="72">
        <f t="shared" si="23"/>
        <v>282762.71570334013</v>
      </c>
      <c r="AT10" s="72">
        <f t="shared" si="24"/>
        <v>38020.45895499066</v>
      </c>
      <c r="AU10" s="78">
        <f t="shared" si="47"/>
        <v>3532.1868222770959</v>
      </c>
      <c r="AV10" s="79">
        <f t="shared" si="26"/>
        <v>0.11124669982423993</v>
      </c>
      <c r="AW10" s="80">
        <f t="shared" si="27"/>
        <v>1237.051487525069</v>
      </c>
      <c r="AX10" s="81">
        <f t="shared" si="28"/>
        <v>2295.1353347520276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CORNOR JOINT</v>
      </c>
      <c r="D11" s="131" t="str">
        <f>Pricing!B7</f>
        <v>FG2</v>
      </c>
      <c r="E11" s="132" t="str">
        <f>Pricing!N7</f>
        <v>17.52MM</v>
      </c>
      <c r="F11" s="68">
        <f>Pricing!G7</f>
        <v>2010</v>
      </c>
      <c r="G11" s="68">
        <f>Pricing!H7</f>
        <v>3810</v>
      </c>
      <c r="H11" s="100">
        <f t="shared" si="0"/>
        <v>7.6581000000000001</v>
      </c>
      <c r="I11" s="70">
        <f>Pricing!I7</f>
        <v>1</v>
      </c>
      <c r="J11" s="69">
        <f t="shared" si="30"/>
        <v>7.6581000000000001</v>
      </c>
      <c r="K11" s="71">
        <f t="shared" si="31"/>
        <v>82.431788400000002</v>
      </c>
      <c r="L11" s="69"/>
      <c r="M11" s="72"/>
      <c r="N11" s="72"/>
      <c r="O11" s="72">
        <f t="shared" si="3"/>
        <v>0</v>
      </c>
      <c r="P11" s="73">
        <f>Pricing!M7</f>
        <v>9374.85</v>
      </c>
      <c r="Q11" s="74">
        <f t="shared" si="32"/>
        <v>937.48500000000013</v>
      </c>
      <c r="R11" s="74">
        <f t="shared" si="33"/>
        <v>1134.3568500000001</v>
      </c>
      <c r="S11" s="74">
        <f t="shared" si="34"/>
        <v>57.23345925000001</v>
      </c>
      <c r="T11" s="74">
        <f t="shared" si="35"/>
        <v>115.0392530925</v>
      </c>
      <c r="U11" s="72">
        <f t="shared" si="36"/>
        <v>11618.9645623425</v>
      </c>
      <c r="V11" s="74">
        <f t="shared" si="37"/>
        <v>174.28446843513751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38665.746899999998</v>
      </c>
      <c r="AE11" s="76">
        <f t="shared" si="43"/>
        <v>954.09836065573779</v>
      </c>
      <c r="AF11" s="346">
        <f t="shared" si="44"/>
        <v>977.76</v>
      </c>
      <c r="AG11" s="347"/>
      <c r="AH11" s="76">
        <f t="shared" si="45"/>
        <v>34.92</v>
      </c>
      <c r="AI11" s="76">
        <f t="shared" si="15"/>
        <v>116.4</v>
      </c>
      <c r="AJ11" s="76">
        <f>J11*Pricing!Q7</f>
        <v>0</v>
      </c>
      <c r="AK11" s="76">
        <f>J11*Pricing!R7</f>
        <v>0</v>
      </c>
      <c r="AL11" s="76">
        <f t="shared" si="16"/>
        <v>8243.1788399999987</v>
      </c>
      <c r="AM11" s="77">
        <f t="shared" si="17"/>
        <v>0</v>
      </c>
      <c r="AN11" s="76">
        <f t="shared" si="18"/>
        <v>8243.1788399999987</v>
      </c>
      <c r="AO11" s="72">
        <f t="shared" si="19"/>
        <v>13876.427391433375</v>
      </c>
      <c r="AP11" s="74">
        <f t="shared" si="20"/>
        <v>17345.534239291719</v>
      </c>
      <c r="AQ11" s="74">
        <f t="shared" si="46"/>
        <v>0</v>
      </c>
      <c r="AR11" s="74">
        <f t="shared" si="22"/>
        <v>4076.9853659164928</v>
      </c>
      <c r="AS11" s="72">
        <f t="shared" si="23"/>
        <v>86374.066210725083</v>
      </c>
      <c r="AT11" s="72">
        <f t="shared" si="24"/>
        <v>11278.785365916492</v>
      </c>
      <c r="AU11" s="78">
        <f t="shared" si="47"/>
        <v>1047.8247274169912</v>
      </c>
      <c r="AV11" s="79">
        <f t="shared" si="26"/>
        <v>0.11455218578213232</v>
      </c>
      <c r="AW11" s="80">
        <f t="shared" si="27"/>
        <v>143.06676173942668</v>
      </c>
      <c r="AX11" s="81">
        <f t="shared" si="28"/>
        <v>904.75796567756436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FRENCH CASEMENT DOORS WITH FIXED GLASS WITH SILICON JOINT</v>
      </c>
      <c r="D12" s="131" t="str">
        <f>Pricing!B8</f>
        <v>CW</v>
      </c>
      <c r="E12" s="132" t="str">
        <f>Pricing!N8</f>
        <v>17.52MM</v>
      </c>
      <c r="F12" s="68">
        <f>Pricing!G8</f>
        <v>10544</v>
      </c>
      <c r="G12" s="68">
        <f>Pricing!H8</f>
        <v>2440</v>
      </c>
      <c r="H12" s="100">
        <f t="shared" si="0"/>
        <v>25.727360000000001</v>
      </c>
      <c r="I12" s="70">
        <f>Pricing!I8</f>
        <v>1</v>
      </c>
      <c r="J12" s="69">
        <f t="shared" si="30"/>
        <v>25.727360000000001</v>
      </c>
      <c r="K12" s="71">
        <f t="shared" si="31"/>
        <v>276.92930303999998</v>
      </c>
      <c r="L12" s="69"/>
      <c r="M12" s="72"/>
      <c r="N12" s="72"/>
      <c r="O12" s="72">
        <f t="shared" si="3"/>
        <v>0</v>
      </c>
      <c r="P12" s="73">
        <f>Pricing!M8</f>
        <v>98885.37000000001</v>
      </c>
      <c r="Q12" s="74">
        <f t="shared" si="32"/>
        <v>9888.5370000000021</v>
      </c>
      <c r="R12" s="74">
        <f t="shared" si="33"/>
        <v>11965.129770000001</v>
      </c>
      <c r="S12" s="74">
        <f t="shared" si="34"/>
        <v>603.69518385000003</v>
      </c>
      <c r="T12" s="74">
        <f t="shared" si="35"/>
        <v>1213.4273195385001</v>
      </c>
      <c r="U12" s="72">
        <f t="shared" si="36"/>
        <v>122556.1592733885</v>
      </c>
      <c r="V12" s="74">
        <f t="shared" si="37"/>
        <v>1838.3423891008274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129897.44064</v>
      </c>
      <c r="AE12" s="76">
        <f t="shared" si="43"/>
        <v>2128.5245901639341</v>
      </c>
      <c r="AF12" s="346">
        <f t="shared" si="44"/>
        <v>2181.3119999999999</v>
      </c>
      <c r="AG12" s="347"/>
      <c r="AH12" s="76">
        <f t="shared" si="45"/>
        <v>77.903999999999996</v>
      </c>
      <c r="AI12" s="76">
        <f t="shared" si="15"/>
        <v>259.68</v>
      </c>
      <c r="AJ12" s="76">
        <f>J12*Pricing!Q8</f>
        <v>0</v>
      </c>
      <c r="AK12" s="76">
        <f>J12*Pricing!R8</f>
        <v>0</v>
      </c>
      <c r="AL12" s="76">
        <f t="shared" si="16"/>
        <v>27692.930303999998</v>
      </c>
      <c r="AM12" s="77">
        <f t="shared" si="17"/>
        <v>0</v>
      </c>
      <c r="AN12" s="76">
        <f t="shared" si="18"/>
        <v>27692.930303999998</v>
      </c>
      <c r="AO12" s="72">
        <f t="shared" si="19"/>
        <v>129041.92225265327</v>
      </c>
      <c r="AP12" s="74">
        <f t="shared" si="20"/>
        <v>161302.40281581657</v>
      </c>
      <c r="AQ12" s="74">
        <f t="shared" si="46"/>
        <v>0</v>
      </c>
      <c r="AR12" s="74">
        <f t="shared" si="22"/>
        <v>11285.430182827537</v>
      </c>
      <c r="AS12" s="72">
        <f t="shared" si="23"/>
        <v>475627.6263164698</v>
      </c>
      <c r="AT12" s="72">
        <f t="shared" si="24"/>
        <v>18487.230182827534</v>
      </c>
      <c r="AU12" s="78">
        <f t="shared" si="47"/>
        <v>1717.5055911211014</v>
      </c>
      <c r="AV12" s="79">
        <f t="shared" si="26"/>
        <v>0.38483766500878802</v>
      </c>
      <c r="AW12" s="80">
        <f t="shared" si="27"/>
        <v>449.19226783494867</v>
      </c>
      <c r="AX12" s="81">
        <f t="shared" si="28"/>
        <v>1268.313323286153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48.259700000000002</v>
      </c>
      <c r="I109" s="87">
        <f>SUM(I8:I108)</f>
        <v>8</v>
      </c>
      <c r="J109" s="88">
        <f>SUM(J8:J108)</f>
        <v>66.852499999999992</v>
      </c>
      <c r="K109" s="89">
        <f>SUM(K8:K108)</f>
        <v>719.60030999999992</v>
      </c>
      <c r="L109" s="88">
        <f>SUM(L8:L8)</f>
        <v>0</v>
      </c>
      <c r="M109" s="88"/>
      <c r="N109" s="88"/>
      <c r="O109" s="88"/>
      <c r="P109" s="87">
        <f>SUM(P8:P108)</f>
        <v>368386.36999999994</v>
      </c>
      <c r="Q109" s="88">
        <f t="shared" ref="Q109:AE109" si="156">SUM(Q8:Q108)</f>
        <v>36838.637000000002</v>
      </c>
      <c r="R109" s="88">
        <f t="shared" si="156"/>
        <v>44574.750769999999</v>
      </c>
      <c r="S109" s="88">
        <f t="shared" si="156"/>
        <v>2248.99878885</v>
      </c>
      <c r="T109" s="88">
        <f t="shared" si="156"/>
        <v>4520.4875655885007</v>
      </c>
      <c r="U109" s="88">
        <f t="shared" si="156"/>
        <v>456569.2441244385</v>
      </c>
      <c r="V109" s="88">
        <f t="shared" si="156"/>
        <v>6848.538661866578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337538.27250000002</v>
      </c>
      <c r="AE109" s="88">
        <f t="shared" si="156"/>
        <v>7731.1475409836057</v>
      </c>
      <c r="AF109" s="407">
        <f>SUM(AF8:AG108)</f>
        <v>7922.880000000001</v>
      </c>
      <c r="AG109" s="408"/>
      <c r="AH109" s="88">
        <f t="shared" ref="AH109:AQ109" si="157">SUM(AH8:AH108)</f>
        <v>282.95999999999998</v>
      </c>
      <c r="AI109" s="88">
        <f t="shared" si="157"/>
        <v>943.19999999999982</v>
      </c>
      <c r="AJ109" s="88">
        <f t="shared" ref="AJ109" si="158">SUM(AJ8:AJ108)</f>
        <v>12007.973951999998</v>
      </c>
      <c r="AK109" s="88">
        <f t="shared" si="157"/>
        <v>0</v>
      </c>
      <c r="AL109" s="88">
        <f t="shared" si="157"/>
        <v>71960.031000000003</v>
      </c>
      <c r="AM109" s="88">
        <f t="shared" si="157"/>
        <v>0</v>
      </c>
      <c r="AN109" s="88">
        <f t="shared" si="157"/>
        <v>71960.031000000003</v>
      </c>
      <c r="AO109" s="88">
        <f t="shared" si="157"/>
        <v>480297.97032728873</v>
      </c>
      <c r="AP109" s="88">
        <f t="shared" si="157"/>
        <v>600372.46290911082</v>
      </c>
      <c r="AQ109" s="88">
        <f t="shared" si="157"/>
        <v>0</v>
      </c>
      <c r="AR109" s="88"/>
      <c r="AS109" s="87">
        <f>SUM(AS8:AS108)</f>
        <v>1574136.7416883993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7922.880000000001</v>
      </c>
      <c r="AW110" s="84"/>
    </row>
    <row r="111" spans="2:54">
      <c r="AF111" s="174"/>
      <c r="AG111" s="174"/>
      <c r="AH111" s="174">
        <f>SUM(AE109:AI109,AC109)</f>
        <v>16880.187540983607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18.285156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ABPL-DE-19.20-2200</v>
      </c>
      <c r="N6" s="445"/>
    </row>
    <row r="7" spans="2:15" ht="24.95" customHeight="1">
      <c r="B7" s="426" t="s">
        <v>126</v>
      </c>
      <c r="C7" s="427"/>
      <c r="D7" s="427"/>
      <c r="E7" s="427"/>
      <c r="F7" s="457" t="str">
        <f>'BD Team'!E2</f>
        <v>Mr. Narasimha Reddy</v>
      </c>
      <c r="G7" s="457"/>
      <c r="H7" s="457"/>
      <c r="I7" s="457"/>
      <c r="J7" s="458"/>
      <c r="K7" s="435" t="s">
        <v>104</v>
      </c>
      <c r="L7" s="427"/>
      <c r="M7" s="432">
        <f>'BD Team'!J3</f>
        <v>43727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Bangalore</v>
      </c>
      <c r="G8" s="459" t="s">
        <v>179</v>
      </c>
      <c r="H8" s="460"/>
      <c r="I8" s="457" t="str">
        <f>'BD Team'!G3</f>
        <v>1Kpa</v>
      </c>
      <c r="J8" s="458"/>
      <c r="K8" s="435" t="s">
        <v>105</v>
      </c>
      <c r="L8" s="427"/>
      <c r="M8" s="178" t="s">
        <v>446</v>
      </c>
      <c r="N8" s="179">
        <v>43729</v>
      </c>
    </row>
    <row r="9" spans="2:15" ht="24.95" customHeight="1">
      <c r="B9" s="426" t="s">
        <v>168</v>
      </c>
      <c r="C9" s="427"/>
      <c r="D9" s="427"/>
      <c r="E9" s="427"/>
      <c r="F9" s="457" t="str">
        <f>'BD Team'!E4</f>
        <v>Mr. Prasanth : 9591855724</v>
      </c>
      <c r="G9" s="457"/>
      <c r="H9" s="457"/>
      <c r="I9" s="457"/>
      <c r="J9" s="458"/>
      <c r="K9" s="435" t="s">
        <v>178</v>
      </c>
      <c r="L9" s="427"/>
      <c r="M9" s="446" t="str">
        <f>'BD Team'!J4</f>
        <v>Bal Kumari</v>
      </c>
      <c r="N9" s="447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Wood Effect</v>
      </c>
      <c r="G10" s="439" t="s">
        <v>177</v>
      </c>
      <c r="H10" s="440"/>
      <c r="I10" s="437" t="str">
        <f>'BD Team'!G5</f>
        <v>Black</v>
      </c>
      <c r="J10" s="438"/>
      <c r="K10" s="436" t="s">
        <v>372</v>
      </c>
      <c r="L10" s="429"/>
      <c r="M10" s="430" t="str">
        <f>'BD Team'!J5</f>
        <v>Axisarchs</v>
      </c>
      <c r="N10" s="431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1" t="s">
        <v>169</v>
      </c>
      <c r="C13" s="462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3" t="s">
        <v>172</v>
      </c>
      <c r="K13" s="463" t="s">
        <v>173</v>
      </c>
      <c r="L13" s="462" t="s">
        <v>210</v>
      </c>
      <c r="M13" s="463" t="s">
        <v>174</v>
      </c>
      <c r="N13" s="464" t="s">
        <v>175</v>
      </c>
    </row>
    <row r="14" spans="2:15" s="94" customFormat="1" ht="18" customHeight="1" thickTop="1" thickBot="1">
      <c r="B14" s="461"/>
      <c r="C14" s="462"/>
      <c r="D14" s="434"/>
      <c r="E14" s="434"/>
      <c r="F14" s="434"/>
      <c r="G14" s="416"/>
      <c r="H14" s="416"/>
      <c r="I14" s="416"/>
      <c r="J14" s="463"/>
      <c r="K14" s="463"/>
      <c r="L14" s="462"/>
      <c r="M14" s="463"/>
      <c r="N14" s="464"/>
    </row>
    <row r="15" spans="2:15" s="94" customFormat="1" ht="26.25" customHeight="1" thickTop="1" thickBot="1">
      <c r="B15" s="461"/>
      <c r="C15" s="462"/>
      <c r="D15" s="434"/>
      <c r="E15" s="434"/>
      <c r="F15" s="434"/>
      <c r="G15" s="416"/>
      <c r="H15" s="416"/>
      <c r="I15" s="416"/>
      <c r="J15" s="463"/>
      <c r="K15" s="463"/>
      <c r="L15" s="462"/>
      <c r="M15" s="463"/>
      <c r="N15" s="464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SD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17.52MM</v>
      </c>
      <c r="H16" s="187" t="str">
        <f>Pricing!F4</f>
        <v>GF - INFORMAL LIVING, DINING &amp; FF - STUDY</v>
      </c>
      <c r="I16" s="216" t="str">
        <f>Pricing!E4</f>
        <v>SS</v>
      </c>
      <c r="J16" s="216">
        <f>Pricing!G4</f>
        <v>3048</v>
      </c>
      <c r="K16" s="216">
        <f>Pricing!H4</f>
        <v>2440</v>
      </c>
      <c r="L16" s="216">
        <f>Pricing!I4</f>
        <v>3</v>
      </c>
      <c r="M16" s="188">
        <f t="shared" ref="M16:M24" si="0">J16*K16*L16/1000000</f>
        <v>22.311360000000001</v>
      </c>
      <c r="N16" s="189">
        <f>'Cost Calculation'!AS8</f>
        <v>616609.57315458742</v>
      </c>
      <c r="O16" s="95">
        <v>667325.24249252107</v>
      </c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FRENCH CASEMENT WINDOW</v>
      </c>
      <c r="G17" s="187" t="str">
        <f>Pricing!N5</f>
        <v>17.52MM</v>
      </c>
      <c r="H17" s="187" t="str">
        <f>Pricing!F5</f>
        <v>FF - DAUGHTER'S BEDROOM</v>
      </c>
      <c r="I17" s="216" t="str">
        <f>Pricing!E5</f>
        <v>NO</v>
      </c>
      <c r="J17" s="216">
        <f>Pricing!G5</f>
        <v>1524</v>
      </c>
      <c r="K17" s="216">
        <f>Pricing!H5</f>
        <v>2440</v>
      </c>
      <c r="L17" s="216">
        <f>Pricing!I5</f>
        <v>1</v>
      </c>
      <c r="M17" s="188">
        <f t="shared" si="0"/>
        <v>3.7185600000000001</v>
      </c>
      <c r="N17" s="189">
        <f>'Cost Calculation'!AS9</f>
        <v>112762.760303277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D3</v>
      </c>
      <c r="E18" s="187" t="str">
        <f>Pricing!C6</f>
        <v>M15000</v>
      </c>
      <c r="F18" s="187" t="str">
        <f>Pricing!D6</f>
        <v>FRENCH CASEMENT DOOR</v>
      </c>
      <c r="G18" s="187" t="str">
        <f>Pricing!N6</f>
        <v>17.52MM</v>
      </c>
      <c r="H18" s="187" t="str">
        <f>Pricing!F6</f>
        <v>FF - DAUGHTER'S BEDROOM &amp; SF - NEAR STAIRCASE</v>
      </c>
      <c r="I18" s="216" t="str">
        <f>Pricing!E6</f>
        <v>NO</v>
      </c>
      <c r="J18" s="216">
        <f>Pricing!G6</f>
        <v>1524</v>
      </c>
      <c r="K18" s="216">
        <f>Pricing!H6</f>
        <v>2440</v>
      </c>
      <c r="L18" s="216">
        <f>Pricing!I6</f>
        <v>2</v>
      </c>
      <c r="M18" s="188">
        <f t="shared" si="0"/>
        <v>7.4371200000000002</v>
      </c>
      <c r="N18" s="189">
        <f>'Cost Calculation'!AS10</f>
        <v>282762.71570334013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FG2</v>
      </c>
      <c r="E19" s="187" t="str">
        <f>Pricing!C7</f>
        <v>M15000</v>
      </c>
      <c r="F19" s="187" t="str">
        <f>Pricing!D7</f>
        <v>FIXED GLASS CORNOR JOINT</v>
      </c>
      <c r="G19" s="187" t="str">
        <f>Pricing!N7</f>
        <v>17.52MM</v>
      </c>
      <c r="H19" s="187" t="str">
        <f>Pricing!F7</f>
        <v>GF - NEAR ENTRANCE</v>
      </c>
      <c r="I19" s="216" t="str">
        <f>Pricing!E7</f>
        <v>NO</v>
      </c>
      <c r="J19" s="216">
        <f>Pricing!G7</f>
        <v>2010</v>
      </c>
      <c r="K19" s="216">
        <f>Pricing!H7</f>
        <v>3810</v>
      </c>
      <c r="L19" s="216">
        <f>Pricing!I7</f>
        <v>1</v>
      </c>
      <c r="M19" s="188">
        <f t="shared" si="0"/>
        <v>7.6581000000000001</v>
      </c>
      <c r="N19" s="189">
        <f>'Cost Calculation'!AS11</f>
        <v>86374.066210725083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CW</v>
      </c>
      <c r="E20" s="187" t="str">
        <f>Pricing!C8</f>
        <v>M15000</v>
      </c>
      <c r="F20" s="187" t="str">
        <f>Pricing!D8</f>
        <v>2 FRENCH CASEMENT DOORS WITH FIXED GLASS WITH SILICON JOINT</v>
      </c>
      <c r="G20" s="187" t="str">
        <f>Pricing!N8</f>
        <v>17.52MM</v>
      </c>
      <c r="H20" s="187" t="str">
        <f>Pricing!F8</f>
        <v>GF - FORMAL LIVING</v>
      </c>
      <c r="I20" s="216" t="str">
        <f>Pricing!E8</f>
        <v>NO</v>
      </c>
      <c r="J20" s="216">
        <f>Pricing!G8</f>
        <v>10544</v>
      </c>
      <c r="K20" s="216">
        <f>Pricing!H8</f>
        <v>2440</v>
      </c>
      <c r="L20" s="216">
        <f>Pricing!I8</f>
        <v>1</v>
      </c>
      <c r="M20" s="188">
        <f t="shared" si="0"/>
        <v>25.727360000000001</v>
      </c>
      <c r="N20" s="189">
        <f>'Cost Calculation'!AS12</f>
        <v>475627.6263164698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8</v>
      </c>
      <c r="M116" s="191">
        <f>SUM(M16:M115)</f>
        <v>66.852499999999992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1574137</v>
      </c>
      <c r="O117" s="95">
        <f>N117/SUM(M116)</f>
        <v>23546.419356045026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283345</v>
      </c>
      <c r="O118" s="95">
        <f>N118/SUM(M116)</f>
        <v>4238.3605699113723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1857482</v>
      </c>
      <c r="O119" s="95">
        <f>N119/SUM(M116)</f>
        <v>27784.779925956398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2187.5157335604817</v>
      </c>
    </row>
    <row r="121" spans="2:15" s="139" customFormat="1" ht="30" customHeight="1" thickTop="1">
      <c r="B121" s="450" t="s">
        <v>236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3">
        <v>2</v>
      </c>
      <c r="C123" s="454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6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431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387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3</v>
      </c>
      <c r="C129" s="411"/>
      <c r="D129" s="412" t="s">
        <v>402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139" customFormat="1" ht="30" customHeight="1">
      <c r="B130" s="488" t="s">
        <v>141</v>
      </c>
      <c r="C130" s="489"/>
      <c r="D130" s="489"/>
      <c r="E130" s="489"/>
      <c r="F130" s="489"/>
      <c r="G130" s="489"/>
      <c r="H130" s="489"/>
      <c r="I130" s="489"/>
      <c r="J130" s="489"/>
      <c r="K130" s="489"/>
      <c r="L130" s="489"/>
      <c r="M130" s="489"/>
      <c r="N130" s="490"/>
    </row>
    <row r="131" spans="2:14" s="93" customFormat="1" ht="24.95" customHeight="1">
      <c r="B131" s="410">
        <v>1</v>
      </c>
      <c r="C131" s="411"/>
      <c r="D131" s="412" t="s">
        <v>142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2</v>
      </c>
      <c r="C132" s="411"/>
      <c r="D132" s="412" t="s">
        <v>143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3</v>
      </c>
      <c r="C133" s="411"/>
      <c r="D133" s="412" t="s">
        <v>144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88" t="s">
        <v>145</v>
      </c>
      <c r="C134" s="489"/>
      <c r="D134" s="489"/>
      <c r="E134" s="489"/>
      <c r="F134" s="489"/>
      <c r="G134" s="489"/>
      <c r="H134" s="489"/>
      <c r="I134" s="489"/>
      <c r="J134" s="489"/>
      <c r="K134" s="489"/>
      <c r="L134" s="489"/>
      <c r="M134" s="489"/>
      <c r="N134" s="490"/>
    </row>
    <row r="135" spans="2:14" s="139" customFormat="1" ht="30" customHeight="1">
      <c r="B135" s="508" t="s">
        <v>146</v>
      </c>
      <c r="C135" s="509"/>
      <c r="D135" s="509"/>
      <c r="E135" s="509"/>
      <c r="F135" s="509"/>
      <c r="G135" s="509"/>
      <c r="H135" s="509"/>
      <c r="I135" s="509"/>
      <c r="J135" s="509"/>
      <c r="K135" s="509"/>
      <c r="L135" s="509"/>
      <c r="M135" s="509"/>
      <c r="N135" s="510"/>
    </row>
    <row r="136" spans="2:14" s="93" customFormat="1" ht="24.95" customHeight="1">
      <c r="B136" s="410">
        <v>1</v>
      </c>
      <c r="C136" s="411"/>
      <c r="D136" s="412" t="s">
        <v>147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399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88" t="s">
        <v>152</v>
      </c>
      <c r="C142" s="489"/>
      <c r="D142" s="489"/>
      <c r="E142" s="489"/>
      <c r="F142" s="489"/>
      <c r="G142" s="489"/>
      <c r="H142" s="489"/>
      <c r="I142" s="489"/>
      <c r="J142" s="489"/>
      <c r="K142" s="489"/>
      <c r="L142" s="489"/>
      <c r="M142" s="489"/>
      <c r="N142" s="490"/>
    </row>
    <row r="143" spans="2:14" s="93" customFormat="1" ht="24.95" customHeight="1">
      <c r="B143" s="410">
        <v>1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6" t="s">
        <v>418</v>
      </c>
      <c r="E144" s="497"/>
      <c r="F144" s="497"/>
      <c r="G144" s="497"/>
      <c r="H144" s="497"/>
      <c r="I144" s="497"/>
      <c r="J144" s="497"/>
      <c r="K144" s="497"/>
      <c r="L144" s="497"/>
      <c r="M144" s="497"/>
      <c r="N144" s="498"/>
    </row>
    <row r="145" spans="2:14" s="93" customFormat="1" ht="24.95" customHeight="1">
      <c r="B145" s="410">
        <v>3</v>
      </c>
      <c r="C145" s="411"/>
      <c r="D145" s="412" t="s">
        <v>154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88" t="s">
        <v>156</v>
      </c>
      <c r="C147" s="489"/>
      <c r="D147" s="489"/>
      <c r="E147" s="489"/>
      <c r="F147" s="489"/>
      <c r="G147" s="489"/>
      <c r="H147" s="489"/>
      <c r="I147" s="489"/>
      <c r="J147" s="489"/>
      <c r="K147" s="489"/>
      <c r="L147" s="489"/>
      <c r="M147" s="489"/>
      <c r="N147" s="490"/>
    </row>
    <row r="148" spans="2:14" s="93" customFormat="1" ht="24.95" customHeight="1">
      <c r="B148" s="410">
        <v>1</v>
      </c>
      <c r="C148" s="411"/>
      <c r="D148" s="412" t="s">
        <v>157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6" t="s">
        <v>158</v>
      </c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140" customFormat="1" ht="30" customHeight="1">
      <c r="B150" s="488" t="s">
        <v>159</v>
      </c>
      <c r="C150" s="489"/>
      <c r="D150" s="489"/>
      <c r="E150" s="489"/>
      <c r="F150" s="489"/>
      <c r="G150" s="489"/>
      <c r="H150" s="489"/>
      <c r="I150" s="489"/>
      <c r="J150" s="489"/>
      <c r="K150" s="489"/>
      <c r="L150" s="489"/>
      <c r="M150" s="489"/>
      <c r="N150" s="490"/>
    </row>
    <row r="151" spans="2:14" s="93" customFormat="1" ht="24.95" customHeight="1">
      <c r="B151" s="410">
        <v>1</v>
      </c>
      <c r="C151" s="411"/>
      <c r="D151" s="471" t="s">
        <v>160</v>
      </c>
      <c r="E151" s="471"/>
      <c r="F151" s="471"/>
      <c r="G151" s="471"/>
      <c r="H151" s="471"/>
      <c r="I151" s="471"/>
      <c r="J151" s="471"/>
      <c r="K151" s="471"/>
      <c r="L151" s="471"/>
      <c r="M151" s="471"/>
      <c r="N151" s="472"/>
    </row>
    <row r="152" spans="2:14" s="93" customFormat="1" ht="24.95" customHeight="1">
      <c r="B152" s="410">
        <v>2</v>
      </c>
      <c r="C152" s="411"/>
      <c r="D152" s="471" t="s">
        <v>161</v>
      </c>
      <c r="E152" s="471"/>
      <c r="F152" s="471"/>
      <c r="G152" s="471"/>
      <c r="H152" s="471"/>
      <c r="I152" s="471"/>
      <c r="J152" s="471"/>
      <c r="K152" s="471"/>
      <c r="L152" s="471"/>
      <c r="M152" s="471"/>
      <c r="N152" s="472"/>
    </row>
    <row r="153" spans="2:14" s="93" customFormat="1" ht="49.9" customHeight="1">
      <c r="B153" s="410">
        <v>3</v>
      </c>
      <c r="C153" s="411"/>
      <c r="D153" s="493" t="s">
        <v>162</v>
      </c>
      <c r="E153" s="494"/>
      <c r="F153" s="494"/>
      <c r="G153" s="494"/>
      <c r="H153" s="494"/>
      <c r="I153" s="494"/>
      <c r="J153" s="494"/>
      <c r="K153" s="494"/>
      <c r="L153" s="494"/>
      <c r="M153" s="494"/>
      <c r="N153" s="495"/>
    </row>
    <row r="154" spans="2:14" s="93" customFormat="1" ht="24.95" customHeight="1">
      <c r="B154" s="410">
        <v>4</v>
      </c>
      <c r="C154" s="411"/>
      <c r="D154" s="471" t="s">
        <v>163</v>
      </c>
      <c r="E154" s="471"/>
      <c r="F154" s="471"/>
      <c r="G154" s="471"/>
      <c r="H154" s="471"/>
      <c r="I154" s="471"/>
      <c r="J154" s="471"/>
      <c r="K154" s="471"/>
      <c r="L154" s="471"/>
      <c r="M154" s="471"/>
      <c r="N154" s="472"/>
    </row>
    <row r="155" spans="2:14" s="140" customFormat="1" ht="30" customHeight="1">
      <c r="B155" s="488" t="s">
        <v>164</v>
      </c>
      <c r="C155" s="489"/>
      <c r="D155" s="489"/>
      <c r="E155" s="489"/>
      <c r="F155" s="489"/>
      <c r="G155" s="489"/>
      <c r="H155" s="489"/>
      <c r="I155" s="489"/>
      <c r="J155" s="489"/>
      <c r="K155" s="489"/>
      <c r="L155" s="489"/>
      <c r="M155" s="489"/>
      <c r="N155" s="490"/>
    </row>
    <row r="156" spans="2:14" s="93" customFormat="1" ht="24.95" customHeight="1">
      <c r="B156" s="410">
        <v>1</v>
      </c>
      <c r="C156" s="411"/>
      <c r="D156" s="471" t="s">
        <v>165</v>
      </c>
      <c r="E156" s="471"/>
      <c r="F156" s="471"/>
      <c r="G156" s="471"/>
      <c r="H156" s="471"/>
      <c r="I156" s="471"/>
      <c r="J156" s="471"/>
      <c r="K156" s="471"/>
      <c r="L156" s="471"/>
      <c r="M156" s="471"/>
      <c r="N156" s="472"/>
    </row>
    <row r="157" spans="2:14" s="93" customFormat="1" ht="24.95" customHeight="1">
      <c r="B157" s="410">
        <v>2</v>
      </c>
      <c r="C157" s="411"/>
      <c r="D157" s="471" t="s">
        <v>166</v>
      </c>
      <c r="E157" s="471"/>
      <c r="F157" s="471"/>
      <c r="G157" s="471"/>
      <c r="H157" s="471"/>
      <c r="I157" s="471"/>
      <c r="J157" s="471"/>
      <c r="K157" s="471"/>
      <c r="L157" s="471"/>
      <c r="M157" s="471"/>
      <c r="N157" s="472"/>
    </row>
    <row r="158" spans="2:14" s="93" customFormat="1" ht="24.95" customHeight="1">
      <c r="B158" s="410">
        <v>3</v>
      </c>
      <c r="C158" s="411"/>
      <c r="D158" s="471" t="s">
        <v>167</v>
      </c>
      <c r="E158" s="471"/>
      <c r="F158" s="471"/>
      <c r="G158" s="471"/>
      <c r="H158" s="471"/>
      <c r="I158" s="471"/>
      <c r="J158" s="471"/>
      <c r="K158" s="471"/>
      <c r="L158" s="471"/>
      <c r="M158" s="471"/>
      <c r="N158" s="472"/>
    </row>
    <row r="159" spans="2:14" s="93" customFormat="1" ht="24.95" customHeight="1">
      <c r="B159" s="410">
        <v>4</v>
      </c>
      <c r="C159" s="411"/>
      <c r="D159" s="471" t="s">
        <v>419</v>
      </c>
      <c r="E159" s="471"/>
      <c r="F159" s="471"/>
      <c r="G159" s="471"/>
      <c r="H159" s="471"/>
      <c r="I159" s="471"/>
      <c r="J159" s="471"/>
      <c r="K159" s="471"/>
      <c r="L159" s="471"/>
      <c r="M159" s="471"/>
      <c r="N159" s="472"/>
    </row>
    <row r="160" spans="2:14" s="93" customFormat="1" ht="24.95" customHeight="1">
      <c r="B160" s="453" t="s">
        <v>239</v>
      </c>
      <c r="C160" s="491"/>
      <c r="D160" s="491"/>
      <c r="E160" s="491"/>
      <c r="F160" s="491"/>
      <c r="G160" s="491"/>
      <c r="H160" s="491"/>
      <c r="I160" s="491"/>
      <c r="J160" s="491"/>
      <c r="K160" s="491"/>
      <c r="L160" s="491"/>
      <c r="M160" s="491"/>
      <c r="N160" s="492"/>
    </row>
    <row r="161" spans="2:14" s="93" customFormat="1" ht="24.95" customHeight="1">
      <c r="B161" s="453" t="s">
        <v>240</v>
      </c>
      <c r="C161" s="491"/>
      <c r="D161" s="491"/>
      <c r="E161" s="491"/>
      <c r="F161" s="491"/>
      <c r="G161" s="491"/>
      <c r="H161" s="491"/>
      <c r="I161" s="491"/>
      <c r="J161" s="491"/>
      <c r="K161" s="491"/>
      <c r="L161" s="491"/>
      <c r="M161" s="491"/>
      <c r="N161" s="492"/>
    </row>
    <row r="162" spans="2:14" s="93" customFormat="1" ht="41.25" customHeight="1">
      <c r="B162" s="479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1"/>
    </row>
    <row r="163" spans="2:14" s="93" customFormat="1" ht="39.950000000000003" customHeigh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 thickBo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30" customHeight="1" thickTop="1">
      <c r="B166" s="467" t="s">
        <v>110</v>
      </c>
      <c r="C166" s="468"/>
      <c r="D166" s="468"/>
      <c r="E166" s="473"/>
      <c r="F166" s="474"/>
      <c r="G166" s="474"/>
      <c r="H166" s="474"/>
      <c r="I166" s="474"/>
      <c r="J166" s="474"/>
      <c r="K166" s="474"/>
      <c r="L166" s="475"/>
      <c r="M166" s="468" t="s">
        <v>204</v>
      </c>
      <c r="N166" s="469"/>
    </row>
    <row r="167" spans="2:14" s="93" customFormat="1" ht="33" customHeight="1" thickBot="1">
      <c r="B167" s="470" t="s">
        <v>107</v>
      </c>
      <c r="C167" s="465"/>
      <c r="D167" s="465"/>
      <c r="E167" s="476"/>
      <c r="F167" s="477"/>
      <c r="G167" s="477"/>
      <c r="H167" s="477"/>
      <c r="I167" s="477"/>
      <c r="J167" s="477"/>
      <c r="K167" s="477"/>
      <c r="L167" s="478"/>
      <c r="M167" s="465" t="s">
        <v>108</v>
      </c>
      <c r="N167" s="466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R1</v>
      </c>
      <c r="E2" s="307">
        <f>QUOTATION!N8</f>
        <v>43729</v>
      </c>
      <c r="F2" s="515" t="s">
        <v>244</v>
      </c>
      <c r="G2" s="515"/>
    </row>
    <row r="3" spans="3:13">
      <c r="C3" s="297" t="s">
        <v>126</v>
      </c>
      <c r="D3" s="516" t="str">
        <f>QUOTATION!F7</f>
        <v>Mr. Narasimha Reddy</v>
      </c>
      <c r="E3" s="516"/>
      <c r="F3" s="519" t="s">
        <v>245</v>
      </c>
      <c r="G3" s="520">
        <f>QUOTATION!N8</f>
        <v>43729</v>
      </c>
    </row>
    <row r="4" spans="3:13">
      <c r="C4" s="297" t="s">
        <v>242</v>
      </c>
      <c r="D4" s="517" t="str">
        <f>QUOTATION!M6</f>
        <v>ABPL-DE-19.20-2200</v>
      </c>
      <c r="E4" s="517"/>
      <c r="F4" s="519"/>
      <c r="G4" s="521"/>
    </row>
    <row r="5" spans="3:13">
      <c r="C5" s="297" t="s">
        <v>127</v>
      </c>
      <c r="D5" s="516" t="str">
        <f>QUOTATION!F8</f>
        <v>Bangalore</v>
      </c>
      <c r="E5" s="516"/>
      <c r="F5" s="519"/>
      <c r="G5" s="521"/>
    </row>
    <row r="6" spans="3:13">
      <c r="C6" s="297" t="s">
        <v>168</v>
      </c>
      <c r="D6" s="516" t="str">
        <f>QUOTATION!F9</f>
        <v>Mr. Prasanth : 9591855724</v>
      </c>
      <c r="E6" s="516"/>
      <c r="F6" s="519"/>
      <c r="G6" s="521"/>
    </row>
    <row r="7" spans="3:13">
      <c r="C7" s="297" t="s">
        <v>374</v>
      </c>
      <c r="D7" s="516" t="str">
        <f>QUOTATION!M10</f>
        <v>Axisarchs</v>
      </c>
      <c r="E7" s="516"/>
      <c r="F7" s="519"/>
      <c r="G7" s="521"/>
    </row>
    <row r="8" spans="3:13">
      <c r="C8" s="297" t="s">
        <v>176</v>
      </c>
      <c r="D8" s="516" t="str">
        <f>QUOTATION!F10</f>
        <v>Wood Effect</v>
      </c>
      <c r="E8" s="516"/>
      <c r="F8" s="519"/>
      <c r="G8" s="521"/>
    </row>
    <row r="9" spans="3:13">
      <c r="C9" s="297" t="s">
        <v>177</v>
      </c>
      <c r="D9" s="516" t="str">
        <f>QUOTATION!I10</f>
        <v>Black</v>
      </c>
      <c r="E9" s="516"/>
      <c r="F9" s="519"/>
      <c r="G9" s="521"/>
    </row>
    <row r="10" spans="3:13">
      <c r="C10" s="297" t="s">
        <v>179</v>
      </c>
      <c r="D10" s="516" t="str">
        <f>QUOTATION!I8</f>
        <v>1Kpa</v>
      </c>
      <c r="E10" s="516"/>
      <c r="F10" s="519"/>
      <c r="G10" s="521"/>
    </row>
    <row r="11" spans="3:13">
      <c r="C11" s="297" t="s">
        <v>241</v>
      </c>
      <c r="D11" s="516" t="str">
        <f>QUOTATION!M9</f>
        <v>Bal Kumari</v>
      </c>
      <c r="E11" s="516"/>
      <c r="F11" s="519"/>
      <c r="G11" s="521"/>
    </row>
    <row r="12" spans="3:13">
      <c r="C12" s="297" t="s">
        <v>243</v>
      </c>
      <c r="D12" s="518">
        <f>QUOTATION!M7</f>
        <v>43727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4438.3899999999994</v>
      </c>
      <c r="F14" s="205"/>
      <c r="G14" s="206">
        <f>E14</f>
        <v>4438.3899999999994</v>
      </c>
    </row>
    <row r="15" spans="3:13">
      <c r="C15" s="194" t="s">
        <v>234</v>
      </c>
      <c r="D15" s="296">
        <f>'Changable Values'!D4</f>
        <v>83</v>
      </c>
      <c r="E15" s="199">
        <f>E14*D15</f>
        <v>368386.36999999994</v>
      </c>
      <c r="F15" s="205"/>
      <c r="G15" s="207">
        <f>E15</f>
        <v>368386.36999999994</v>
      </c>
    </row>
    <row r="16" spans="3:13">
      <c r="C16" s="195" t="s">
        <v>97</v>
      </c>
      <c r="D16" s="200">
        <f>'Changable Values'!D5</f>
        <v>0.1</v>
      </c>
      <c r="E16" s="199">
        <f>E15*D16</f>
        <v>36838.636999999995</v>
      </c>
      <c r="F16" s="208">
        <f>'Changable Values'!D5</f>
        <v>0.1</v>
      </c>
      <c r="G16" s="207">
        <f>G15*F16</f>
        <v>36838.636999999995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44574.750769999991</v>
      </c>
      <c r="F17" s="208">
        <f>'Changable Values'!D6</f>
        <v>0.11</v>
      </c>
      <c r="G17" s="207">
        <f>SUM(G15:G16)*F17</f>
        <v>44574.750769999991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2248.9987888499995</v>
      </c>
      <c r="F18" s="208">
        <f>'Changable Values'!D7</f>
        <v>5.0000000000000001E-3</v>
      </c>
      <c r="G18" s="207">
        <f>SUM(G15:G17)*F18</f>
        <v>2248.9987888499995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4520.4875655884989</v>
      </c>
      <c r="F19" s="208">
        <f>'Changable Values'!D8</f>
        <v>0.01</v>
      </c>
      <c r="G19" s="207">
        <f>SUM(G15:G18)*F19</f>
        <v>4520.4875655884989</v>
      </c>
    </row>
    <row r="20" spans="3:7">
      <c r="C20" s="195" t="s">
        <v>99</v>
      </c>
      <c r="D20" s="201"/>
      <c r="E20" s="199">
        <f>SUM(E15:E19)</f>
        <v>456569.24412443838</v>
      </c>
      <c r="F20" s="208"/>
      <c r="G20" s="207">
        <f>SUM(G15:G19)</f>
        <v>456569.24412443838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6848.5386618665752</v>
      </c>
      <c r="F21" s="208">
        <f>'Changable Values'!D9</f>
        <v>1.4999999999999999E-2</v>
      </c>
      <c r="G21" s="207">
        <f>G20*F21</f>
        <v>6848.5386618665752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337538.27250000002</v>
      </c>
      <c r="F23" s="209"/>
      <c r="G23" s="207">
        <f t="shared" si="0"/>
        <v>337538.27250000002</v>
      </c>
    </row>
    <row r="24" spans="3:7">
      <c r="C24" s="195" t="s">
        <v>229</v>
      </c>
      <c r="D24" s="198"/>
      <c r="E24" s="199">
        <f>'Cost Calculation'!AH111</f>
        <v>16880.187540983607</v>
      </c>
      <c r="F24" s="209"/>
      <c r="G24" s="207">
        <f t="shared" si="0"/>
        <v>16880.187540983607</v>
      </c>
    </row>
    <row r="25" spans="3:7">
      <c r="C25" s="196" t="s">
        <v>237</v>
      </c>
      <c r="D25" s="198"/>
      <c r="E25" s="199">
        <f>'Cost Calculation'!AJ109</f>
        <v>12007.973951999998</v>
      </c>
      <c r="F25" s="209"/>
      <c r="G25" s="207">
        <f t="shared" si="0"/>
        <v>12007.973951999998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71960.031000000003</v>
      </c>
      <c r="F27" s="209"/>
      <c r="G27" s="207">
        <f t="shared" si="0"/>
        <v>71960.031000000003</v>
      </c>
    </row>
    <row r="28" spans="3:7">
      <c r="C28" s="195" t="s">
        <v>88</v>
      </c>
      <c r="D28" s="198"/>
      <c r="E28" s="199">
        <f>'Cost Calculation'!AN109</f>
        <v>71960.031000000003</v>
      </c>
      <c r="F28" s="209"/>
      <c r="G28" s="207">
        <f t="shared" si="0"/>
        <v>71960.031000000003</v>
      </c>
    </row>
    <row r="29" spans="3:7">
      <c r="C29" s="293" t="s">
        <v>377</v>
      </c>
      <c r="D29" s="294"/>
      <c r="E29" s="295">
        <f>SUM(E20:E28)</f>
        <v>973764.27877928852</v>
      </c>
      <c r="F29" s="209"/>
      <c r="G29" s="207">
        <f>SUM(G20:G21,G24)</f>
        <v>480297.97032728855</v>
      </c>
    </row>
    <row r="30" spans="3:7">
      <c r="C30" s="293" t="s">
        <v>378</v>
      </c>
      <c r="D30" s="294"/>
      <c r="E30" s="295">
        <f>E29/E33</f>
        <v>1353.2015832223428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600372.46290911059</v>
      </c>
      <c r="F31" s="214">
        <f>'Changable Values'!D23</f>
        <v>1.25</v>
      </c>
      <c r="G31" s="207">
        <f>G29*F31</f>
        <v>600372.46290911071</v>
      </c>
    </row>
    <row r="32" spans="3:7">
      <c r="C32" s="290" t="s">
        <v>5</v>
      </c>
      <c r="D32" s="291"/>
      <c r="E32" s="292">
        <f>E31+E29</f>
        <v>1574136.7416883991</v>
      </c>
      <c r="F32" s="205"/>
      <c r="G32" s="207">
        <f>SUM(G25:G31,G22:G23)</f>
        <v>1574136.7416883991</v>
      </c>
    </row>
    <row r="33" spans="3:7">
      <c r="C33" s="300" t="s">
        <v>230</v>
      </c>
      <c r="D33" s="301"/>
      <c r="E33" s="308">
        <f>'Cost Calculation'!K109</f>
        <v>719.60030999999992</v>
      </c>
      <c r="F33" s="210"/>
      <c r="G33" s="211">
        <f>E33</f>
        <v>719.60030999999992</v>
      </c>
    </row>
    <row r="34" spans="3:7">
      <c r="C34" s="302" t="s">
        <v>9</v>
      </c>
      <c r="D34" s="303"/>
      <c r="E34" s="304">
        <f>QUOTATION!L116</f>
        <v>8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2187.5153745950988</v>
      </c>
      <c r="F35" s="212"/>
      <c r="G35" s="213">
        <f>G32/(G33)</f>
        <v>2187.5153745950988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2019-09-21T06:47:45Z</cp:lastPrinted>
  <dcterms:created xsi:type="dcterms:W3CDTF">2010-12-18T06:34:46Z</dcterms:created>
  <dcterms:modified xsi:type="dcterms:W3CDTF">2019-09-21T06:59:40Z</dcterms:modified>
</cp:coreProperties>
</file>