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K10" i="161" l="1"/>
  <c r="Q5" i="158"/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9" i="159" l="1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<sst xmlns="http://schemas.openxmlformats.org/spreadsheetml/2006/main" count="1929" uniqueCount="437">
  <si>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</si>
  <si>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</si>
  <si>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</si>
  <si>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</si>
  <si>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</si>
  <si>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</si>
  <si>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</si>
  <si>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</si>
  <si>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</si>
  <si>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</si>
  <si>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</si>
  <si>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</si>
  <si>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</si>
  <si>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</si>
  <si>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</si>
  <si>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</si>
  <si>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</si>
  <si>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</si>
  <si>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</si>
  <si>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</si>
  <si>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</si>
  <si>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</si>
  <si>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</si>
  <si>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</si>
  <si>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</si>
  <si>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</si>
  <si>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</si>
  <si>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</si>
  <si>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</si>
  <si>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</si>
  <si>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</si>
  <si>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</si>
  <si>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</si>
  <si>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</si>
  <si>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</si>
  <si>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</si>
  <si>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</si>
  <si>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</si>
  <si>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</si>
  <si>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</si>
  <si>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</si>
  <si>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</si>
  <si>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</si>
  <si>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</si>
  <si>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</si>
  <si>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</si>
  <si>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</si>
  <si>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</si>
  <si>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</si>
  <si>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</si>
  <si>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</si>
  <si>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</si>
  <si>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</si>
  <si>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</si>
  <si>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</si>
  <si>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</si>
  <si>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</si>
  <si>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</si>
  <si>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</si>
  <si>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</si>
  <si>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</si>
  <si>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</si>
  <si>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</si>
  <si>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</si>
  <si>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</si>
  <si>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</si>
  <si>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</si>
  <si>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</si>
  <si>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</si>
  <si>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</si>
  <si>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</si>
  <si>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</si>
  <si>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</si>
  <si>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</si>
  <si>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</si>
  <si>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</si>
  <si>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</si>
  <si>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</si>
  <si>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</si>
  <si>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</si>
  <si>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</si>
  <si>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</si>
  <si>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</si>
  <si>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</si>
  <si>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</si>
  <si>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</si>
  <si>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</si>
  <si>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</si>
  <si>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</si>
  <si>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</si>
  <si>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</si>
  <si>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</si>
  <si>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</si>
  <si>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</si>
  <si>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</si>
  <si>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</si>
  <si>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</si>
  <si>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</si>
  <si>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</si>
  <si>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</si>
  <si>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</si>
  <si>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</si>
  <si>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</si>
  <si>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</si>
  <si>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</si>
  <si>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</si>
  <si>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</si>
  <si>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</si>
  <si>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</si>
  <si>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</si>
  <si>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</si>
  <si>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</si>
  <si>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</si>
  <si>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</si>
  <si>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</si>
  <si>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</si>
  <si>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</si>
  <si>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</si>
  <si>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</si>
  <si>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</si>
  <si>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</si>
  <si>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</si>
  <si>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</si>
  <si>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</si>
  <si>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</si>
  <si>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</si>
  <si>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</si>
  <si>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</si>
  <si>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</si>
  <si>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</si>
  <si>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</si>
  <si>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</si>
  <si>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</si>
  <si>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</si>
  <si>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</si>
  <si>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</si>
  <si>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</si>
  <si>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</si>
  <si>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</si>
  <si>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</si>
  <si>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</si>
  <si>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</si>
  <si>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</si>
  <si>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</si>
  <si>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</si>
  <si>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</si>
  <si>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</si>
  <si>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</si>
  <si>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</si>
  <si>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</si>
  <si>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</si>
  <si>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</si>
  <si>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</si>
  <si>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</si>
  <si>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</si>
  <si>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</si>
  <si>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</si>
  <si>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</si>
  <si>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</si>
  <si>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</si>
  <si>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</si>
  <si>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</si>
  <si>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</si>
  <si>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</si>
  <si>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</si>
  <si>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</si>
  <si>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</si>
  <si>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</si>
  <si>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</si>
  <si>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</si>
  <si>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</si>
  <si>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</si>
  <si>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</si>
  <si>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</si>
  <si>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</si>
  <si>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</si>
  <si>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</si>
  <si>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</si>
  <si>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</si>
  <si>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</si>
  <si>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</si>
  <si>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</si>
  <si>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</si>
  <si>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</si>
  <si>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</si>
  <si>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</si>
  <si>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</si>
  <si>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</si>
  <si>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</si>
  <si>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</si>
  <si>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</si>
  <si>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</si>
  <si>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</si>
  <si>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</si>
  <si>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</si>
  <si>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</si>
  <si>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</si>
  <si>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</si>
  <si>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</si>
  <si>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</si>
  <si>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</si>
  <si>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</si>
  <si>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</si>
  <si>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</si>
  <si>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</si>
  <si>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</si>
  <si>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</si>
  <si>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</si>
  <si>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</si>
  <si>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</si>
  <si>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</si>
  <si>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</si>
  <si>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</si>
  <si>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</si>
  <si>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</si>
  <si>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</si>
  <si>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</si>
  <si>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</si>
  <si>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</si>
  <si>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</si>
  <si>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</si>
  <si>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</si>
  <si>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</si>
  <si>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</si>
  <si>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</si>
  <si>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</si>
  <si>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</si>
  <si>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</si>
  <si>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</si>
  <si>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</si>
  <si>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</si>
  <si>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</si>
  <si>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</si>
  <si>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</si>
  <si>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</si>
  <si>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</si>
  <si>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</si>
  <si>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</si>
  <si>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</si>
  <si>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</si>
  <si>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</si>
  <si>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</si>
  <si>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</si>
  <si>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</si>
  <si>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</si>
  <si>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</si>
  <si>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</si>
  <si>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</si>
  <si>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</si>
  <si>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</si>
  <si>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</si>
  <si>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</si>
  <si>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</si>
  <si>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</si>
  <si>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</si>
  <si>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</si>
  <si>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</si>
  <si>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</si>
  <si>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</si>
  <si>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</si>
  <si>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</si>
  <si>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</si>
  <si>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</si>
  <si>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</si>
  <si>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</si>
  <si>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</si>
  <si>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</si>
  <si>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</si>
  <si>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</si>
  <si>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</si>
  <si>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</si>
  <si>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</si>
  <si>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</si>
  <si>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</si>
  <si>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</si>
  <si>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</si>
  <si>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</si>
  <si>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</si>
  <si>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</si>
  <si>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</si>
  <si>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</si>
  <si>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</si>
  <si>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</si>
  <si>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</si>
  <si>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</si>
  <si>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</si>
  <si>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</si>
  <si>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</si>
  <si>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</si>
  <si>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</si>
  <si>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</si>
  <si>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</si>
  <si>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</si>
  <si>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</si>
  <si>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</si>
  <si>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</si>
  <si>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</si>
  <si>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</si>
  <si>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</si>
  <si>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</si>
  <si>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</si>
  <si>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</si>
  <si>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</si>
  <si>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</si>
  <si>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</si>
  <si>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</si>
  <si>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</si>
  <si>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</si>
  <si>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</si>
  <si>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</si>
  <si>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</si>
  <si>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</si>
  <si>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</si>
  <si>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</si>
  <si>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</si>
  <si>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</si>
  <si>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</si>
  <si>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</si>
  <si>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</si>
  <si>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</si>
  <si>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</si>
  <si>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</si>
  <si>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</si>
  <si>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</si>
  <si>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</si>
  <si>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</si>
  <si>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</si>
  <si>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</si>
  <si>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</si>
  <si>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</si>
  <si>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</si>
  <si>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</si>
  <si>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</si>
  <si>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</si>
  <si>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</si>
  <si>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</si>
  <si>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</si>
  <si>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</si>
  <si>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</si>
  <si>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</si>
  <si>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</si>
  <si>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</si>
  <si>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</si>
  <si>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</si>
  <si>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</si>
  <si>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</si>
  <si>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</si>
  <si>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</si>
  <si>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</si>
  <si>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</si>
  <si>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</si>
  <si>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</si>
  <si>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</si>
  <si>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</si>
  <si>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</si>
  <si>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</si>
  <si>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</si>
  <si>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</si>
  <si>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</si>
  <si>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</si>
  <si>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</si>
  <si>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</si>
  <si>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</si>
  <si>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</si>
  <si>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</si>
  <si>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</si>
  <si>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</si>
  <si>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</si>
  <si>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</si>
  <si>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</si>
  <si>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</si>
  <si>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</si>
  <si>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</si>
  <si>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</si>
  <si>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</si>
  <si>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</si>
  <si>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</si>
  <si>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</si>
  <si>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</si>
  <si>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</si>
  <si>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</si>
  <si>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</si>
  <si>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</si>
  <si>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</si>
  <si>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</si>
  <si>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</si>
  <si>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</si>
  <si>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</si>
  <si>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</si>
  <si>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</si>
  <si>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</si>
  <si>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</si>
  <si>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</si>
  <si>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</si>
  <si>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</si>
  <si>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</si>
  <si>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</si>
  <si>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</si>
  <si>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</si>
  <si>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</si>
  <si>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</si>
  <si>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</si>
  <si>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</si>
  <si>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</si>
  <si>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</si>
  <si>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</si>
  <si>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</si>
  <si>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</si>
  <si>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</si>
  <si>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</si>
  <si>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</si>
  <si>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</si>
  <si>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</si>
  <si>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</si>
  <si>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</si>
  <si>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</si>
  <si>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</si>
  <si>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</si>
  <si>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</si>
  <si>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</si>
  <si>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</si>
  <si>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Mr. Ravindranath</t>
  </si>
  <si>
    <t>Vizag</t>
  </si>
  <si>
    <t>Anodized</t>
  </si>
  <si>
    <t>1.2Kpa</t>
  </si>
  <si>
    <t>ABPL-DE-19.20-2203</t>
  </si>
  <si>
    <t>W1</t>
  </si>
  <si>
    <t>M940</t>
  </si>
  <si>
    <t>FIXED GLASS</t>
  </si>
  <si>
    <t>NO</t>
  </si>
  <si>
    <t>NA</t>
  </si>
  <si>
    <t>W2</t>
  </si>
  <si>
    <t>M900</t>
  </si>
  <si>
    <t>3 TRACK 2 SHUTTER SLIDING WINDOW</t>
  </si>
  <si>
    <t>SS</t>
  </si>
  <si>
    <t>6MM</t>
  </si>
  <si>
    <t>6mm :- 6mm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</si>
</sst>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115956</xdr:colOff>
      <xdr:row>8</xdr:row>
      <xdr:rowOff>74546</xdr:rowOff>
    </xdr:from>
    <xdr:to>
      <xdr:col>6</xdr:col>
      <xdr:colOff>24848</xdr:colOff>
      <xdr:row>16</xdr:row>
      <xdr:rowOff>237766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1548850"/>
          <a:ext cx="1888435" cy="2681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231913</xdr:colOff>
      <xdr:row>19</xdr:row>
      <xdr:rowOff>49696</xdr:rowOff>
    </xdr:from>
    <xdr:to>
      <xdr:col>5</xdr:col>
      <xdr:colOff>1822174</xdr:colOff>
      <xdr:row>27</xdr:row>
      <xdr:rowOff>281111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3" y="4837044"/>
          <a:ext cx="1590261" cy="2749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20" sqref="C20:K2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ABPL-DE-19.20-2203</v>
      </c>
      <c r="O2" s="538"/>
      <c r="P2" s="219" t="s">
        <v>256</v>
      </c>
    </row>
    <row r="3" spans="2:16">
      <c r="B3" s="218"/>
      <c r="C3" s="537" t="s">
        <v>126</v>
      </c>
      <c r="D3" s="537"/>
      <c r="E3" s="537"/>
      <c r="F3" s="538" t="str">
        <f>QUOTATION!F7</f>
        <v>Mr. Ravindranath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43731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Vizag</v>
      </c>
      <c r="G4" s="537"/>
      <c r="H4" s="537"/>
      <c r="I4" s="539" t="s">
        <v>179</v>
      </c>
      <c r="J4" s="539"/>
      <c r="K4" s="538" t="str">
        <f>QUOTATION!I8</f>
        <v>1.2Kpa</v>
      </c>
      <c r="L4" s="538"/>
      <c r="M4" s="284" t="s">
        <v>105</v>
      </c>
      <c r="N4" s="286" t="str">
        <f>QUOTATION!M8</f>
        <v>R0</v>
      </c>
      <c r="O4" s="287">
        <f>QUOTATION!N8</f>
        <v>43731</v>
      </c>
    </row>
    <row r="5" spans="2:16">
      <c r="B5" s="218"/>
      <c r="C5" s="537" t="s">
        <v>168</v>
      </c>
      <c r="D5" s="537"/>
      <c r="E5" s="537"/>
      <c r="F5" s="538" t="str">
        <f>QUOTATION!F9</f>
        <v>Ms. Shobha : 8008103084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Bal Kumari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Anodized</v>
      </c>
      <c r="G6" s="537"/>
      <c r="H6" s="537"/>
      <c r="I6" s="539" t="s">
        <v>177</v>
      </c>
      <c r="J6" s="539"/>
      <c r="K6" s="538" t="str">
        <f>QUOTATION!I10</f>
        <v>Silver</v>
      </c>
      <c r="L6" s="538"/>
      <c r="M6" s="320" t="s">
        <v>373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W1</v>
      </c>
      <c r="F8" s="288" t="s">
        <v>254</v>
      </c>
      <c r="G8" s="538" t="str">
        <f>'BD Team'!D9</f>
        <v>FIXED GLASS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NA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Anodized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 t="str">
        <f>$K$6</f>
        <v>Silver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1220 X 1830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40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M940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6MM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 t="str">
        <f>'BD Team'!B10</f>
        <v>W2</v>
      </c>
      <c r="F19" s="288" t="s">
        <v>254</v>
      </c>
      <c r="G19" s="538" t="str">
        <f>'BD Team'!D10</f>
        <v>3 TRACK 2 SHUTTER SLIDING WINDOW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NA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Anodized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 t="str">
        <f>$K$6</f>
        <v>Silver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>1220 X 1830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85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 t="str">
        <f>'BD Team'!C10</f>
        <v>M900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 t="str">
        <f>'BD Team'!E10</f>
        <v>6MM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 t="str">
        <f>'BD Team'!F10</f>
        <v>SS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>
        <f>'BD Team'!B11</f>
        <v>0</v>
      </c>
      <c r="F30" s="288" t="s">
        <v>254</v>
      </c>
      <c r="G30" s="538">
        <f>'BD Team'!D11</f>
        <v>0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>
        <f>'BD Team'!G11</f>
        <v>0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Anodized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 t="str">
        <f>$K$6</f>
        <v>Silver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 xml:space="preserve"> X 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0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>
        <f>'BD Team'!C11</f>
        <v>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>
        <f>'BD Team'!E11</f>
        <v>0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>
        <f>'BD Team'!F11</f>
        <v>0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>
        <f>'BD Team'!B12</f>
        <v>0</v>
      </c>
      <c r="F41" s="288" t="s">
        <v>254</v>
      </c>
      <c r="G41" s="538">
        <f>'BD Team'!D12</f>
        <v>0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>
        <f>'BD Team'!G12</f>
        <v>0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Anodized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 t="str">
        <f>$K$6</f>
        <v>Silver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 xml:space="preserve"> X 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0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>
        <f>'BD Team'!C12</f>
        <v>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>
        <f>'BD Team'!E12</f>
        <v>0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>
        <f>'BD Team'!F12</f>
        <v>0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>
        <f>'BD Team'!B13</f>
        <v>0</v>
      </c>
      <c r="F52" s="288" t="s">
        <v>254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>
        <f>'BD Team'!G13</f>
        <v>0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Anodized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 t="str">
        <f>$K$6</f>
        <v>Silver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0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>
        <f>'BD Team'!F13</f>
        <v>0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>
        <f>'BD Team'!B14</f>
        <v>0</v>
      </c>
      <c r="F63" s="288" t="s">
        <v>254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>
        <f>'BD Team'!G14</f>
        <v>0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Anodized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 t="str">
        <f>$K$6</f>
        <v>Silver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0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>
        <f>'BD Team'!F14</f>
        <v>0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>
        <f>'BD Team'!B15</f>
        <v>0</v>
      </c>
      <c r="F74" s="288" t="s">
        <v>254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Anodized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 t="str">
        <f>$K$6</f>
        <v>Silver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>
        <f>'BD Team'!F15</f>
        <v>0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>
        <f>'BD Team'!B16</f>
        <v>0</v>
      </c>
      <c r="F85" s="288" t="s">
        <v>254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Anodized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 t="str">
        <f>$K$6</f>
        <v>Silver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>
        <f>'BD Team'!F16</f>
        <v>0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Anodized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 t="str">
        <f>$K$6</f>
        <v>Silver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>
        <f>'BD Team'!F17</f>
        <v>0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Anodized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 t="str">
        <f>$K$6</f>
        <v>Silver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>
        <f>'BD Team'!F18</f>
        <v>0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Anodized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 t="str">
        <f>$K$6</f>
        <v>Silver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>
        <f>'BD Team'!F19</f>
        <v>0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Anodized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 t="str">
        <f>$K$6</f>
        <v>Silver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>
        <f>'BD Team'!F20</f>
        <v>0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Anodized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 t="str">
        <f>$K$6</f>
        <v>Silver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>
        <f>'BD Team'!F21</f>
        <v>0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Anodized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 t="str">
        <f>$K$6</f>
        <v>Silver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>
        <f>'BD Team'!F22</f>
        <v>0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Anodized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 t="str">
        <f>$K$6</f>
        <v>Silver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Anodized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 t="str">
        <f>$K$6</f>
        <v>Silver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Anodized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 t="str">
        <f>$K$6</f>
        <v>Silver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Anodized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 t="str">
        <f>$K$6</f>
        <v>Silver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Anodized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 t="str">
        <f>$K$6</f>
        <v>Silver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Anodized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 t="str">
        <f>$K$6</f>
        <v>Silver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Anodized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 t="str">
        <f>$K$6</f>
        <v>Silver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Anodized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 t="str">
        <f>$K$6</f>
        <v>Silver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Anodized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 t="str">
        <f>$K$6</f>
        <v>Silver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Anodized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 t="str">
        <f>$K$6</f>
        <v>Silver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Anodized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 t="str">
        <f>$K$6</f>
        <v>Silver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Anodized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 t="str">
        <f>$K$6</f>
        <v>Silver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Anodized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 t="str">
        <f>$K$6</f>
        <v>Silver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Anodized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 t="str">
        <f>$K$6</f>
        <v>Silver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Anodized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 t="str">
        <f>$K$6</f>
        <v>Silver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Anodized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 t="str">
        <f>$K$6</f>
        <v>Silver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Anodized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 t="str">
        <f>$K$6</f>
        <v>Silver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Anodized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 t="str">
        <f>$K$6</f>
        <v>Silver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Anodized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 t="str">
        <f>$K$6</f>
        <v>Silver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Anodized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 t="str">
        <f>$K$6</f>
        <v>Silver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Anodized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 t="str">
        <f>$K$6</f>
        <v>Silver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Anodized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 t="str">
        <f>$K$6</f>
        <v>Silver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Anodized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 t="str">
        <f>$K$6</f>
        <v>Silver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Anodized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 t="str">
        <f>$K$6</f>
        <v>Silver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Anodized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 t="str">
        <f>$K$6</f>
        <v>Silver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Anodized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 t="str">
        <f>$K$6</f>
        <v>Silver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Anodized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 t="str">
        <f>$K$6</f>
        <v>Silver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Anodized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 t="str">
        <f>$K$6</f>
        <v>Silver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Anodized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 t="str">
        <f>$K$6</f>
        <v>Silver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Anodized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 t="str">
        <f>$K$6</f>
        <v>Silver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Anodized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 t="str">
        <f>$K$6</f>
        <v>Silver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Anodized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 t="str">
        <f>$K$6</f>
        <v>Silver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Anodized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 t="str">
        <f>$K$6</f>
        <v>Silver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Anodized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 t="str">
        <f>$K$6</f>
        <v>Silver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Anodized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 t="str">
        <f>$K$6</f>
        <v>Silver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Anodized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 t="str">
        <f>$K$6</f>
        <v>Silver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Anodized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 t="str">
        <f>$K$6</f>
        <v>Silver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Anodized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 t="str">
        <f>$K$6</f>
        <v>Silver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Anodized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 t="str">
        <f>$K$6</f>
        <v>Silver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Anodized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 t="str">
        <f>$K$6</f>
        <v>Silver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Anodized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 t="str">
        <f>$K$6</f>
        <v>Silver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Anodized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 t="str">
        <f>$K$6</f>
        <v>Silver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Anodized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 t="str">
        <f>$K$6</f>
        <v>Silver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Anodized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 t="str">
        <f>$K$6</f>
        <v>Silver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Anodized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 t="str">
        <f>$K$6</f>
        <v>Silver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Anodized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 t="str">
        <f>$K$6</f>
        <v>Silver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Anodized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 t="str">
        <f>$K$6</f>
        <v>Silver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Anodized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 t="str">
        <f>$K$6</f>
        <v>Silver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Anodized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 t="str">
        <f>$K$6</f>
        <v>Silver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Anodized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 t="str">
        <f>$K$6</f>
        <v>Silver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Anodized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 t="str">
        <f>$K$6</f>
        <v>Silver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Anodized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 t="str">
        <f>$K$6</f>
        <v>Silver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Anodized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 t="str">
        <f>$K$6</f>
        <v>Silver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Anodized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 t="str">
        <f>$K$6</f>
        <v>Silver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Anodized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 t="str">
        <f>$K$6</f>
        <v>Silver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Anodized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 t="str">
        <f>$K$6</f>
        <v>Silver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Anodized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 t="str">
        <f>$K$6</f>
        <v>Silver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Anodized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 t="str">
        <f>$K$6</f>
        <v>Silver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Anodized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 t="str">
        <f>$K$6</f>
        <v>Silver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Anodized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 t="str">
        <f>$K$6</f>
        <v>Silver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Anodized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 t="str">
        <f>$K$6</f>
        <v>Silver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Anodized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 t="str">
        <f>$K$6</f>
        <v>Silver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Anodized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 t="str">
        <f>$K$6</f>
        <v>Silver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Anodized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 t="str">
        <f>$K$6</f>
        <v>Silver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Anodized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 t="str">
        <f>$K$6</f>
        <v>Silver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Anodized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 t="str">
        <f>$K$6</f>
        <v>Silver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Anodized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 t="str">
        <f>$K$6</f>
        <v>Silver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Anodized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 t="str">
        <f>$K$6</f>
        <v>Silver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Anodized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 t="str">
        <f>$K$6</f>
        <v>Silver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Anodized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 t="str">
        <f>$K$6</f>
        <v>Silver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Anodized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 t="str">
        <f>$K$6</f>
        <v>Silver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Anodized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 t="str">
        <f>$K$6</f>
        <v>Silver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Anodized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 t="str">
        <f>$K$6</f>
        <v>Silver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Anodized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 t="str">
        <f>$K$6</f>
        <v>Silver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Anodized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 t="str">
        <f>$K$6</f>
        <v>Silver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Anodized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 t="str">
        <f>$K$6</f>
        <v>Silver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Anodized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 t="str">
        <f>$K$6</f>
        <v>Silver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Anodized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 t="str">
        <f>$K$6</f>
        <v>Silver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Anodized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 t="str">
        <f>$K$6</f>
        <v>Silver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Anodized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 t="str">
        <f>$K$6</f>
        <v>Silver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Anodized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 t="str">
        <f>$K$6</f>
        <v>Silver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Anodized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 t="str">
        <f>$K$6</f>
        <v>Silver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Anodized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 t="str">
        <f>$K$6</f>
        <v>Silver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Anodized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 t="str">
        <f>$K$6</f>
        <v>Silver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Anodized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 t="str">
        <f>$K$6</f>
        <v>Silver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Anodized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 t="str">
        <f>$K$6</f>
        <v>Silver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2542</v>
      </c>
    </row>
    <row r="5" spans="3:5">
      <c r="C5" s="236" t="s">
        <v>395</v>
      </c>
      <c r="D5" s="236" t="s">
        <v>393</v>
      </c>
      <c r="E5" s="309">
        <f>ROUND(Pricing!U104,0.1)/40</f>
        <v>76.25</v>
      </c>
    </row>
    <row r="6" spans="3:5">
      <c r="C6" s="236" t="s">
        <v>83</v>
      </c>
      <c r="D6" s="236" t="s">
        <v>392</v>
      </c>
      <c r="E6" s="309">
        <f>ROUND(Pricing!V104,0.1)</f>
        <v>159</v>
      </c>
    </row>
    <row r="7" spans="3:5">
      <c r="C7" s="236" t="s">
        <v>399</v>
      </c>
      <c r="D7" s="236" t="s">
        <v>391</v>
      </c>
      <c r="E7" s="309">
        <f>ROUND(Pricing!W104,0.1)</f>
        <v>2542</v>
      </c>
    </row>
    <row r="8" spans="3:5">
      <c r="C8" s="236" t="s">
        <v>396</v>
      </c>
      <c r="D8" s="236" t="s">
        <v>391</v>
      </c>
      <c r="E8" s="309">
        <f>ROUND(Pricing!X104,0.1)</f>
        <v>5083</v>
      </c>
    </row>
    <row r="9" spans="3:5">
      <c r="C9" t="s">
        <v>222</v>
      </c>
      <c r="D9" s="236" t="s">
        <v>394</v>
      </c>
      <c r="E9" s="309">
        <f>ROUND(Pricing!Y104,0.1)</f>
        <v>1525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A4" sqref="A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W1</v>
      </c>
      <c r="B2" s="318" t="str">
        <f>'BD Team'!C9</f>
        <v>M940</v>
      </c>
      <c r="C2" s="318" t="str">
        <f>'BD Team'!D9</f>
        <v>FIXED GLASS</v>
      </c>
      <c r="D2" s="318" t="str">
        <f>'BD Team'!E9</f>
        <v>6MM</v>
      </c>
      <c r="E2" s="318" t="str">
        <f>'BD Team'!G9</f>
        <v>NA</v>
      </c>
      <c r="F2" s="318" t="str">
        <f>'BD Team'!F9</f>
        <v>NO</v>
      </c>
      <c r="I2" s="318">
        <f>'BD Team'!H9</f>
        <v>1220</v>
      </c>
      <c r="J2" s="318">
        <f>'BD Team'!I9</f>
        <v>1830</v>
      </c>
      <c r="K2" s="318">
        <f>'BD Team'!J9</f>
        <v>40</v>
      </c>
      <c r="L2" s="319">
        <f>'BD Team'!K9</f>
        <v>33.54</v>
      </c>
      <c r="M2" s="318">
        <f>Pricing!O4</f>
        <v>1002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6MM</v>
      </c>
      <c r="E3" s="318" t="str">
        <f>'BD Team'!G10</f>
        <v>NA</v>
      </c>
      <c r="F3" s="318" t="str">
        <f>'BD Team'!F10</f>
        <v>SS</v>
      </c>
      <c r="I3" s="318">
        <f>'BD Team'!H10</f>
        <v>1220</v>
      </c>
      <c r="J3" s="318">
        <f>'BD Team'!I10</f>
        <v>1830</v>
      </c>
      <c r="K3" s="318">
        <f>'BD Team'!J10</f>
        <v>85</v>
      </c>
      <c r="L3" s="319">
        <f>'BD Team'!K10</f>
        <v>125.69</v>
      </c>
      <c r="M3" s="318">
        <f>Pricing!O5</f>
        <v>1002</v>
      </c>
      <c r="N3" s="318">
        <f>Pricing!Q5</f>
        <v>376.73999999999995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1" sqref="K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421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182</v>
      </c>
      <c r="G3" s="162" t="s">
        <v>424</v>
      </c>
      <c r="H3" s="323" t="s">
        <v>185</v>
      </c>
      <c r="I3" s="324"/>
      <c r="J3" s="166">
        <v>43731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372</v>
      </c>
      <c r="F4" s="135"/>
      <c r="G4" s="164"/>
      <c r="H4" s="323" t="s">
        <v>186</v>
      </c>
      <c r="I4" s="324"/>
      <c r="J4" s="165" t="s">
        <v>401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423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401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435</v>
      </c>
      <c r="F9" s="113" t="s">
        <v>429</v>
      </c>
      <c r="G9" s="113" t="s">
        <v>430</v>
      </c>
      <c r="H9" s="113">
        <v>1220</v>
      </c>
      <c r="I9" s="113">
        <v>1830</v>
      </c>
      <c r="J9" s="113">
        <v>40</v>
      </c>
      <c r="K9" s="123">
        <v>33.54</v>
      </c>
    </row>
    <row r="10" spans="1:13" ht="20.100000000000001" customHeight="1">
      <c r="A10" s="113">
        <v>2</v>
      </c>
      <c r="B10" s="113" t="s">
        <v>431</v>
      </c>
      <c r="C10" s="113" t="s">
        <v>432</v>
      </c>
      <c r="D10" s="113" t="s">
        <v>433</v>
      </c>
      <c r="E10" s="113" t="s">
        <v>435</v>
      </c>
      <c r="F10" s="113" t="s">
        <v>434</v>
      </c>
      <c r="G10" s="113" t="s">
        <v>430</v>
      </c>
      <c r="H10" s="113">
        <v>1220</v>
      </c>
      <c r="I10" s="113">
        <v>1830</v>
      </c>
      <c r="J10" s="113">
        <v>85</v>
      </c>
      <c r="K10" s="123">
        <f>97.24+28.45</f>
        <v>125.69</v>
      </c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L5" sqref="L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M940</v>
      </c>
      <c r="D4" s="118" t="str">
        <f>'BD Team'!D9</f>
        <v>FIXED GLASS</v>
      </c>
      <c r="E4" s="118" t="str">
        <f>'BD Team'!F9</f>
        <v>NO</v>
      </c>
      <c r="F4" s="121" t="str">
        <f>'BD Team'!G9</f>
        <v>NA</v>
      </c>
      <c r="G4" s="118">
        <f>'BD Team'!H9</f>
        <v>1220</v>
      </c>
      <c r="H4" s="118">
        <f>'BD Team'!I9</f>
        <v>1830</v>
      </c>
      <c r="I4" s="118">
        <f>'BD Team'!J9</f>
        <v>40</v>
      </c>
      <c r="J4" s="103">
        <f t="shared" ref="J4:J53" si="0">G4*H4*I4*10.764/1000000</f>
        <v>961.26825599999995</v>
      </c>
      <c r="K4" s="172">
        <f>'BD Team'!K9</f>
        <v>33.54</v>
      </c>
      <c r="L4" s="171">
        <f>K4*I4</f>
        <v>1341.6</v>
      </c>
      <c r="M4" s="170">
        <f>L4*'Changable Values'!$D$4</f>
        <v>111352.79999999999</v>
      </c>
      <c r="N4" s="170" t="str">
        <f>'BD Team'!E9</f>
        <v>6MM</v>
      </c>
      <c r="O4" s="172">
        <v>1002</v>
      </c>
      <c r="P4" s="241"/>
      <c r="Q4" s="173"/>
      <c r="R4" s="185"/>
      <c r="S4" s="312"/>
      <c r="T4" s="313">
        <f>(G4+H4)*I4*2/300</f>
        <v>813.33333333333337</v>
      </c>
      <c r="U4" s="313">
        <f>SUM(G4:H4)*I4*2*4/1000</f>
        <v>976</v>
      </c>
      <c r="V4" s="313">
        <f>SUM(G4:H4)*I4*5*5*4/(1000*240)</f>
        <v>50.833333333333336</v>
      </c>
      <c r="W4" s="313">
        <f>T4</f>
        <v>813.33333333333337</v>
      </c>
      <c r="X4" s="313">
        <f>W4*2</f>
        <v>1626.6666666666667</v>
      </c>
      <c r="Y4" s="313">
        <f>SUM(G4:H4)*I4*4/1000</f>
        <v>488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NA</v>
      </c>
      <c r="G5" s="118">
        <f>'BD Team'!H10</f>
        <v>1220</v>
      </c>
      <c r="H5" s="118">
        <f>'BD Team'!I10</f>
        <v>1830</v>
      </c>
      <c r="I5" s="118">
        <f>'BD Team'!J10</f>
        <v>85</v>
      </c>
      <c r="J5" s="103">
        <f t="shared" si="0"/>
        <v>2042.6950439999998</v>
      </c>
      <c r="K5" s="172">
        <f>'BD Team'!K10</f>
        <v>125.69</v>
      </c>
      <c r="L5" s="171">
        <f t="shared" ref="L5:L53" si="1">K5*I5</f>
        <v>10683.65</v>
      </c>
      <c r="M5" s="170">
        <f>L5*'Changable Values'!$D$4</f>
        <v>886742.95</v>
      </c>
      <c r="N5" s="170" t="str">
        <f>'BD Team'!E10</f>
        <v>6MM</v>
      </c>
      <c r="O5" s="172">
        <v>1002</v>
      </c>
      <c r="P5" s="241"/>
      <c r="Q5" s="173">
        <f>35*10.764</f>
        <v>376.73999999999995</v>
      </c>
      <c r="R5" s="185"/>
      <c r="S5" s="312"/>
      <c r="T5" s="313">
        <f t="shared" ref="T5:T68" si="2">(G5+H5)*I5*2/300</f>
        <v>1728.3333333333333</v>
      </c>
      <c r="U5" s="313">
        <f t="shared" ref="U5:U68" si="3">SUM(G5:H5)*I5*2*4/1000</f>
        <v>2074</v>
      </c>
      <c r="V5" s="313">
        <f t="shared" ref="V5:V68" si="4">SUM(G5:H5)*I5*5*5*4/(1000*240)</f>
        <v>108.02083333333333</v>
      </c>
      <c r="W5" s="313">
        <f t="shared" ref="W5:W68" si="5">T5</f>
        <v>1728.3333333333333</v>
      </c>
      <c r="X5" s="313">
        <f t="shared" ref="X5:X68" si="6">W5*2</f>
        <v>3456.6666666666665</v>
      </c>
      <c r="Y5" s="313">
        <f t="shared" ref="Y5:Y68" si="7">SUM(G5:H5)*I5*4/1000</f>
        <v>1037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159.22999999999999</v>
      </c>
      <c r="L104" s="168">
        <f>SUM(L4:L103)</f>
        <v>12025.25</v>
      </c>
      <c r="M104" s="168">
        <f>SUM(M4:M103)</f>
        <v>998095.75</v>
      </c>
      <c r="T104" s="314">
        <f t="shared" ref="T104:Y104" si="16">SUM(T4:T103)</f>
        <v>2541.6666666666665</v>
      </c>
      <c r="U104" s="314">
        <f t="shared" si="16"/>
        <v>3050</v>
      </c>
      <c r="V104" s="314">
        <f t="shared" si="16"/>
        <v>158.85416666666666</v>
      </c>
      <c r="W104" s="314">
        <f t="shared" si="16"/>
        <v>2541.6666666666665</v>
      </c>
      <c r="X104" s="314">
        <f t="shared" si="16"/>
        <v>5083.333333333333</v>
      </c>
      <c r="Y104" s="314">
        <f t="shared" si="16"/>
        <v>1525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1001.7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6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W1</v>
      </c>
      <c r="E8" s="132" t="str">
        <f>Pricing!N4</f>
        <v>6MM</v>
      </c>
      <c r="F8" s="68">
        <f>Pricing!G4</f>
        <v>1220</v>
      </c>
      <c r="G8" s="68">
        <f>Pricing!H4</f>
        <v>1830</v>
      </c>
      <c r="H8" s="100">
        <f t="shared" ref="H8:H57" si="0">(F8*G8)/1000000</f>
        <v>2.2326000000000001</v>
      </c>
      <c r="I8" s="70">
        <f>Pricing!I4</f>
        <v>40</v>
      </c>
      <c r="J8" s="69">
        <f t="shared" ref="J8" si="1">H8*I8</f>
        <v>89.304000000000002</v>
      </c>
      <c r="K8" s="71">
        <f t="shared" ref="K8" si="2">J8*10.764</f>
        <v>961.26825599999995</v>
      </c>
      <c r="L8" s="69"/>
      <c r="M8" s="72"/>
      <c r="N8" s="72"/>
      <c r="O8" s="72">
        <f t="shared" ref="O8:O35" si="3">N8*M8*L8/1000000</f>
        <v>0</v>
      </c>
      <c r="P8" s="73">
        <f>Pricing!M4</f>
        <v>111352.79999999999</v>
      </c>
      <c r="Q8" s="74">
        <f t="shared" ref="Q8:Q56" si="4">P8*$Q$6</f>
        <v>11135.279999999999</v>
      </c>
      <c r="R8" s="74">
        <f t="shared" ref="R8:R56" si="5">(P8+Q8)*$R$6</f>
        <v>13473.688799999998</v>
      </c>
      <c r="S8" s="74">
        <f t="shared" ref="S8:S56" si="6">(P8+Q8+R8)*$S$6</f>
        <v>679.80884400000002</v>
      </c>
      <c r="T8" s="74">
        <f t="shared" ref="T8:T56" si="7">(P8+Q8+R8+S8)*$T$6</f>
        <v>1366.4157764400002</v>
      </c>
      <c r="U8" s="72">
        <f t="shared" ref="U8:U56" si="8">SUM(P8:T8)</f>
        <v>138007.99342044001</v>
      </c>
      <c r="V8" s="74">
        <f t="shared" ref="V8:V56" si="9">U8*$V$6</f>
        <v>2070.1199013065998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89482.608000000007</v>
      </c>
      <c r="AE8" s="76">
        <f>((((F8+G8)*2)/305)*I8*$AE$7)</f>
        <v>20000</v>
      </c>
      <c r="AF8" s="346">
        <f>(((((F8*4)+(G8*4))/1000)*$AF$6*$AG$6)/300)*I8*$AF$7</f>
        <v>20495.999999999996</v>
      </c>
      <c r="AG8" s="347"/>
      <c r="AH8" s="76">
        <f>(((F8+G8))*I8/1000)*8*$AH$7</f>
        <v>732</v>
      </c>
      <c r="AI8" s="76">
        <f t="shared" ref="AI8:AI57" si="15">(((F8+G8)*2*I8)/1000)*2*$AI$7</f>
        <v>2440</v>
      </c>
      <c r="AJ8" s="76">
        <f>J8*Pricing!Q4</f>
        <v>0</v>
      </c>
      <c r="AK8" s="76">
        <f>J8*Pricing!R4</f>
        <v>0</v>
      </c>
      <c r="AL8" s="76">
        <f t="shared" ref="AL8:AL39" si="16">J8*$AL$6</f>
        <v>96126.825599999996</v>
      </c>
      <c r="AM8" s="77">
        <f t="shared" ref="AM8:AM39" si="17">$AM$6*J8</f>
        <v>0</v>
      </c>
      <c r="AN8" s="76">
        <f t="shared" ref="AN8:AN39" si="18">$AN$6*J8</f>
        <v>96126.825599999996</v>
      </c>
      <c r="AO8" s="72">
        <f t="shared" ref="AO8:AO39" si="19">SUM(U8:V8)+SUM(AC8:AI8)-AD8</f>
        <v>183746.11332174658</v>
      </c>
      <c r="AP8" s="74">
        <f t="shared" ref="AP8:AP39" si="20">AO8*$AP$6</f>
        <v>229682.64165218323</v>
      </c>
      <c r="AQ8" s="74">
        <f t="shared" ref="AQ8:AQ56" si="21">(AO8+AP8)*$AQ$6</f>
        <v>0</v>
      </c>
      <c r="AR8" s="74">
        <f t="shared" ref="AR8:AR39" si="22">SUM(AO8:AQ8)/J8</f>
        <v>4629.4539435403767</v>
      </c>
      <c r="AS8" s="72">
        <f t="shared" ref="AS8:AS39" si="23">SUM(AJ8:AQ8)+AD8+AB8</f>
        <v>695165.01417392981</v>
      </c>
      <c r="AT8" s="72">
        <f t="shared" ref="AT8:AT39" si="24">AS8/J8</f>
        <v>7784.2539435403769</v>
      </c>
      <c r="AU8" s="78">
        <f t="shared" ref="AU8:AU56" si="25">AT8/10.764</f>
        <v>723.1748368209195</v>
      </c>
      <c r="AV8" s="79">
        <f t="shared" ref="AV8:AV39" si="26">K8/$K$109</f>
        <v>0.32</v>
      </c>
      <c r="AW8" s="80">
        <f t="shared" ref="AW8:AW39" si="27">(U8+V8)/(J8*10.764)</f>
        <v>145.72218779452405</v>
      </c>
      <c r="AX8" s="81">
        <f t="shared" ref="AX8:AX39" si="28">SUM(W8:AN8,AP8)/(J8*10.764)</f>
        <v>577.45264902639542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W2</v>
      </c>
      <c r="E9" s="132" t="str">
        <f>Pricing!N5</f>
        <v>6MM</v>
      </c>
      <c r="F9" s="68">
        <f>Pricing!G5</f>
        <v>1220</v>
      </c>
      <c r="G9" s="68">
        <f>Pricing!H5</f>
        <v>1830</v>
      </c>
      <c r="H9" s="100">
        <f t="shared" si="0"/>
        <v>2.2326000000000001</v>
      </c>
      <c r="I9" s="70">
        <f>Pricing!I5</f>
        <v>85</v>
      </c>
      <c r="J9" s="69">
        <f t="shared" ref="J9:J58" si="30">H9*I9</f>
        <v>189.77100000000002</v>
      </c>
      <c r="K9" s="71">
        <f t="shared" ref="K9:K58" si="31">J9*10.764</f>
        <v>2042.6950440000001</v>
      </c>
      <c r="L9" s="69"/>
      <c r="M9" s="72"/>
      <c r="N9" s="72"/>
      <c r="O9" s="72">
        <f t="shared" si="3"/>
        <v>0</v>
      </c>
      <c r="P9" s="73">
        <f>Pricing!M5</f>
        <v>886742.95</v>
      </c>
      <c r="Q9" s="74">
        <f t="shared" ref="Q9:Q14" si="32">P9*$Q$6</f>
        <v>88674.294999999998</v>
      </c>
      <c r="R9" s="74">
        <f t="shared" ref="R9:R14" si="33">(P9+Q9)*$R$6</f>
        <v>107295.89694999999</v>
      </c>
      <c r="S9" s="74">
        <f t="shared" ref="S9:S14" si="34">(P9+Q9+R9)*$S$6</f>
        <v>5413.5657097500007</v>
      </c>
      <c r="T9" s="74">
        <f t="shared" ref="T9:T14" si="35">(P9+Q9+R9+S9)*$T$6</f>
        <v>10881.2670765975</v>
      </c>
      <c r="U9" s="72">
        <f t="shared" ref="U9:U14" si="36">SUM(P9:T9)</f>
        <v>1099007.9747363476</v>
      </c>
      <c r="V9" s="74">
        <f t="shared" ref="V9:V14" si="37">U9*$V$6</f>
        <v>16485.119621045214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190150.54200000002</v>
      </c>
      <c r="AE9" s="76">
        <f t="shared" ref="AE9:AE57" si="43">((((F9+G9)*2)/305)*I9*$AE$7)</f>
        <v>42500</v>
      </c>
      <c r="AF9" s="346">
        <f t="shared" ref="AF9:AF57" si="44">(((((F9*4)+(G9*4))/1000)*$AF$6*$AG$6)/300)*I9*$AF$7</f>
        <v>43553.999999999993</v>
      </c>
      <c r="AG9" s="347"/>
      <c r="AH9" s="76">
        <f t="shared" ref="AH9:AH72" si="45">(((F9+G9))*I9/1000)*8*$AH$7</f>
        <v>1555.5</v>
      </c>
      <c r="AI9" s="76">
        <f t="shared" si="15"/>
        <v>5185</v>
      </c>
      <c r="AJ9" s="76">
        <f>J9*Pricing!Q5</f>
        <v>71494.326539999995</v>
      </c>
      <c r="AK9" s="76">
        <f>J9*Pricing!R5</f>
        <v>0</v>
      </c>
      <c r="AL9" s="76">
        <f t="shared" si="16"/>
        <v>204269.50439999998</v>
      </c>
      <c r="AM9" s="77">
        <f t="shared" si="17"/>
        <v>0</v>
      </c>
      <c r="AN9" s="76">
        <f t="shared" si="18"/>
        <v>204269.50439999998</v>
      </c>
      <c r="AO9" s="72">
        <f t="shared" si="19"/>
        <v>1208287.5943573928</v>
      </c>
      <c r="AP9" s="74">
        <f t="shared" si="20"/>
        <v>1510359.4929467409</v>
      </c>
      <c r="AQ9" s="74">
        <f t="shared" ref="AQ9:AQ14" si="46">(AO9+AP9)*$AQ$6</f>
        <v>0</v>
      </c>
      <c r="AR9" s="74">
        <f t="shared" si="22"/>
        <v>14325.935402691315</v>
      </c>
      <c r="AS9" s="72">
        <f t="shared" si="23"/>
        <v>3388830.9646441336</v>
      </c>
      <c r="AT9" s="72">
        <f t="shared" si="24"/>
        <v>17857.475402691314</v>
      </c>
      <c r="AU9" s="78">
        <f t="shared" ref="AU9:AU14" si="47">AT9/10.764</f>
        <v>1658.9999445086692</v>
      </c>
      <c r="AV9" s="79">
        <f t="shared" si="26"/>
        <v>0.68</v>
      </c>
      <c r="AW9" s="80">
        <f t="shared" si="27"/>
        <v>546.08890232241276</v>
      </c>
      <c r="AX9" s="81">
        <f t="shared" si="28"/>
        <v>1112.9110421862563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4.4652000000000003</v>
      </c>
      <c r="I109" s="87">
        <f>SUM(I8:I108)</f>
        <v>125</v>
      </c>
      <c r="J109" s="88">
        <f>SUM(J8:J108)</f>
        <v>279.07500000000005</v>
      </c>
      <c r="K109" s="89">
        <f>SUM(K8:K108)</f>
        <v>3003.9632999999999</v>
      </c>
      <c r="L109" s="88">
        <f>SUM(L8:L8)</f>
        <v>0</v>
      </c>
      <c r="M109" s="88"/>
      <c r="N109" s="88"/>
      <c r="O109" s="88"/>
      <c r="P109" s="87">
        <f>SUM(P8:P108)</f>
        <v>998095.75</v>
      </c>
      <c r="Q109" s="88">
        <f t="shared" ref="Q109:AE109" si="156">SUM(Q8:Q108)</f>
        <v>99809.574999999997</v>
      </c>
      <c r="R109" s="88">
        <f t="shared" si="156"/>
        <v>120769.58575</v>
      </c>
      <c r="S109" s="88">
        <f t="shared" si="156"/>
        <v>6093.3745537500008</v>
      </c>
      <c r="T109" s="88">
        <f t="shared" si="156"/>
        <v>12247.682853037501</v>
      </c>
      <c r="U109" s="88">
        <f t="shared" si="156"/>
        <v>1237015.9681567876</v>
      </c>
      <c r="V109" s="88">
        <f t="shared" si="156"/>
        <v>18555.239522351814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279633.15000000002</v>
      </c>
      <c r="AE109" s="88">
        <f t="shared" si="156"/>
        <v>62500</v>
      </c>
      <c r="AF109" s="407">
        <f>SUM(AF8:AG108)</f>
        <v>64049.999999999985</v>
      </c>
      <c r="AG109" s="408"/>
      <c r="AH109" s="88">
        <f t="shared" ref="AH109:AQ109" si="157">SUM(AH8:AH108)</f>
        <v>2287.5</v>
      </c>
      <c r="AI109" s="88">
        <f t="shared" si="157"/>
        <v>7625</v>
      </c>
      <c r="AJ109" s="88">
        <f t="shared" ref="AJ109" si="158">SUM(AJ8:AJ108)</f>
        <v>71494.326539999995</v>
      </c>
      <c r="AK109" s="88">
        <f t="shared" si="157"/>
        <v>0</v>
      </c>
      <c r="AL109" s="88">
        <f t="shared" si="157"/>
        <v>300396.32999999996</v>
      </c>
      <c r="AM109" s="88">
        <f t="shared" si="157"/>
        <v>0</v>
      </c>
      <c r="AN109" s="88">
        <f t="shared" si="157"/>
        <v>300396.32999999996</v>
      </c>
      <c r="AO109" s="88">
        <f t="shared" si="157"/>
        <v>1392033.7076791395</v>
      </c>
      <c r="AP109" s="88">
        <f t="shared" si="157"/>
        <v>1740042.1345989241</v>
      </c>
      <c r="AQ109" s="88">
        <f t="shared" si="157"/>
        <v>0</v>
      </c>
      <c r="AR109" s="88"/>
      <c r="AS109" s="87">
        <f>SUM(AS8:AS108)</f>
        <v>4083995.9788180636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64049.999999999985</v>
      </c>
      <c r="AW110" s="84"/>
    </row>
    <row r="111" spans="2:54">
      <c r="AF111" s="174"/>
      <c r="AG111" s="174"/>
      <c r="AH111" s="174">
        <f>SUM(AE109:AI109,AC109)</f>
        <v>136462.5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P7" sqref="P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5"/>
      <c r="C6" s="446"/>
      <c r="D6" s="446"/>
      <c r="E6" s="446"/>
      <c r="F6" s="446"/>
      <c r="G6" s="446"/>
      <c r="H6" s="446"/>
      <c r="I6" s="446"/>
      <c r="J6" s="447"/>
      <c r="K6" s="452" t="s">
        <v>103</v>
      </c>
      <c r="L6" s="453"/>
      <c r="M6" s="448" t="str">
        <f>'BD Team'!J2</f>
        <v>ABPL-DE-19.20-2203</v>
      </c>
      <c r="N6" s="449"/>
    </row>
    <row r="7" spans="2:15" ht="24.95" customHeight="1">
      <c r="B7" s="428" t="s">
        <v>126</v>
      </c>
      <c r="C7" s="429"/>
      <c r="D7" s="429"/>
      <c r="E7" s="429"/>
      <c r="F7" s="461" t="str">
        <f>'BD Team'!E2</f>
        <v>Mr. Ravindranath</v>
      </c>
      <c r="G7" s="461"/>
      <c r="H7" s="461"/>
      <c r="I7" s="461"/>
      <c r="J7" s="462"/>
      <c r="K7" s="437" t="s">
        <v>104</v>
      </c>
      <c r="L7" s="429"/>
      <c r="M7" s="434">
        <f>'BD Team'!J3</f>
        <v>43731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Vizag</v>
      </c>
      <c r="G8" s="463" t="s">
        <v>179</v>
      </c>
      <c r="H8" s="464"/>
      <c r="I8" s="461" t="str">
        <f>'BD Team'!G3</f>
        <v>1.2Kpa</v>
      </c>
      <c r="J8" s="462"/>
      <c r="K8" s="437" t="s">
        <v>105</v>
      </c>
      <c r="L8" s="429"/>
      <c r="M8" s="178" t="s">
        <v>364</v>
      </c>
      <c r="N8" s="179">
        <v>43731</v>
      </c>
    </row>
    <row r="9" spans="2:15" ht="24.95" customHeight="1">
      <c r="B9" s="428" t="s">
        <v>168</v>
      </c>
      <c r="C9" s="429"/>
      <c r="D9" s="429"/>
      <c r="E9" s="429"/>
      <c r="F9" s="461" t="str">
        <f>'BD Team'!E4</f>
        <v>Ms. Shobha : 8008103084</v>
      </c>
      <c r="G9" s="461"/>
      <c r="H9" s="461"/>
      <c r="I9" s="461"/>
      <c r="J9" s="462"/>
      <c r="K9" s="437" t="s">
        <v>178</v>
      </c>
      <c r="L9" s="429"/>
      <c r="M9" s="450" t="str">
        <f>'BD Team'!J4</f>
        <v>Bal Kumari</v>
      </c>
      <c r="N9" s="451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Anodized</v>
      </c>
      <c r="G10" s="442" t="s">
        <v>177</v>
      </c>
      <c r="H10" s="443"/>
      <c r="I10" s="440" t="str">
        <f>'BD Team'!G5</f>
        <v>Silver</v>
      </c>
      <c r="J10" s="441"/>
      <c r="K10" s="438" t="s">
        <v>373</v>
      </c>
      <c r="L10" s="439"/>
      <c r="M10" s="432">
        <f>'BD Team'!J5</f>
        <v>0</v>
      </c>
      <c r="N10" s="433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5" t="s">
        <v>169</v>
      </c>
      <c r="C13" s="466"/>
      <c r="D13" s="436" t="s">
        <v>170</v>
      </c>
      <c r="E13" s="436" t="s">
        <v>171</v>
      </c>
      <c r="F13" s="436" t="s">
        <v>37</v>
      </c>
      <c r="G13" s="444" t="s">
        <v>63</v>
      </c>
      <c r="H13" s="444" t="s">
        <v>209</v>
      </c>
      <c r="I13" s="444" t="s">
        <v>208</v>
      </c>
      <c r="J13" s="467" t="s">
        <v>172</v>
      </c>
      <c r="K13" s="467" t="s">
        <v>173</v>
      </c>
      <c r="L13" s="466" t="s">
        <v>210</v>
      </c>
      <c r="M13" s="467" t="s">
        <v>174</v>
      </c>
      <c r="N13" s="468" t="s">
        <v>175</v>
      </c>
    </row>
    <row r="14" spans="2:15" s="94" customFormat="1" ht="18" customHeight="1" thickTop="1" thickBot="1">
      <c r="B14" s="465"/>
      <c r="C14" s="466"/>
      <c r="D14" s="436"/>
      <c r="E14" s="436"/>
      <c r="F14" s="436"/>
      <c r="G14" s="444"/>
      <c r="H14" s="444"/>
      <c r="I14" s="444"/>
      <c r="J14" s="467"/>
      <c r="K14" s="467"/>
      <c r="L14" s="466"/>
      <c r="M14" s="467"/>
      <c r="N14" s="468"/>
    </row>
    <row r="15" spans="2:15" s="94" customFormat="1" ht="26.25" customHeight="1" thickTop="1" thickBot="1">
      <c r="B15" s="465"/>
      <c r="C15" s="466"/>
      <c r="D15" s="436"/>
      <c r="E15" s="436"/>
      <c r="F15" s="436"/>
      <c r="G15" s="444"/>
      <c r="H15" s="444"/>
      <c r="I15" s="444"/>
      <c r="J15" s="467"/>
      <c r="K15" s="467"/>
      <c r="L15" s="466"/>
      <c r="M15" s="467"/>
      <c r="N15" s="468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M940</v>
      </c>
      <c r="F16" s="187" t="str">
        <f>Pricing!D4</f>
        <v>FIXED GLASS</v>
      </c>
      <c r="G16" s="187" t="str">
        <f>Pricing!N4</f>
        <v>6MM</v>
      </c>
      <c r="H16" s="187" t="str">
        <f>Pricing!F4</f>
        <v>NA</v>
      </c>
      <c r="I16" s="216" t="str">
        <f>Pricing!E4</f>
        <v>NO</v>
      </c>
      <c r="J16" s="216">
        <f>Pricing!G4</f>
        <v>1220</v>
      </c>
      <c r="K16" s="216">
        <f>Pricing!H4</f>
        <v>1830</v>
      </c>
      <c r="L16" s="216">
        <f>Pricing!I4</f>
        <v>40</v>
      </c>
      <c r="M16" s="188">
        <f t="shared" ref="M16:M24" si="0">J16*K16*L16/1000000</f>
        <v>89.304000000000002</v>
      </c>
      <c r="N16" s="189">
        <f>'Cost Calculation'!AS8</f>
        <v>695165.01417392981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6MM</v>
      </c>
      <c r="H17" s="187" t="str">
        <f>Pricing!F5</f>
        <v>NA</v>
      </c>
      <c r="I17" s="216" t="str">
        <f>Pricing!E5</f>
        <v>SS</v>
      </c>
      <c r="J17" s="216">
        <f>Pricing!G5</f>
        <v>1220</v>
      </c>
      <c r="K17" s="216">
        <f>Pricing!H5</f>
        <v>1830</v>
      </c>
      <c r="L17" s="216">
        <f>Pricing!I5</f>
        <v>85</v>
      </c>
      <c r="M17" s="188">
        <f t="shared" si="0"/>
        <v>189.77099999999999</v>
      </c>
      <c r="N17" s="189">
        <f>'Cost Calculation'!AS9</f>
        <v>3388830.9646441336</v>
      </c>
      <c r="O17" s="95"/>
    </row>
    <row r="18" spans="2:15" s="94" customFormat="1" ht="49.9" hidden="1" customHeight="1" thickTop="1" thickBot="1">
      <c r="B18" s="414">
        <f>Pricing!A6</f>
        <v>3</v>
      </c>
      <c r="C18" s="41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2"/>
      <c r="C116" s="423"/>
      <c r="D116" s="423"/>
      <c r="E116" s="423"/>
      <c r="F116" s="423"/>
      <c r="G116" s="423"/>
      <c r="H116" s="423"/>
      <c r="I116" s="423"/>
      <c r="J116" s="423"/>
      <c r="K116" s="424"/>
      <c r="L116" s="190">
        <f>SUM(L16:L115)</f>
        <v>125</v>
      </c>
      <c r="M116" s="191">
        <f>SUM(M16:M115)</f>
        <v>279.07499999999999</v>
      </c>
      <c r="N116" s="186"/>
      <c r="O116" s="95"/>
    </row>
    <row r="117" spans="2:15" s="94" customFormat="1" ht="30" customHeight="1" thickTop="1" thickBot="1">
      <c r="B117" s="425" t="s">
        <v>180</v>
      </c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7"/>
      <c r="N117" s="192">
        <f>ROUND(SUM(N16:N115),0.1)</f>
        <v>4083996</v>
      </c>
      <c r="O117" s="95">
        <f>N117/SUM(M116)</f>
        <v>14634.044611663532</v>
      </c>
    </row>
    <row r="118" spans="2:15" s="94" customFormat="1" ht="30" customHeight="1" thickTop="1" thickBot="1">
      <c r="B118" s="425" t="s">
        <v>111</v>
      </c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192">
        <f>ROUND(N117*18%,0.1)</f>
        <v>735119</v>
      </c>
      <c r="O118" s="95">
        <f>N118/SUM(M116)</f>
        <v>2634.1270267849145</v>
      </c>
    </row>
    <row r="119" spans="2:15" s="94" customFormat="1" ht="30" customHeight="1" thickTop="1" thickBot="1">
      <c r="B119" s="425" t="s">
        <v>181</v>
      </c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192">
        <f>ROUND(SUM(N117:N118),0.1)</f>
        <v>4819115</v>
      </c>
      <c r="O119" s="95">
        <f>N119/SUM(M116)</f>
        <v>17268.171638448446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1359.5359170999195</v>
      </c>
    </row>
    <row r="121" spans="2:15" s="139" customFormat="1" ht="30" customHeight="1" thickTop="1">
      <c r="B121" s="454" t="s">
        <v>236</v>
      </c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7">
        <v>2</v>
      </c>
      <c r="C123" s="458"/>
      <c r="D123" s="459"/>
      <c r="E123" s="459"/>
      <c r="F123" s="459"/>
      <c r="G123" s="459"/>
      <c r="H123" s="459"/>
      <c r="I123" s="459"/>
      <c r="J123" s="459"/>
      <c r="K123" s="459"/>
      <c r="L123" s="459"/>
      <c r="M123" s="459"/>
      <c r="N123" s="460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0">
        <v>1</v>
      </c>
      <c r="C125" s="411"/>
      <c r="D125" s="412" t="s">
        <v>436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19" t="s">
        <v>140</v>
      </c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1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388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16" t="s">
        <v>141</v>
      </c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8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420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4</v>
      </c>
      <c r="C133" s="411"/>
      <c r="D133" s="412" t="s">
        <v>144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16" t="s">
        <v>145</v>
      </c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8"/>
    </row>
    <row r="135" spans="2:14" s="139" customFormat="1" ht="30" customHeight="1">
      <c r="B135" s="509" t="s">
        <v>146</v>
      </c>
      <c r="C135" s="510"/>
      <c r="D135" s="510"/>
      <c r="E135" s="510"/>
      <c r="F135" s="510"/>
      <c r="G135" s="510"/>
      <c r="H135" s="510"/>
      <c r="I135" s="510"/>
      <c r="J135" s="510"/>
      <c r="K135" s="510"/>
      <c r="L135" s="510"/>
      <c r="M135" s="510"/>
      <c r="N135" s="511"/>
    </row>
    <row r="136" spans="2:14" s="93" customFormat="1" ht="24.95" customHeight="1">
      <c r="B136" s="410">
        <v>1</v>
      </c>
      <c r="C136" s="411"/>
      <c r="D136" s="412" t="s">
        <v>147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400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16" t="s">
        <v>152</v>
      </c>
      <c r="C142" s="417"/>
      <c r="D142" s="417"/>
      <c r="E142" s="417"/>
      <c r="F142" s="417"/>
      <c r="G142" s="417"/>
      <c r="H142" s="417"/>
      <c r="I142" s="417"/>
      <c r="J142" s="417"/>
      <c r="K142" s="417"/>
      <c r="L142" s="417"/>
      <c r="M142" s="417"/>
      <c r="N142" s="418"/>
    </row>
    <row r="143" spans="2:14" s="93" customFormat="1" ht="24.95" customHeight="1">
      <c r="B143" s="410">
        <v>1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7" t="s">
        <v>418</v>
      </c>
      <c r="E144" s="498"/>
      <c r="F144" s="498"/>
      <c r="G144" s="498"/>
      <c r="H144" s="498"/>
      <c r="I144" s="498"/>
      <c r="J144" s="498"/>
      <c r="K144" s="498"/>
      <c r="L144" s="498"/>
      <c r="M144" s="498"/>
      <c r="N144" s="499"/>
    </row>
    <row r="145" spans="2:14" s="93" customFormat="1" ht="24.95" customHeight="1">
      <c r="B145" s="410">
        <v>3</v>
      </c>
      <c r="C145" s="411"/>
      <c r="D145" s="412" t="s">
        <v>154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16" t="s">
        <v>156</v>
      </c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8"/>
    </row>
    <row r="148" spans="2:14" s="93" customFormat="1" ht="24.95" customHeight="1">
      <c r="B148" s="410">
        <v>1</v>
      </c>
      <c r="C148" s="411"/>
      <c r="D148" s="412" t="s">
        <v>157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7" t="s">
        <v>158</v>
      </c>
      <c r="E149" s="498"/>
      <c r="F149" s="498"/>
      <c r="G149" s="498"/>
      <c r="H149" s="498"/>
      <c r="I149" s="498"/>
      <c r="J149" s="498"/>
      <c r="K149" s="498"/>
      <c r="L149" s="498"/>
      <c r="M149" s="498"/>
      <c r="N149" s="499"/>
    </row>
    <row r="150" spans="2:14" s="140" customFormat="1" ht="30" customHeight="1">
      <c r="B150" s="416" t="s">
        <v>159</v>
      </c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24.95" customHeight="1">
      <c r="B151" s="410">
        <v>1</v>
      </c>
      <c r="C151" s="411"/>
      <c r="D151" s="475" t="s">
        <v>160</v>
      </c>
      <c r="E151" s="475"/>
      <c r="F151" s="475"/>
      <c r="G151" s="475"/>
      <c r="H151" s="475"/>
      <c r="I151" s="475"/>
      <c r="J151" s="475"/>
      <c r="K151" s="475"/>
      <c r="L151" s="475"/>
      <c r="M151" s="475"/>
      <c r="N151" s="476"/>
    </row>
    <row r="152" spans="2:14" s="93" customFormat="1" ht="24.95" customHeight="1">
      <c r="B152" s="410">
        <v>2</v>
      </c>
      <c r="C152" s="411"/>
      <c r="D152" s="475" t="s">
        <v>161</v>
      </c>
      <c r="E152" s="475"/>
      <c r="F152" s="475"/>
      <c r="G152" s="475"/>
      <c r="H152" s="475"/>
      <c r="I152" s="475"/>
      <c r="J152" s="475"/>
      <c r="K152" s="475"/>
      <c r="L152" s="475"/>
      <c r="M152" s="475"/>
      <c r="N152" s="476"/>
    </row>
    <row r="153" spans="2:14" s="93" customFormat="1" ht="49.9" customHeight="1">
      <c r="B153" s="410">
        <v>3</v>
      </c>
      <c r="C153" s="411"/>
      <c r="D153" s="494" t="s">
        <v>162</v>
      </c>
      <c r="E153" s="495"/>
      <c r="F153" s="495"/>
      <c r="G153" s="495"/>
      <c r="H153" s="495"/>
      <c r="I153" s="495"/>
      <c r="J153" s="495"/>
      <c r="K153" s="495"/>
      <c r="L153" s="495"/>
      <c r="M153" s="495"/>
      <c r="N153" s="496"/>
    </row>
    <row r="154" spans="2:14" s="93" customFormat="1" ht="24.95" customHeight="1">
      <c r="B154" s="410">
        <v>4</v>
      </c>
      <c r="C154" s="411"/>
      <c r="D154" s="475" t="s">
        <v>163</v>
      </c>
      <c r="E154" s="475"/>
      <c r="F154" s="475"/>
      <c r="G154" s="475"/>
      <c r="H154" s="475"/>
      <c r="I154" s="475"/>
      <c r="J154" s="475"/>
      <c r="K154" s="475"/>
      <c r="L154" s="475"/>
      <c r="M154" s="475"/>
      <c r="N154" s="476"/>
    </row>
    <row r="155" spans="2:14" s="140" customFormat="1" ht="30" customHeight="1">
      <c r="B155" s="416" t="s">
        <v>164</v>
      </c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8"/>
    </row>
    <row r="156" spans="2:14" s="93" customFormat="1" ht="24.95" customHeight="1">
      <c r="B156" s="410">
        <v>1</v>
      </c>
      <c r="C156" s="411"/>
      <c r="D156" s="475" t="s">
        <v>165</v>
      </c>
      <c r="E156" s="475"/>
      <c r="F156" s="475"/>
      <c r="G156" s="475"/>
      <c r="H156" s="475"/>
      <c r="I156" s="475"/>
      <c r="J156" s="475"/>
      <c r="K156" s="475"/>
      <c r="L156" s="475"/>
      <c r="M156" s="475"/>
      <c r="N156" s="476"/>
    </row>
    <row r="157" spans="2:14" s="93" customFormat="1" ht="24.95" customHeight="1">
      <c r="B157" s="410">
        <v>2</v>
      </c>
      <c r="C157" s="411"/>
      <c r="D157" s="475" t="s">
        <v>166</v>
      </c>
      <c r="E157" s="475"/>
      <c r="F157" s="475"/>
      <c r="G157" s="475"/>
      <c r="H157" s="475"/>
      <c r="I157" s="475"/>
      <c r="J157" s="475"/>
      <c r="K157" s="475"/>
      <c r="L157" s="475"/>
      <c r="M157" s="475"/>
      <c r="N157" s="476"/>
    </row>
    <row r="158" spans="2:14" s="93" customFormat="1" ht="24.95" customHeight="1">
      <c r="B158" s="410">
        <v>3</v>
      </c>
      <c r="C158" s="411"/>
      <c r="D158" s="475" t="s">
        <v>167</v>
      </c>
      <c r="E158" s="475"/>
      <c r="F158" s="475"/>
      <c r="G158" s="475"/>
      <c r="H158" s="475"/>
      <c r="I158" s="475"/>
      <c r="J158" s="475"/>
      <c r="K158" s="475"/>
      <c r="L158" s="475"/>
      <c r="M158" s="475"/>
      <c r="N158" s="476"/>
    </row>
    <row r="159" spans="2:14" s="93" customFormat="1" ht="24.95" customHeight="1">
      <c r="B159" s="410">
        <v>4</v>
      </c>
      <c r="C159" s="411"/>
      <c r="D159" s="475" t="s">
        <v>419</v>
      </c>
      <c r="E159" s="475"/>
      <c r="F159" s="475"/>
      <c r="G159" s="475"/>
      <c r="H159" s="475"/>
      <c r="I159" s="475"/>
      <c r="J159" s="475"/>
      <c r="K159" s="475"/>
      <c r="L159" s="475"/>
      <c r="M159" s="475"/>
      <c r="N159" s="476"/>
    </row>
    <row r="160" spans="2:14" s="93" customFormat="1" ht="24.95" customHeight="1">
      <c r="B160" s="457" t="s">
        <v>239</v>
      </c>
      <c r="C160" s="492"/>
      <c r="D160" s="492"/>
      <c r="E160" s="492"/>
      <c r="F160" s="492"/>
      <c r="G160" s="492"/>
      <c r="H160" s="492"/>
      <c r="I160" s="492"/>
      <c r="J160" s="492"/>
      <c r="K160" s="492"/>
      <c r="L160" s="492"/>
      <c r="M160" s="492"/>
      <c r="N160" s="493"/>
    </row>
    <row r="161" spans="2:14" s="93" customFormat="1" ht="24.95" customHeight="1">
      <c r="B161" s="457" t="s">
        <v>240</v>
      </c>
      <c r="C161" s="492"/>
      <c r="D161" s="492"/>
      <c r="E161" s="492"/>
      <c r="F161" s="492"/>
      <c r="G161" s="492"/>
      <c r="H161" s="492"/>
      <c r="I161" s="492"/>
      <c r="J161" s="492"/>
      <c r="K161" s="492"/>
      <c r="L161" s="492"/>
      <c r="M161" s="492"/>
      <c r="N161" s="493"/>
    </row>
    <row r="162" spans="2:14" s="93" customFormat="1" ht="41.25" customHeight="1">
      <c r="B162" s="483"/>
      <c r="C162" s="484"/>
      <c r="D162" s="484"/>
      <c r="E162" s="484"/>
      <c r="F162" s="484"/>
      <c r="G162" s="484"/>
      <c r="H162" s="484"/>
      <c r="I162" s="484"/>
      <c r="J162" s="484"/>
      <c r="K162" s="484"/>
      <c r="L162" s="484"/>
      <c r="M162" s="484"/>
      <c r="N162" s="485"/>
    </row>
    <row r="163" spans="2:14" s="93" customFormat="1" ht="39.950000000000003" customHeight="1">
      <c r="B163" s="486"/>
      <c r="C163" s="487"/>
      <c r="D163" s="487"/>
      <c r="E163" s="487"/>
      <c r="F163" s="487"/>
      <c r="G163" s="487"/>
      <c r="H163" s="487"/>
      <c r="I163" s="487"/>
      <c r="J163" s="487"/>
      <c r="K163" s="487"/>
      <c r="L163" s="487"/>
      <c r="M163" s="487"/>
      <c r="N163" s="488"/>
    </row>
    <row r="164" spans="2:14" s="93" customFormat="1" ht="41.25" customHeight="1">
      <c r="B164" s="486"/>
      <c r="C164" s="487"/>
      <c r="D164" s="487"/>
      <c r="E164" s="487"/>
      <c r="F164" s="487"/>
      <c r="G164" s="487"/>
      <c r="H164" s="487"/>
      <c r="I164" s="487"/>
      <c r="J164" s="487"/>
      <c r="K164" s="487"/>
      <c r="L164" s="487"/>
      <c r="M164" s="487"/>
      <c r="N164" s="488"/>
    </row>
    <row r="165" spans="2:14" s="93" customFormat="1" ht="39.950000000000003" customHeight="1" thickBot="1">
      <c r="B165" s="489"/>
      <c r="C165" s="490"/>
      <c r="D165" s="490"/>
      <c r="E165" s="490"/>
      <c r="F165" s="490"/>
      <c r="G165" s="490"/>
      <c r="H165" s="490"/>
      <c r="I165" s="490"/>
      <c r="J165" s="490"/>
      <c r="K165" s="490"/>
      <c r="L165" s="490"/>
      <c r="M165" s="490"/>
      <c r="N165" s="491"/>
    </row>
    <row r="166" spans="2:14" s="93" customFormat="1" ht="30" customHeight="1" thickTop="1">
      <c r="B166" s="471" t="s">
        <v>110</v>
      </c>
      <c r="C166" s="472"/>
      <c r="D166" s="472"/>
      <c r="E166" s="477"/>
      <c r="F166" s="478"/>
      <c r="G166" s="478"/>
      <c r="H166" s="478"/>
      <c r="I166" s="478"/>
      <c r="J166" s="478"/>
      <c r="K166" s="478"/>
      <c r="L166" s="479"/>
      <c r="M166" s="472" t="s">
        <v>204</v>
      </c>
      <c r="N166" s="473"/>
    </row>
    <row r="167" spans="2:14" s="93" customFormat="1" ht="33" customHeight="1" thickBot="1">
      <c r="B167" s="474" t="s">
        <v>107</v>
      </c>
      <c r="C167" s="469"/>
      <c r="D167" s="469"/>
      <c r="E167" s="480"/>
      <c r="F167" s="481"/>
      <c r="G167" s="481"/>
      <c r="H167" s="481"/>
      <c r="I167" s="481"/>
      <c r="J167" s="481"/>
      <c r="K167" s="481"/>
      <c r="L167" s="482"/>
      <c r="M167" s="469" t="s">
        <v>108</v>
      </c>
      <c r="N167" s="470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33:C133"/>
    <mergeCell ref="D133:N133"/>
    <mergeCell ref="B130:C130"/>
    <mergeCell ref="D130:N130"/>
    <mergeCell ref="B43:C43"/>
    <mergeCell ref="B44:C44"/>
    <mergeCell ref="B45:C45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136:C136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54:C54"/>
    <mergeCell ref="B55:C55"/>
    <mergeCell ref="B131:C131"/>
    <mergeCell ref="D131:N131"/>
    <mergeCell ref="B128:C128"/>
    <mergeCell ref="D128:N128"/>
    <mergeCell ref="B20:C20"/>
    <mergeCell ref="B21:C21"/>
    <mergeCell ref="B22:C22"/>
    <mergeCell ref="B23:C23"/>
    <mergeCell ref="B41:C41"/>
    <mergeCell ref="B42:C42"/>
    <mergeCell ref="B129:N129"/>
    <mergeCell ref="B126:N126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43731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Ravindranath</v>
      </c>
      <c r="E3" s="517"/>
      <c r="F3" s="520" t="s">
        <v>245</v>
      </c>
      <c r="G3" s="521">
        <f>QUOTATION!N8</f>
        <v>43731</v>
      </c>
    </row>
    <row r="4" spans="3:13">
      <c r="C4" s="297" t="s">
        <v>242</v>
      </c>
      <c r="D4" s="518" t="str">
        <f>QUOTATION!M6</f>
        <v>ABPL-DE-19.20-2203</v>
      </c>
      <c r="E4" s="518"/>
      <c r="F4" s="520"/>
      <c r="G4" s="522"/>
    </row>
    <row r="5" spans="3:13">
      <c r="C5" s="297" t="s">
        <v>127</v>
      </c>
      <c r="D5" s="517" t="str">
        <f>QUOTATION!F8</f>
        <v>Vizag</v>
      </c>
      <c r="E5" s="517"/>
      <c r="F5" s="520"/>
      <c r="G5" s="522"/>
    </row>
    <row r="6" spans="3:13">
      <c r="C6" s="297" t="s">
        <v>168</v>
      </c>
      <c r="D6" s="517" t="str">
        <f>QUOTATION!F9</f>
        <v>Ms. Shobha : 8008103084</v>
      </c>
      <c r="E6" s="517"/>
      <c r="F6" s="520"/>
      <c r="G6" s="522"/>
    </row>
    <row r="7" spans="3:13">
      <c r="C7" s="297" t="s">
        <v>375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Anodized</v>
      </c>
      <c r="E8" s="517"/>
      <c r="F8" s="520"/>
      <c r="G8" s="522"/>
    </row>
    <row r="9" spans="3:13">
      <c r="C9" s="297" t="s">
        <v>177</v>
      </c>
      <c r="D9" s="517" t="str">
        <f>QUOTATION!I10</f>
        <v>Silver</v>
      </c>
      <c r="E9" s="517"/>
      <c r="F9" s="520"/>
      <c r="G9" s="522"/>
    </row>
    <row r="10" spans="3:13">
      <c r="C10" s="297" t="s">
        <v>179</v>
      </c>
      <c r="D10" s="517" t="str">
        <f>QUOTATION!I8</f>
        <v>1.2Kpa</v>
      </c>
      <c r="E10" s="517"/>
      <c r="F10" s="520"/>
      <c r="G10" s="522"/>
    </row>
    <row r="11" spans="3:13">
      <c r="C11" s="297" t="s">
        <v>241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243</v>
      </c>
      <c r="D12" s="519">
        <f>QUOTATION!M7</f>
        <v>43731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12025.25</v>
      </c>
      <c r="F14" s="205"/>
      <c r="G14" s="206">
        <f>E14</f>
        <v>12025.25</v>
      </c>
    </row>
    <row r="15" spans="3:13">
      <c r="C15" s="194" t="s">
        <v>234</v>
      </c>
      <c r="D15" s="296">
        <f>'Changable Values'!D4</f>
        <v>83</v>
      </c>
      <c r="E15" s="199">
        <f>E14*D15</f>
        <v>998095.75</v>
      </c>
      <c r="F15" s="205"/>
      <c r="G15" s="207">
        <f>E15</f>
        <v>998095.75</v>
      </c>
    </row>
    <row r="16" spans="3:13">
      <c r="C16" s="195" t="s">
        <v>97</v>
      </c>
      <c r="D16" s="200">
        <f>'Changable Values'!D5</f>
        <v>0.1</v>
      </c>
      <c r="E16" s="199">
        <f>E15*D16</f>
        <v>99809.575000000012</v>
      </c>
      <c r="F16" s="208">
        <f>'Changable Values'!D5</f>
        <v>0.1</v>
      </c>
      <c r="G16" s="207">
        <f>G15*F16</f>
        <v>99809.575000000012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120769.58575</v>
      </c>
      <c r="F17" s="208">
        <f>'Changable Values'!D6</f>
        <v>0.11</v>
      </c>
      <c r="G17" s="207">
        <f>SUM(G15:G16)*F17</f>
        <v>120769.58575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6093.3745537499999</v>
      </c>
      <c r="F18" s="208">
        <f>'Changable Values'!D7</f>
        <v>5.0000000000000001E-3</v>
      </c>
      <c r="G18" s="207">
        <f>SUM(G15:G17)*F18</f>
        <v>6093.3745537499999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12247.682853037501</v>
      </c>
      <c r="F19" s="208">
        <f>'Changable Values'!D8</f>
        <v>0.01</v>
      </c>
      <c r="G19" s="207">
        <f>SUM(G15:G18)*F19</f>
        <v>12247.682853037501</v>
      </c>
    </row>
    <row r="20" spans="3:7">
      <c r="C20" s="195" t="s">
        <v>99</v>
      </c>
      <c r="D20" s="201"/>
      <c r="E20" s="199">
        <f>SUM(E15:E19)</f>
        <v>1237015.9681567876</v>
      </c>
      <c r="F20" s="208"/>
      <c r="G20" s="207">
        <f>SUM(G15:G19)</f>
        <v>1237015.9681567876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18555.239522351814</v>
      </c>
      <c r="F21" s="208">
        <f>'Changable Values'!D9</f>
        <v>1.4999999999999999E-2</v>
      </c>
      <c r="G21" s="207">
        <f>G20*F21</f>
        <v>18555.239522351814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279633.15000000002</v>
      </c>
      <c r="F23" s="209"/>
      <c r="G23" s="207">
        <f t="shared" si="0"/>
        <v>279633.15000000002</v>
      </c>
    </row>
    <row r="24" spans="3:7">
      <c r="C24" s="195" t="s">
        <v>229</v>
      </c>
      <c r="D24" s="198"/>
      <c r="E24" s="199">
        <f>'Cost Calculation'!AH111</f>
        <v>136462.5</v>
      </c>
      <c r="F24" s="209"/>
      <c r="G24" s="207">
        <f t="shared" si="0"/>
        <v>136462.5</v>
      </c>
    </row>
    <row r="25" spans="3:7">
      <c r="C25" s="196" t="s">
        <v>237</v>
      </c>
      <c r="D25" s="198"/>
      <c r="E25" s="199">
        <f>'Cost Calculation'!AJ109</f>
        <v>71494.326539999995</v>
      </c>
      <c r="F25" s="209"/>
      <c r="G25" s="207">
        <f t="shared" si="0"/>
        <v>71494.326539999995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300396.32999999996</v>
      </c>
      <c r="F27" s="209"/>
      <c r="G27" s="207">
        <f t="shared" si="0"/>
        <v>300396.32999999996</v>
      </c>
    </row>
    <row r="28" spans="3:7">
      <c r="C28" s="195" t="s">
        <v>88</v>
      </c>
      <c r="D28" s="198"/>
      <c r="E28" s="199">
        <f>'Cost Calculation'!AN109</f>
        <v>300396.32999999996</v>
      </c>
      <c r="F28" s="209"/>
      <c r="G28" s="207">
        <f t="shared" si="0"/>
        <v>300396.32999999996</v>
      </c>
    </row>
    <row r="29" spans="3:7">
      <c r="C29" s="293" t="s">
        <v>378</v>
      </c>
      <c r="D29" s="294"/>
      <c r="E29" s="295">
        <f>SUM(E20:E28)</f>
        <v>2343953.8442191393</v>
      </c>
      <c r="F29" s="209"/>
      <c r="G29" s="207">
        <f>SUM(G20:G21,G24)</f>
        <v>1392033.7076791395</v>
      </c>
    </row>
    <row r="30" spans="3:7">
      <c r="C30" s="293" t="s">
        <v>379</v>
      </c>
      <c r="D30" s="294"/>
      <c r="E30" s="295">
        <f>E29/E33</f>
        <v>780.28711077100684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1740042.1345989243</v>
      </c>
      <c r="F31" s="214">
        <f>'Changable Values'!D23</f>
        <v>1.25</v>
      </c>
      <c r="G31" s="207">
        <f>G29*F31</f>
        <v>1740042.1345989243</v>
      </c>
    </row>
    <row r="32" spans="3:7">
      <c r="C32" s="290" t="s">
        <v>5</v>
      </c>
      <c r="D32" s="291"/>
      <c r="E32" s="292">
        <f>E31+E29</f>
        <v>4083995.9788180636</v>
      </c>
      <c r="F32" s="205"/>
      <c r="G32" s="207">
        <f>SUM(G25:G31,G22:G23)</f>
        <v>4083995.9788180636</v>
      </c>
    </row>
    <row r="33" spans="3:7">
      <c r="C33" s="300" t="s">
        <v>230</v>
      </c>
      <c r="D33" s="301"/>
      <c r="E33" s="308">
        <f>'Cost Calculation'!K109</f>
        <v>3003.9632999999999</v>
      </c>
      <c r="F33" s="210"/>
      <c r="G33" s="211">
        <f>E33</f>
        <v>3003.9632999999999</v>
      </c>
    </row>
    <row r="34" spans="3:7">
      <c r="C34" s="302" t="s">
        <v>9</v>
      </c>
      <c r="D34" s="303"/>
      <c r="E34" s="304">
        <f>QUOTATION!L116</f>
        <v>125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1359.5359100485894</v>
      </c>
      <c r="F35" s="212"/>
      <c r="G35" s="213">
        <f>G32/(G33)</f>
        <v>1359.5359100485894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2019-09-23T12:13:29Z</cp:lastPrinted>
  <dcterms:created xsi:type="dcterms:W3CDTF">2010-12-18T06:34:46Z</dcterms:created>
  <dcterms:modified xsi:type="dcterms:W3CDTF">2019-09-30T07:31:52Z</dcterms:modified>
</cp:coreProperties>
</file>