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Drawings!$C$2:$O$84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5" i="158" l="1"/>
  <c r="Q6" i="158"/>
  <c r="Q7" i="158"/>
  <c r="Q8" i="158"/>
  <c r="Q4" i="158"/>
  <c r="K13" i="161"/>
  <c r="K12" i="161"/>
  <c r="K11" i="161"/>
  <c r="K10" i="161"/>
  <c r="K9" i="161"/>
  <c r="N6" i="166" l="1"/>
  <c r="A8" i="169" l="1"/>
  <c r="U3" i="169" l="1"/>
  <c r="U4" i="169"/>
  <c r="U5" i="169"/>
  <c r="U6" i="169"/>
  <c r="U7" i="169"/>
  <c r="U8" i="169"/>
  <c r="U2" i="169"/>
  <c r="T3" i="169"/>
  <c r="T4" i="169"/>
  <c r="T5" i="169"/>
  <c r="T6" i="169"/>
  <c r="T7" i="169"/>
  <c r="T8" i="169"/>
  <c r="T2" i="169"/>
  <c r="S2" i="169"/>
  <c r="S3" i="169"/>
  <c r="S4" i="169"/>
  <c r="S5" i="169"/>
  <c r="S6" i="169"/>
  <c r="S7" i="169"/>
  <c r="S8" i="169"/>
  <c r="R2" i="169"/>
  <c r="R3" i="169"/>
  <c r="R4" i="169"/>
  <c r="R5" i="169"/>
  <c r="R6" i="169"/>
  <c r="R7" i="169"/>
  <c r="R8" i="169"/>
  <c r="Q3" i="169"/>
  <c r="Q4" i="169"/>
  <c r="Q5" i="169"/>
  <c r="Q6" i="169"/>
  <c r="Q7" i="169"/>
  <c r="Q8" i="169"/>
  <c r="Q2" i="169"/>
  <c r="P3" i="169"/>
  <c r="P4" i="169"/>
  <c r="P5" i="169"/>
  <c r="P6" i="169"/>
  <c r="P7" i="169"/>
  <c r="P8" i="169"/>
  <c r="P2" i="169"/>
  <c r="O2" i="169"/>
  <c r="O3" i="169"/>
  <c r="O4" i="169"/>
  <c r="O5" i="169"/>
  <c r="O6" i="169"/>
  <c r="O7" i="169"/>
  <c r="O8" i="169"/>
  <c r="N3" i="169"/>
  <c r="N4" i="169"/>
  <c r="N5" i="169"/>
  <c r="N6" i="169"/>
  <c r="N7" i="169"/>
  <c r="N8" i="169"/>
  <c r="M3" i="169"/>
  <c r="M4" i="169"/>
  <c r="M5" i="169"/>
  <c r="M6" i="169"/>
  <c r="M7" i="169"/>
  <c r="M8" i="169"/>
  <c r="M2" i="169"/>
  <c r="L3" i="169"/>
  <c r="L4" i="169"/>
  <c r="L5" i="169"/>
  <c r="L6" i="169"/>
  <c r="L7" i="169"/>
  <c r="L8" i="169"/>
  <c r="L2" i="169"/>
  <c r="K2" i="169"/>
  <c r="K3" i="169"/>
  <c r="K4" i="169"/>
  <c r="K5" i="169"/>
  <c r="K6" i="169"/>
  <c r="K7" i="169"/>
  <c r="K8" i="169"/>
  <c r="J3" i="169"/>
  <c r="J4" i="169"/>
  <c r="J5" i="169"/>
  <c r="J6" i="169"/>
  <c r="J7" i="169"/>
  <c r="J8" i="169"/>
  <c r="J2" i="169"/>
  <c r="I3" i="169"/>
  <c r="I4" i="169"/>
  <c r="I5" i="169"/>
  <c r="I6" i="169"/>
  <c r="I7" i="169"/>
  <c r="I8" i="169"/>
  <c r="I2" i="169"/>
  <c r="F3" i="169"/>
  <c r="F4" i="169"/>
  <c r="F5" i="169"/>
  <c r="F6" i="169"/>
  <c r="F7" i="169"/>
  <c r="F8" i="169"/>
  <c r="F2" i="169"/>
  <c r="E3" i="169"/>
  <c r="E4" i="169"/>
  <c r="E5" i="169"/>
  <c r="E6" i="169"/>
  <c r="E7" i="169"/>
  <c r="E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4" i="159" l="1"/>
  <c r="AH13" i="159"/>
  <c r="AH12" i="159"/>
  <c r="AH11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<sst xmlns="http://schemas.openxmlformats.org/spreadsheetml/2006/main" count="1961" uniqueCount="453">
  <si>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</si>
  <si>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</si>
  <si>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</si>
  <si>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</si>
  <si>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</si>
  <si>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</si>
  <si>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</si>
  <si>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</si>
  <si>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</si>
  <si>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</si>
  <si>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</si>
  <si>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</si>
  <si>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</si>
  <si>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</si>
  <si>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</si>
  <si>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</si>
  <si>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</si>
  <si>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</si>
  <si>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</si>
  <si>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</si>
  <si>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</si>
  <si>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</si>
  <si>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</si>
  <si>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</si>
  <si>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</si>
  <si>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</si>
  <si>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</si>
  <si>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</si>
  <si>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</si>
  <si>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</si>
  <si>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</si>
  <si>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</si>
  <si>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</si>
  <si>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</si>
  <si>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</si>
  <si>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</si>
  <si>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</si>
  <si>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</si>
  <si>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</si>
  <si>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</si>
  <si>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</si>
  <si>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</si>
  <si>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</si>
  <si>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</si>
  <si>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</si>
  <si>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</si>
  <si>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</si>
  <si>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</si>
  <si>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</si>
  <si>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</si>
  <si>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</si>
  <si>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</si>
  <si>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</si>
  <si>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</si>
  <si>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</si>
  <si>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</si>
  <si>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</si>
  <si>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</si>
  <si>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</si>
  <si>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</si>
  <si>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</si>
  <si>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</si>
  <si>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</si>
  <si>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</si>
  <si>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</si>
  <si>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</si>
  <si>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</si>
  <si>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</si>
  <si>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</si>
  <si>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</si>
  <si>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</si>
  <si>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</si>
  <si>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</si>
  <si>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</si>
  <si>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</si>
  <si>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</si>
  <si>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</si>
  <si>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</si>
  <si>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</si>
  <si>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</si>
  <si>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</si>
  <si>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</si>
  <si>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</si>
  <si>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</si>
  <si>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</si>
  <si>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</si>
  <si>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</si>
  <si>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</si>
  <si>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</si>
  <si>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</si>
  <si>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</si>
  <si>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</si>
  <si>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</si>
  <si>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</si>
  <si>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</si>
  <si>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</si>
  <si>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</si>
  <si>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</si>
  <si>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</si>
  <si>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</si>
  <si>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</si>
  <si>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</si>
  <si>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</si>
  <si>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</si>
  <si>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</si>
  <si>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</si>
  <si>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</si>
  <si>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</si>
  <si>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</si>
  <si>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</si>
  <si>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</si>
  <si>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</si>
  <si>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</si>
  <si>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</si>
  <si>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</si>
  <si>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</si>
  <si>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</si>
  <si>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</si>
  <si>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</si>
  <si>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</si>
  <si>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</si>
  <si>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</si>
  <si>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</si>
  <si>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</si>
  <si>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</si>
  <si>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</si>
  <si>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</si>
  <si>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</si>
  <si>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</si>
  <si>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</si>
  <si>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</si>
  <si>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</si>
  <si>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</si>
  <si>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</si>
  <si>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</si>
  <si>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</si>
  <si>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</si>
  <si>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</si>
  <si>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</si>
  <si>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</si>
  <si>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</si>
  <si>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</si>
  <si>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</si>
  <si>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</si>
  <si>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</si>
  <si>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</si>
  <si>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</si>
  <si>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</si>
  <si>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</si>
  <si>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</si>
  <si>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</si>
  <si>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</si>
  <si>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</si>
  <si>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</si>
  <si>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</si>
  <si>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</si>
  <si>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</si>
  <si>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</si>
  <si>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</si>
  <si>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</si>
  <si>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</si>
  <si>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</si>
  <si>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</si>
  <si>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</si>
  <si>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</si>
  <si>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</si>
  <si>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</si>
  <si>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</si>
  <si>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</si>
  <si>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</si>
  <si>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</si>
  <si>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</si>
  <si>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</si>
  <si>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</si>
  <si>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</si>
  <si>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</si>
  <si>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</si>
  <si>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</si>
  <si>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</si>
  <si>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</si>
  <si>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</si>
  <si>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</si>
  <si>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</si>
  <si>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</si>
  <si>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</si>
  <si>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</si>
  <si>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</si>
  <si>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</si>
  <si>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</si>
  <si>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</si>
  <si>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</si>
  <si>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</si>
  <si>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</si>
  <si>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</si>
  <si>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</si>
  <si>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</si>
  <si>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</si>
  <si>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</si>
  <si>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</si>
  <si>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</si>
  <si>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</si>
  <si>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</si>
  <si>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</si>
  <si>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</si>
  <si>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</si>
  <si>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</si>
  <si>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</si>
  <si>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</si>
  <si>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</si>
  <si>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</si>
  <si>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</si>
  <si>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</si>
  <si>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</si>
  <si>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</si>
  <si>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</si>
  <si>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</si>
  <si>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</si>
  <si>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</si>
  <si>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</si>
  <si>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</si>
  <si>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</si>
  <si>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</si>
  <si>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</si>
  <si>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</si>
  <si>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</si>
  <si>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</si>
  <si>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</si>
  <si>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</si>
  <si>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</si>
  <si>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</si>
  <si>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</si>
  <si>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</si>
  <si>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</si>
  <si>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</si>
  <si>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</si>
  <si>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</si>
  <si>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</si>
  <si>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</si>
  <si>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</si>
  <si>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</si>
  <si>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</si>
  <si>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</si>
  <si>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</si>
  <si>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</si>
  <si>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</si>
  <si>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</si>
  <si>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</si>
  <si>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</si>
  <si>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</si>
  <si>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</si>
  <si>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</si>
  <si>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</si>
  <si>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</si>
  <si>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</si>
  <si>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</si>
  <si>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</si>
  <si>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</si>
  <si>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</si>
  <si>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</si>
  <si>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</si>
  <si>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</si>
  <si>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</si>
  <si>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</si>
  <si>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</si>
  <si>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</si>
  <si>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</si>
  <si>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</si>
  <si>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</si>
  <si>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</si>
  <si>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</si>
  <si>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</si>
  <si>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</si>
  <si>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</si>
  <si>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</si>
  <si>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</si>
  <si>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</si>
  <si>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</si>
  <si>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</si>
  <si>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</si>
  <si>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</si>
  <si>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</si>
  <si>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</si>
  <si>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</si>
  <si>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</si>
  <si>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</si>
  <si>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</si>
  <si>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</si>
  <si>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</si>
  <si>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</si>
  <si>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</si>
  <si>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</si>
  <si>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</si>
  <si>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</si>
  <si>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</si>
  <si>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</si>
  <si>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</si>
  <si>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</si>
  <si>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</si>
  <si>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</si>
  <si>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</si>
  <si>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</si>
  <si>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</si>
  <si>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</si>
  <si>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</si>
  <si>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</si>
  <si>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</si>
  <si>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</si>
  <si>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</si>
  <si>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</si>
  <si>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</si>
  <si>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</si>
  <si>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</si>
  <si>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</si>
  <si>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</si>
  <si>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</si>
  <si>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</si>
  <si>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</si>
  <si>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</si>
  <si>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</si>
  <si>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</si>
  <si>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</si>
  <si>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</si>
  <si>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</si>
  <si>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</si>
  <si>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</si>
  <si>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</si>
  <si>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</si>
  <si>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</si>
  <si>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</si>
  <si>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</si>
  <si>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</si>
  <si>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</si>
  <si>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</si>
  <si>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</si>
  <si>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</si>
  <si>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</si>
  <si>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</si>
  <si>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</si>
  <si>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</si>
  <si>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</si>
  <si>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</si>
  <si>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</si>
  <si>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</si>
  <si>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</si>
  <si>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</si>
  <si>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</si>
  <si>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</si>
  <si>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</si>
  <si>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</si>
  <si>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</si>
  <si>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</si>
  <si>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</si>
  <si>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</si>
  <si>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</si>
  <si>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</si>
  <si>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</si>
  <si>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</si>
  <si>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</si>
  <si>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</si>
  <si>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</si>
  <si>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</si>
  <si>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</si>
  <si>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</si>
  <si>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</si>
  <si>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</si>
  <si>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</si>
  <si>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</si>
  <si>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</si>
  <si>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</si>
  <si>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</si>
  <si>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</si>
  <si>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</si>
  <si>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</si>
  <si>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</si>
  <si>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</si>
  <si>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</si>
  <si>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</si>
  <si>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</si>
  <si>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</si>
  <si>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</si>
  <si>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</si>
  <si>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</si>
  <si>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</si>
  <si>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</si>
  <si>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</si>
  <si>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</si>
  <si>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</si>
  <si>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</si>
  <si>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</si>
  <si>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</si>
  <si>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</si>
  <si>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</si>
  <si>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</si>
  <si>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</si>
  <si>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</si>
  <si>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</si>
  <si>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</si>
  <si>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</si>
  <si>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</si>
  <si>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</si>
  <si>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</si>
  <si>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</si>
  <si>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</si>
  <si>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</si>
  <si>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</si>
  <si>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</si>
  <si>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</si>
  <si>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</si>
  <si>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</si>
  <si>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</si>
  <si>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</si>
  <si>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</si>
  <si>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</si>
  <si>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</si>
  <si>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</si>
  <si>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</si>
  <si>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</si>
  <si>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</si>
  <si>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</si>
  <si>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</si>
  <si>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</si>
  <si>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</si>
  <si>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Hyderabad</t>
  </si>
  <si>
    <t>Powder coating</t>
  </si>
  <si>
    <t>Mr. P. Sathish Indu</t>
  </si>
  <si>
    <t>1.2Kpa</t>
  </si>
  <si>
    <t>ABPL-DE-19.20-2204</t>
  </si>
  <si>
    <t>W1</t>
  </si>
  <si>
    <t>M900 &amp; M940</t>
  </si>
  <si>
    <t>3 TRACK 2 SHUTTER SLIDING WINDOW WITH BOTTOM FIXED</t>
  </si>
  <si>
    <t>6MM</t>
  </si>
  <si>
    <t>SS</t>
  </si>
  <si>
    <t>GF - ENTRANCE FOYER</t>
  </si>
  <si>
    <t>M900</t>
  </si>
  <si>
    <t>3 TRACK 2 SHUTTER SLIDING WINDOW</t>
  </si>
  <si>
    <t>GF - MBR, 1F - KBR &amp; HOME THEATER</t>
  </si>
  <si>
    <t>W2</t>
  </si>
  <si>
    <t>2F - MBR</t>
  </si>
  <si>
    <t>W3</t>
  </si>
  <si>
    <t>1F - BR</t>
  </si>
  <si>
    <t>W4</t>
  </si>
  <si>
    <t>GF - DGR &amp; 1F - STAIR</t>
  </si>
  <si>
    <t>V1</t>
  </si>
  <si>
    <t>M940</t>
  </si>
  <si>
    <t>FIXED GLASS</t>
  </si>
  <si>
    <t>6MM (F)</t>
  </si>
  <si>
    <t>NO</t>
  </si>
  <si>
    <t>TOILET</t>
  </si>
  <si>
    <t>FG1</t>
  </si>
  <si>
    <t>FIXED GLASS 3 NO'S</t>
  </si>
  <si>
    <t>GROUND FLOOR</t>
  </si>
  <si>
    <t>6mm :- 6mm Clear Toughened Glass</t>
  </si>
  <si>
    <t>6mm (F) :- 6mm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</si>
</sst>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91108</xdr:colOff>
      <xdr:row>8</xdr:row>
      <xdr:rowOff>74543</xdr:rowOff>
    </xdr:from>
    <xdr:to>
      <xdr:col>9</xdr:col>
      <xdr:colOff>223630</xdr:colOff>
      <xdr:row>16</xdr:row>
      <xdr:rowOff>240466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369" y="1548847"/>
          <a:ext cx="4050196" cy="268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521803</xdr:colOff>
      <xdr:row>19</xdr:row>
      <xdr:rowOff>91108</xdr:rowOff>
    </xdr:from>
    <xdr:to>
      <xdr:col>6</xdr:col>
      <xdr:colOff>356152</xdr:colOff>
      <xdr:row>27</xdr:row>
      <xdr:rowOff>94051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4" y="4878456"/>
          <a:ext cx="2509631" cy="2520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621195</xdr:colOff>
      <xdr:row>30</xdr:row>
      <xdr:rowOff>157370</xdr:rowOff>
    </xdr:from>
    <xdr:to>
      <xdr:col>5</xdr:col>
      <xdr:colOff>1971261</xdr:colOff>
      <xdr:row>38</xdr:row>
      <xdr:rowOff>33115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6" y="8257761"/>
          <a:ext cx="2045805" cy="23936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579783</xdr:colOff>
      <xdr:row>41</xdr:row>
      <xdr:rowOff>115956</xdr:rowOff>
    </xdr:from>
    <xdr:to>
      <xdr:col>6</xdr:col>
      <xdr:colOff>35269</xdr:colOff>
      <xdr:row>49</xdr:row>
      <xdr:rowOff>91108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4" y="11529391"/>
          <a:ext cx="2130768" cy="2493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</xdr:colOff>
      <xdr:row>52</xdr:row>
      <xdr:rowOff>165652</xdr:rowOff>
    </xdr:from>
    <xdr:to>
      <xdr:col>5</xdr:col>
      <xdr:colOff>1416326</xdr:colOff>
      <xdr:row>60</xdr:row>
      <xdr:rowOff>117204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847" y="14892130"/>
          <a:ext cx="1391479" cy="2469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140804</xdr:colOff>
      <xdr:row>64</xdr:row>
      <xdr:rowOff>82825</xdr:rowOff>
    </xdr:from>
    <xdr:to>
      <xdr:col>5</xdr:col>
      <xdr:colOff>1573696</xdr:colOff>
      <xdr:row>70</xdr:row>
      <xdr:rowOff>166563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8804" y="18437086"/>
          <a:ext cx="1432892" cy="1972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579782</xdr:colOff>
      <xdr:row>74</xdr:row>
      <xdr:rowOff>99391</xdr:rowOff>
    </xdr:from>
    <xdr:to>
      <xdr:col>8</xdr:col>
      <xdr:colOff>165652</xdr:colOff>
      <xdr:row>82</xdr:row>
      <xdr:rowOff>154428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978" y="21451956"/>
          <a:ext cx="3503544" cy="257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76" zoomScale="115" zoomScaleNormal="100" zoomScaleSheetLayoutView="115" workbookViewId="0">
      <selection activeCell="C84" sqref="C2:O84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ABPL-DE-19.20-2204</v>
      </c>
      <c r="O2" s="540"/>
      <c r="P2" s="219" t="s">
        <v>256</v>
      </c>
    </row>
    <row r="3" spans="2:16">
      <c r="B3" s="218"/>
      <c r="C3" s="538" t="s">
        <v>126</v>
      </c>
      <c r="D3" s="538"/>
      <c r="E3" s="538"/>
      <c r="F3" s="540" t="str">
        <f>QUOTATION!F7</f>
        <v>Mr. P. Sathish Indu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43732</v>
      </c>
      <c r="O3" s="546"/>
      <c r="P3" s="219" t="s">
        <v>255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1" t="s">
        <v>179</v>
      </c>
      <c r="J4" s="541"/>
      <c r="K4" s="540" t="str">
        <f>QUOTATION!I8</f>
        <v>1.2Kpa</v>
      </c>
      <c r="L4" s="540"/>
      <c r="M4" s="284" t="s">
        <v>105</v>
      </c>
      <c r="N4" s="286" t="str">
        <f>QUOTATION!M8</f>
        <v>R0</v>
      </c>
      <c r="O4" s="287">
        <f>QUOTATION!N8</f>
        <v>43732</v>
      </c>
    </row>
    <row r="5" spans="2:16">
      <c r="B5" s="218"/>
      <c r="C5" s="538" t="s">
        <v>168</v>
      </c>
      <c r="D5" s="538"/>
      <c r="E5" s="538"/>
      <c r="F5" s="540" t="str">
        <f>QUOTATION!F9</f>
        <v>Ms. Prathyusha : 8008103067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Bal Kumari</v>
      </c>
      <c r="O5" s="540"/>
    </row>
    <row r="6" spans="2:16">
      <c r="B6" s="218"/>
      <c r="C6" s="538" t="s">
        <v>176</v>
      </c>
      <c r="D6" s="538"/>
      <c r="E6" s="538"/>
      <c r="F6" s="285" t="str">
        <f>QUOTATION!F10</f>
        <v>Powder coating</v>
      </c>
      <c r="G6" s="538"/>
      <c r="H6" s="538"/>
      <c r="I6" s="541" t="s">
        <v>177</v>
      </c>
      <c r="J6" s="541"/>
      <c r="K6" s="540" t="str">
        <f>QUOTATION!I10</f>
        <v>Black</v>
      </c>
      <c r="L6" s="540"/>
      <c r="M6" s="320" t="s">
        <v>373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253</v>
      </c>
      <c r="D8" s="538"/>
      <c r="E8" s="286" t="str">
        <f>'BD Team'!B9</f>
        <v>W</v>
      </c>
      <c r="F8" s="288" t="s">
        <v>254</v>
      </c>
      <c r="G8" s="540" t="str">
        <f>'BD Team'!D9</f>
        <v>3 TRACK 2 SHUTTER SLIDING WINDOW WITH BOTTOM FIXED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GF - ENTRANCE FOYER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246</v>
      </c>
      <c r="M10" s="538"/>
      <c r="N10" s="540" t="str">
        <f>$F$6</f>
        <v>Powder coating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177</v>
      </c>
      <c r="M11" s="538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247</v>
      </c>
      <c r="M12" s="538"/>
      <c r="N12" s="549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248</v>
      </c>
      <c r="M13" s="538"/>
      <c r="N13" s="540" t="str">
        <f>CONCATENATE('BD Team'!H9," X ",'BD Team'!I9)</f>
        <v>1830 X 2032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249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250</v>
      </c>
      <c r="M15" s="538"/>
      <c r="N15" s="540" t="str">
        <f>'BD Team'!C9</f>
        <v>M900 &amp; M940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251</v>
      </c>
      <c r="M16" s="538"/>
      <c r="N16" s="540" t="str">
        <f>'BD Team'!E9</f>
        <v>6MM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252</v>
      </c>
      <c r="M17" s="538"/>
      <c r="N17" s="540" t="str">
        <f>'BD Team'!F9</f>
        <v>SS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253</v>
      </c>
      <c r="D19" s="538"/>
      <c r="E19" s="286" t="str">
        <f>'BD Team'!B10</f>
        <v>W1</v>
      </c>
      <c r="F19" s="288" t="s">
        <v>254</v>
      </c>
      <c r="G19" s="540" t="str">
        <f>'BD Team'!D10</f>
        <v>3 TRACK 2 SHUTTER SLIDING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GF - MBR, 1F - KBR &amp; HOME THEATER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246</v>
      </c>
      <c r="M21" s="538"/>
      <c r="N21" s="540" t="str">
        <f>$F$6</f>
        <v>Powder coating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177</v>
      </c>
      <c r="M22" s="538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247</v>
      </c>
      <c r="M23" s="538"/>
      <c r="N23" s="543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248</v>
      </c>
      <c r="M24" s="538"/>
      <c r="N24" s="540" t="str">
        <f>CONCATENATE('BD Team'!H10," X ",'BD Team'!I10)</f>
        <v>1830 X 1372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249</v>
      </c>
      <c r="M25" s="538"/>
      <c r="N25" s="539">
        <f>'BD Team'!J10</f>
        <v>3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250</v>
      </c>
      <c r="M26" s="538"/>
      <c r="N26" s="540" t="str">
        <f>'BD Team'!C10</f>
        <v>M900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251</v>
      </c>
      <c r="M27" s="538"/>
      <c r="N27" s="540" t="str">
        <f>'BD Team'!E10</f>
        <v>6MM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252</v>
      </c>
      <c r="M28" s="538"/>
      <c r="N28" s="540" t="str">
        <f>'BD Team'!F10</f>
        <v>SS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253</v>
      </c>
      <c r="D30" s="538"/>
      <c r="E30" s="286" t="str">
        <f>'BD Team'!B11</f>
        <v>W2</v>
      </c>
      <c r="F30" s="288" t="s">
        <v>254</v>
      </c>
      <c r="G30" s="540" t="str">
        <f>'BD Team'!D11</f>
        <v>3 TRACK 2 SHUTTER SLIDING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2F - MBR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246</v>
      </c>
      <c r="M32" s="538"/>
      <c r="N32" s="540" t="str">
        <f>$F$6</f>
        <v>Powder coating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177</v>
      </c>
      <c r="M33" s="538"/>
      <c r="N33" s="540" t="str">
        <f>$K$6</f>
        <v>Black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247</v>
      </c>
      <c r="M34" s="538"/>
      <c r="N34" s="543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248</v>
      </c>
      <c r="M35" s="538"/>
      <c r="N35" s="540" t="str">
        <f>CONCATENATE('BD Team'!H11," X ",'BD Team'!I11)</f>
        <v>1524 X 1372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249</v>
      </c>
      <c r="M36" s="538"/>
      <c r="N36" s="539">
        <f>'BD Team'!J11</f>
        <v>2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250</v>
      </c>
      <c r="M37" s="538"/>
      <c r="N37" s="540" t="str">
        <f>'BD Team'!C11</f>
        <v>M900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251</v>
      </c>
      <c r="M38" s="538"/>
      <c r="N38" s="540" t="str">
        <f>'BD Team'!E11</f>
        <v>6MM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252</v>
      </c>
      <c r="M39" s="538"/>
      <c r="N39" s="540" t="str">
        <f>'BD Team'!F11</f>
        <v>SS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253</v>
      </c>
      <c r="D41" s="538"/>
      <c r="E41" s="286" t="str">
        <f>'BD Team'!B12</f>
        <v>W3</v>
      </c>
      <c r="F41" s="288" t="s">
        <v>254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1F - BR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246</v>
      </c>
      <c r="M43" s="538"/>
      <c r="N43" s="540" t="str">
        <f>$F$6</f>
        <v>Powder coating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177</v>
      </c>
      <c r="M44" s="538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247</v>
      </c>
      <c r="M45" s="538"/>
      <c r="N45" s="543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248</v>
      </c>
      <c r="M46" s="538"/>
      <c r="N46" s="540" t="str">
        <f>CONCATENATE('BD Team'!H12," X ",'BD Team'!I12)</f>
        <v>1524 X 1372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249</v>
      </c>
      <c r="M47" s="538"/>
      <c r="N47" s="539">
        <f>'BD Team'!J12</f>
        <v>1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250</v>
      </c>
      <c r="M48" s="538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251</v>
      </c>
      <c r="M49" s="538"/>
      <c r="N49" s="540" t="str">
        <f>'BD Team'!E12</f>
        <v>6MM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252</v>
      </c>
      <c r="M50" s="538"/>
      <c r="N50" s="540" t="str">
        <f>'BD Team'!F12</f>
        <v>SS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253</v>
      </c>
      <c r="D52" s="538"/>
      <c r="E52" s="286" t="str">
        <f>'BD Team'!B13</f>
        <v>W4</v>
      </c>
      <c r="F52" s="288" t="s">
        <v>254</v>
      </c>
      <c r="G52" s="540" t="str">
        <f>'BD Team'!D13</f>
        <v>3 TRACK 2 SHUTTER SLIDING WINDOW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 t="str">
        <f>'BD Team'!G13</f>
        <v>GF - DGR &amp; 1F - STAIR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246</v>
      </c>
      <c r="M54" s="538"/>
      <c r="N54" s="540" t="str">
        <f>$F$6</f>
        <v>Powder coating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177</v>
      </c>
      <c r="M55" s="538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247</v>
      </c>
      <c r="M56" s="538"/>
      <c r="N56" s="543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248</v>
      </c>
      <c r="M57" s="538"/>
      <c r="N57" s="540" t="str">
        <f>CONCATENATE('BD Team'!H13," X ",'BD Team'!I13)</f>
        <v>916 X 1372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249</v>
      </c>
      <c r="M58" s="538"/>
      <c r="N58" s="539">
        <f>'BD Team'!J13</f>
        <v>2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250</v>
      </c>
      <c r="M59" s="538"/>
      <c r="N59" s="540" t="str">
        <f>'BD Team'!C13</f>
        <v>M900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251</v>
      </c>
      <c r="M60" s="538"/>
      <c r="N60" s="540" t="str">
        <f>'BD Team'!E13</f>
        <v>6MM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252</v>
      </c>
      <c r="M61" s="538"/>
      <c r="N61" s="540" t="str">
        <f>'BD Team'!F13</f>
        <v>SS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253</v>
      </c>
      <c r="D63" s="538"/>
      <c r="E63" s="286" t="str">
        <f>'BD Team'!B14</f>
        <v>V1</v>
      </c>
      <c r="F63" s="288" t="s">
        <v>254</v>
      </c>
      <c r="G63" s="540" t="str">
        <f>'BD Team'!D14</f>
        <v>FIXED GLASS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 t="str">
        <f>'BD Team'!G14</f>
        <v>TOILET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246</v>
      </c>
      <c r="M65" s="538"/>
      <c r="N65" s="540" t="str">
        <f>$F$6</f>
        <v>Powder coating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177</v>
      </c>
      <c r="M66" s="538"/>
      <c r="N66" s="540" t="str">
        <f>$K$6</f>
        <v>Black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247</v>
      </c>
      <c r="M67" s="538"/>
      <c r="N67" s="543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248</v>
      </c>
      <c r="M68" s="538"/>
      <c r="N68" s="540" t="str">
        <f>CONCATENATE('BD Team'!H14," X ",'BD Team'!I14)</f>
        <v>610 X 916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249</v>
      </c>
      <c r="M69" s="538"/>
      <c r="N69" s="539">
        <f>'BD Team'!J14</f>
        <v>1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250</v>
      </c>
      <c r="M70" s="538"/>
      <c r="N70" s="540" t="str">
        <f>'BD Team'!C14</f>
        <v>M940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251</v>
      </c>
      <c r="M71" s="538"/>
      <c r="N71" s="540" t="str">
        <f>'BD Team'!E14</f>
        <v>6MM (F)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252</v>
      </c>
      <c r="M72" s="538"/>
      <c r="N72" s="540" t="str">
        <f>'BD Team'!F14</f>
        <v>NO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253</v>
      </c>
      <c r="D74" s="538"/>
      <c r="E74" s="286" t="str">
        <f>'BD Team'!B15</f>
        <v>FG1</v>
      </c>
      <c r="F74" s="288" t="s">
        <v>254</v>
      </c>
      <c r="G74" s="540" t="str">
        <f>'BD Team'!D15</f>
        <v>FIXED GLASS 3 NO'S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 t="str">
        <f>'BD Team'!G15</f>
        <v>GROUND FLOOR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246</v>
      </c>
      <c r="M76" s="538"/>
      <c r="N76" s="540" t="str">
        <f>$F$6</f>
        <v>Powder coating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177</v>
      </c>
      <c r="M77" s="538"/>
      <c r="N77" s="540" t="str">
        <f>$K$6</f>
        <v>Black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247</v>
      </c>
      <c r="M78" s="538"/>
      <c r="N78" s="543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248</v>
      </c>
      <c r="M79" s="538"/>
      <c r="N79" s="540" t="str">
        <f>CONCATENATE('BD Team'!H15," X ",'BD Team'!I15)</f>
        <v>3048 X 2032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249</v>
      </c>
      <c r="M80" s="538"/>
      <c r="N80" s="539">
        <f>'BD Team'!J15</f>
        <v>1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250</v>
      </c>
      <c r="M81" s="538"/>
      <c r="N81" s="540" t="str">
        <f>'BD Team'!C15</f>
        <v>M940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251</v>
      </c>
      <c r="M82" s="538"/>
      <c r="N82" s="540" t="str">
        <f>'BD Team'!E15</f>
        <v>6MM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252</v>
      </c>
      <c r="M83" s="538"/>
      <c r="N83" s="540" t="str">
        <f>'BD Team'!F15</f>
        <v>NO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253</v>
      </c>
      <c r="D85" s="538"/>
      <c r="E85" s="286">
        <f>'BD Team'!B16</f>
        <v>0</v>
      </c>
      <c r="F85" s="288" t="s">
        <v>254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>
        <f>'BD Team'!G16</f>
        <v>0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246</v>
      </c>
      <c r="M87" s="538"/>
      <c r="N87" s="540" t="str">
        <f>$F$6</f>
        <v>Powder coating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177</v>
      </c>
      <c r="M88" s="538"/>
      <c r="N88" s="540" t="str">
        <f>$K$6</f>
        <v>Black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247</v>
      </c>
      <c r="M89" s="538"/>
      <c r="N89" s="543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248</v>
      </c>
      <c r="M90" s="538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249</v>
      </c>
      <c r="M91" s="538"/>
      <c r="N91" s="539">
        <f>'BD Team'!J16</f>
        <v>0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250</v>
      </c>
      <c r="M92" s="538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251</v>
      </c>
      <c r="M93" s="538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252</v>
      </c>
      <c r="M94" s="538"/>
      <c r="N94" s="540">
        <f>'BD Team'!F16</f>
        <v>0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253</v>
      </c>
      <c r="D96" s="538"/>
      <c r="E96" s="286">
        <f>'BD Team'!B17</f>
        <v>0</v>
      </c>
      <c r="F96" s="288" t="s">
        <v>254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>
        <f>'BD Team'!G17</f>
        <v>0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246</v>
      </c>
      <c r="M98" s="538"/>
      <c r="N98" s="540" t="str">
        <f>$F$6</f>
        <v>Powder coating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177</v>
      </c>
      <c r="M99" s="538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247</v>
      </c>
      <c r="M100" s="538"/>
      <c r="N100" s="543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248</v>
      </c>
      <c r="M101" s="538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249</v>
      </c>
      <c r="M102" s="538"/>
      <c r="N102" s="539">
        <f>'BD Team'!J17</f>
        <v>0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250</v>
      </c>
      <c r="M103" s="538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251</v>
      </c>
      <c r="M104" s="538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252</v>
      </c>
      <c r="M105" s="538"/>
      <c r="N105" s="540">
        <f>'BD Team'!F17</f>
        <v>0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253</v>
      </c>
      <c r="D107" s="538"/>
      <c r="E107" s="286">
        <f>'BD Team'!B18</f>
        <v>0</v>
      </c>
      <c r="F107" s="288" t="s">
        <v>254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>
        <f>'BD Team'!G18</f>
        <v>0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246</v>
      </c>
      <c r="M109" s="538"/>
      <c r="N109" s="540" t="str">
        <f>$F$6</f>
        <v>Powder coating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177</v>
      </c>
      <c r="M110" s="538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247</v>
      </c>
      <c r="M111" s="538"/>
      <c r="N111" s="543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248</v>
      </c>
      <c r="M112" s="538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249</v>
      </c>
      <c r="M113" s="538"/>
      <c r="N113" s="539">
        <f>'BD Team'!J18</f>
        <v>0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250</v>
      </c>
      <c r="M114" s="538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251</v>
      </c>
      <c r="M115" s="538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252</v>
      </c>
      <c r="M116" s="538"/>
      <c r="N116" s="540">
        <f>'BD Team'!F18</f>
        <v>0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253</v>
      </c>
      <c r="D118" s="538"/>
      <c r="E118" s="286">
        <f>'BD Team'!B19</f>
        <v>0</v>
      </c>
      <c r="F118" s="288" t="s">
        <v>254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>
        <f>'BD Team'!G19</f>
        <v>0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246</v>
      </c>
      <c r="M120" s="538"/>
      <c r="N120" s="540" t="str">
        <f>$F$6</f>
        <v>Powder coating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177</v>
      </c>
      <c r="M121" s="538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247</v>
      </c>
      <c r="M122" s="538"/>
      <c r="N122" s="543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248</v>
      </c>
      <c r="M123" s="538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249</v>
      </c>
      <c r="M124" s="538"/>
      <c r="N124" s="539">
        <f>'BD Team'!J19</f>
        <v>0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250</v>
      </c>
      <c r="M125" s="538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251</v>
      </c>
      <c r="M126" s="538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252</v>
      </c>
      <c r="M127" s="538"/>
      <c r="N127" s="540">
        <f>'BD Team'!F19</f>
        <v>0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253</v>
      </c>
      <c r="D129" s="538"/>
      <c r="E129" s="286">
        <f>'BD Team'!B20</f>
        <v>0</v>
      </c>
      <c r="F129" s="288" t="s">
        <v>254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>
        <f>'BD Team'!G20</f>
        <v>0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246</v>
      </c>
      <c r="M131" s="538"/>
      <c r="N131" s="540" t="str">
        <f>$F$6</f>
        <v>Powder coating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177</v>
      </c>
      <c r="M132" s="538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247</v>
      </c>
      <c r="M133" s="538"/>
      <c r="N133" s="543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248</v>
      </c>
      <c r="M134" s="538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249</v>
      </c>
      <c r="M135" s="538"/>
      <c r="N135" s="539">
        <f>'BD Team'!J20</f>
        <v>0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250</v>
      </c>
      <c r="M136" s="538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251</v>
      </c>
      <c r="M137" s="538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252</v>
      </c>
      <c r="M138" s="538"/>
      <c r="N138" s="540">
        <f>'BD Team'!F20</f>
        <v>0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253</v>
      </c>
      <c r="D140" s="538"/>
      <c r="E140" s="286">
        <f>'BD Team'!B21</f>
        <v>0</v>
      </c>
      <c r="F140" s="288" t="s">
        <v>254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>
        <f>'BD Team'!G21</f>
        <v>0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246</v>
      </c>
      <c r="M142" s="538"/>
      <c r="N142" s="540" t="str">
        <f>$F$6</f>
        <v>Powder coating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177</v>
      </c>
      <c r="M143" s="538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247</v>
      </c>
      <c r="M144" s="538"/>
      <c r="N144" s="543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248</v>
      </c>
      <c r="M145" s="538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249</v>
      </c>
      <c r="M146" s="538"/>
      <c r="N146" s="539">
        <f>'BD Team'!J21</f>
        <v>0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250</v>
      </c>
      <c r="M147" s="538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251</v>
      </c>
      <c r="M148" s="538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252</v>
      </c>
      <c r="M149" s="538"/>
      <c r="N149" s="540">
        <f>'BD Team'!F21</f>
        <v>0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253</v>
      </c>
      <c r="D151" s="538"/>
      <c r="E151" s="286">
        <f>'BD Team'!B22</f>
        <v>0</v>
      </c>
      <c r="F151" s="288" t="s">
        <v>254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>
        <f>'BD Team'!G22</f>
        <v>0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246</v>
      </c>
      <c r="M153" s="538"/>
      <c r="N153" s="540" t="str">
        <f>$F$6</f>
        <v>Powder coating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177</v>
      </c>
      <c r="M154" s="538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247</v>
      </c>
      <c r="M155" s="538"/>
      <c r="N155" s="543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248</v>
      </c>
      <c r="M156" s="538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249</v>
      </c>
      <c r="M157" s="538"/>
      <c r="N157" s="539">
        <f>'BD Team'!J22</f>
        <v>0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250</v>
      </c>
      <c r="M158" s="538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251</v>
      </c>
      <c r="M159" s="538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252</v>
      </c>
      <c r="M160" s="538"/>
      <c r="N160" s="540">
        <f>'BD Team'!F22</f>
        <v>0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253</v>
      </c>
      <c r="D162" s="538"/>
      <c r="E162" s="286">
        <f>'BD Team'!B23</f>
        <v>0</v>
      </c>
      <c r="F162" s="288" t="s">
        <v>254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>
        <f>'BD Team'!G23</f>
        <v>0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246</v>
      </c>
      <c r="M164" s="538"/>
      <c r="N164" s="540" t="str">
        <f>$F$6</f>
        <v>Powder coating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177</v>
      </c>
      <c r="M165" s="538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247</v>
      </c>
      <c r="M166" s="538"/>
      <c r="N166" s="543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248</v>
      </c>
      <c r="M167" s="538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249</v>
      </c>
      <c r="M168" s="538"/>
      <c r="N168" s="539">
        <f>'BD Team'!J23</f>
        <v>0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250</v>
      </c>
      <c r="M169" s="538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251</v>
      </c>
      <c r="M170" s="538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252</v>
      </c>
      <c r="M171" s="538"/>
      <c r="N171" s="540">
        <f>'BD Team'!F23</f>
        <v>0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253</v>
      </c>
      <c r="D173" s="538"/>
      <c r="E173" s="286">
        <f>'BD Team'!B24</f>
        <v>0</v>
      </c>
      <c r="F173" s="288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>
        <f>'BD Team'!G24</f>
        <v>0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246</v>
      </c>
      <c r="M175" s="538"/>
      <c r="N175" s="540" t="str">
        <f>$F$6</f>
        <v>Powder coating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177</v>
      </c>
      <c r="M176" s="538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247</v>
      </c>
      <c r="M177" s="538"/>
      <c r="N177" s="543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248</v>
      </c>
      <c r="M178" s="538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249</v>
      </c>
      <c r="M179" s="538"/>
      <c r="N179" s="539">
        <f>'BD Team'!J24</f>
        <v>0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250</v>
      </c>
      <c r="M180" s="538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251</v>
      </c>
      <c r="M181" s="538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252</v>
      </c>
      <c r="M182" s="538"/>
      <c r="N182" s="540">
        <f>'BD Team'!F24</f>
        <v>0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253</v>
      </c>
      <c r="D184" s="538"/>
      <c r="E184" s="286">
        <f>'BD Team'!B25</f>
        <v>0</v>
      </c>
      <c r="F184" s="288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246</v>
      </c>
      <c r="M186" s="538"/>
      <c r="N186" s="540" t="str">
        <f>$F$6</f>
        <v>Powder coating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177</v>
      </c>
      <c r="M187" s="538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247</v>
      </c>
      <c r="M188" s="538"/>
      <c r="N188" s="543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248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249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250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251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252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253</v>
      </c>
      <c r="D195" s="538"/>
      <c r="E195" s="286">
        <f>'BD Team'!B26</f>
        <v>0</v>
      </c>
      <c r="F195" s="288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246</v>
      </c>
      <c r="M197" s="538"/>
      <c r="N197" s="540" t="str">
        <f>$F$6</f>
        <v>Powder coating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177</v>
      </c>
      <c r="M198" s="538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247</v>
      </c>
      <c r="M199" s="538"/>
      <c r="N199" s="543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248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249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250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251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252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253</v>
      </c>
      <c r="D206" s="538"/>
      <c r="E206" s="286">
        <f>'BD Team'!B27</f>
        <v>0</v>
      </c>
      <c r="F206" s="288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246</v>
      </c>
      <c r="M208" s="538"/>
      <c r="N208" s="540" t="str">
        <f>$F$6</f>
        <v>Powder coating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177</v>
      </c>
      <c r="M209" s="538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247</v>
      </c>
      <c r="M210" s="538"/>
      <c r="N210" s="543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248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249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250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251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252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253</v>
      </c>
      <c r="D217" s="538"/>
      <c r="E217" s="286">
        <f>'BD Team'!B28</f>
        <v>0</v>
      </c>
      <c r="F217" s="288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246</v>
      </c>
      <c r="M219" s="538"/>
      <c r="N219" s="540" t="str">
        <f>$F$6</f>
        <v>Powder coating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177</v>
      </c>
      <c r="M220" s="538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247</v>
      </c>
      <c r="M221" s="538"/>
      <c r="N221" s="543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248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249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250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251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252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253</v>
      </c>
      <c r="D228" s="538"/>
      <c r="E228" s="286">
        <f>'BD Team'!B29</f>
        <v>0</v>
      </c>
      <c r="F228" s="288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246</v>
      </c>
      <c r="M230" s="538"/>
      <c r="N230" s="540" t="str">
        <f>$F$6</f>
        <v>Powder coating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177</v>
      </c>
      <c r="M231" s="538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247</v>
      </c>
      <c r="M232" s="538"/>
      <c r="N232" s="543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248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249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250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251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252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253</v>
      </c>
      <c r="D239" s="538"/>
      <c r="E239" s="286">
        <f>'BD Team'!B30</f>
        <v>0</v>
      </c>
      <c r="F239" s="288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246</v>
      </c>
      <c r="M241" s="538"/>
      <c r="N241" s="540" t="str">
        <f>$F$6</f>
        <v>Powder coating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177</v>
      </c>
      <c r="M242" s="538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247</v>
      </c>
      <c r="M243" s="538"/>
      <c r="N243" s="543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248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249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250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251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252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253</v>
      </c>
      <c r="D250" s="538"/>
      <c r="E250" s="286">
        <f>'BD Team'!B31</f>
        <v>0</v>
      </c>
      <c r="F250" s="288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246</v>
      </c>
      <c r="M252" s="538"/>
      <c r="N252" s="540" t="str">
        <f>$F$6</f>
        <v>Powder coating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177</v>
      </c>
      <c r="M253" s="538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247</v>
      </c>
      <c r="M254" s="538"/>
      <c r="N254" s="543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248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249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250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251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252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253</v>
      </c>
      <c r="D261" s="538"/>
      <c r="E261" s="286">
        <f>'BD Team'!B32</f>
        <v>0</v>
      </c>
      <c r="F261" s="288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246</v>
      </c>
      <c r="M263" s="538"/>
      <c r="N263" s="540" t="str">
        <f>$F$6</f>
        <v>Powder coating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177</v>
      </c>
      <c r="M264" s="538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247</v>
      </c>
      <c r="M265" s="538"/>
      <c r="N265" s="543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248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249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250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251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252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253</v>
      </c>
      <c r="D272" s="538"/>
      <c r="E272" s="286">
        <f>'BD Team'!B33</f>
        <v>0</v>
      </c>
      <c r="F272" s="288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246</v>
      </c>
      <c r="M274" s="538"/>
      <c r="N274" s="540" t="str">
        <f>$F$6</f>
        <v>Powder coating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177</v>
      </c>
      <c r="M275" s="538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247</v>
      </c>
      <c r="M276" s="538"/>
      <c r="N276" s="543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248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249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250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251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252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253</v>
      </c>
      <c r="D283" s="538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246</v>
      </c>
      <c r="M285" s="538"/>
      <c r="N285" s="540" t="str">
        <f>$F$6</f>
        <v>Powder coating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177</v>
      </c>
      <c r="M286" s="538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247</v>
      </c>
      <c r="M287" s="538"/>
      <c r="N287" s="543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248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249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250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251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252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253</v>
      </c>
      <c r="D294" s="538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246</v>
      </c>
      <c r="M296" s="538"/>
      <c r="N296" s="540" t="str">
        <f>$F$6</f>
        <v>Powder coating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177</v>
      </c>
      <c r="M297" s="538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247</v>
      </c>
      <c r="M298" s="538"/>
      <c r="N298" s="543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248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249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250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251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252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253</v>
      </c>
      <c r="D305" s="538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246</v>
      </c>
      <c r="M307" s="538"/>
      <c r="N307" s="540" t="str">
        <f>$F$6</f>
        <v>Powder coating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177</v>
      </c>
      <c r="M308" s="538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247</v>
      </c>
      <c r="M309" s="538"/>
      <c r="N309" s="543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248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249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250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251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252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253</v>
      </c>
      <c r="D316" s="538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246</v>
      </c>
      <c r="M318" s="538"/>
      <c r="N318" s="540" t="str">
        <f>$F$6</f>
        <v>Powder coating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177</v>
      </c>
      <c r="M319" s="538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247</v>
      </c>
      <c r="M320" s="538"/>
      <c r="N320" s="543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248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249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250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251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252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253</v>
      </c>
      <c r="D327" s="538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246</v>
      </c>
      <c r="M329" s="538"/>
      <c r="N329" s="540" t="str">
        <f>$F$6</f>
        <v>Powder coating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177</v>
      </c>
      <c r="M330" s="538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247</v>
      </c>
      <c r="M331" s="538"/>
      <c r="N331" s="543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248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249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250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251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252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253</v>
      </c>
      <c r="D338" s="538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246</v>
      </c>
      <c r="M340" s="538"/>
      <c r="N340" s="540" t="str">
        <f>$F$6</f>
        <v>Powder coating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177</v>
      </c>
      <c r="M341" s="538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247</v>
      </c>
      <c r="M342" s="538"/>
      <c r="N342" s="543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248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249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250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251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252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253</v>
      </c>
      <c r="D349" s="538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246</v>
      </c>
      <c r="M351" s="538"/>
      <c r="N351" s="540" t="str">
        <f>$F$6</f>
        <v>Powder coating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177</v>
      </c>
      <c r="M352" s="538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247</v>
      </c>
      <c r="M353" s="538"/>
      <c r="N353" s="543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248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249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250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251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252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253</v>
      </c>
      <c r="D360" s="538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246</v>
      </c>
      <c r="M362" s="538"/>
      <c r="N362" s="540" t="str">
        <f>$F$6</f>
        <v>Powder coating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177</v>
      </c>
      <c r="M363" s="538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247</v>
      </c>
      <c r="M364" s="538"/>
      <c r="N364" s="543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248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249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250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251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252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253</v>
      </c>
      <c r="D371" s="538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246</v>
      </c>
      <c r="M373" s="538"/>
      <c r="N373" s="540" t="str">
        <f>$F$6</f>
        <v>Powder coating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177</v>
      </c>
      <c r="M374" s="538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247</v>
      </c>
      <c r="M375" s="538"/>
      <c r="N375" s="543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248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249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250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251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252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253</v>
      </c>
      <c r="D382" s="538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246</v>
      </c>
      <c r="M384" s="538"/>
      <c r="N384" s="540" t="str">
        <f>$F$6</f>
        <v>Powder coating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177</v>
      </c>
      <c r="M385" s="538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247</v>
      </c>
      <c r="M386" s="538"/>
      <c r="N386" s="543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248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249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250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251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252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253</v>
      </c>
      <c r="D393" s="538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246</v>
      </c>
      <c r="M395" s="538"/>
      <c r="N395" s="540" t="str">
        <f>$F$6</f>
        <v>Powder coating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177</v>
      </c>
      <c r="M396" s="538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247</v>
      </c>
      <c r="M397" s="538"/>
      <c r="N397" s="543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248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249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250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251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252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253</v>
      </c>
      <c r="D404" s="538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246</v>
      </c>
      <c r="M406" s="538"/>
      <c r="N406" s="540" t="str">
        <f>$F$6</f>
        <v>Powder coating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177</v>
      </c>
      <c r="M407" s="538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247</v>
      </c>
      <c r="M408" s="538"/>
      <c r="N408" s="543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248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249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250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251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252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253</v>
      </c>
      <c r="D415" s="538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246</v>
      </c>
      <c r="M417" s="538"/>
      <c r="N417" s="540" t="str">
        <f>$F$6</f>
        <v>Powder coating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177</v>
      </c>
      <c r="M418" s="538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247</v>
      </c>
      <c r="M419" s="538"/>
      <c r="N419" s="543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248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249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250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251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252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253</v>
      </c>
      <c r="D426" s="538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246</v>
      </c>
      <c r="M428" s="538"/>
      <c r="N428" s="540" t="str">
        <f>$F$6</f>
        <v>Powder coating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177</v>
      </c>
      <c r="M429" s="538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247</v>
      </c>
      <c r="M430" s="538"/>
      <c r="N430" s="543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248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249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250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251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252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253</v>
      </c>
      <c r="D437" s="538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246</v>
      </c>
      <c r="M439" s="538"/>
      <c r="N439" s="540" t="str">
        <f>$F$6</f>
        <v>Powder coating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177</v>
      </c>
      <c r="M440" s="538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247</v>
      </c>
      <c r="M441" s="538"/>
      <c r="N441" s="543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248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249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250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251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252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253</v>
      </c>
      <c r="D448" s="538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246</v>
      </c>
      <c r="M450" s="538"/>
      <c r="N450" s="540" t="str">
        <f>$F$6</f>
        <v>Powder coating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177</v>
      </c>
      <c r="M451" s="538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247</v>
      </c>
      <c r="M452" s="538"/>
      <c r="N452" s="543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248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249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250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251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252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253</v>
      </c>
      <c r="D459" s="538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246</v>
      </c>
      <c r="M461" s="538"/>
      <c r="N461" s="540" t="str">
        <f>$F$6</f>
        <v>Powder coating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177</v>
      </c>
      <c r="M462" s="538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247</v>
      </c>
      <c r="M463" s="538"/>
      <c r="N463" s="543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248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249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250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251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252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253</v>
      </c>
      <c r="D470" s="538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246</v>
      </c>
      <c r="M472" s="538"/>
      <c r="N472" s="540" t="str">
        <f>$F$6</f>
        <v>Powder coating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177</v>
      </c>
      <c r="M473" s="538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247</v>
      </c>
      <c r="M474" s="538"/>
      <c r="N474" s="543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248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249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250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251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252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253</v>
      </c>
      <c r="D481" s="538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246</v>
      </c>
      <c r="M483" s="538"/>
      <c r="N483" s="540" t="str">
        <f>$F$6</f>
        <v>Powder coating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177</v>
      </c>
      <c r="M484" s="538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247</v>
      </c>
      <c r="M485" s="538"/>
      <c r="N485" s="543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248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249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250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251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252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253</v>
      </c>
      <c r="D492" s="538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246</v>
      </c>
      <c r="M494" s="538"/>
      <c r="N494" s="540" t="str">
        <f>$F$6</f>
        <v>Powder coating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177</v>
      </c>
      <c r="M495" s="538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247</v>
      </c>
      <c r="M496" s="538"/>
      <c r="N496" s="543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248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249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250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251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252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253</v>
      </c>
      <c r="D503" s="538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246</v>
      </c>
      <c r="M505" s="538"/>
      <c r="N505" s="540" t="str">
        <f>$F$6</f>
        <v>Powder coating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177</v>
      </c>
      <c r="M506" s="538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247</v>
      </c>
      <c r="M507" s="538"/>
      <c r="N507" s="543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248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249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250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251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252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253</v>
      </c>
      <c r="D514" s="538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246</v>
      </c>
      <c r="M516" s="538"/>
      <c r="N516" s="540" t="str">
        <f>$F$6</f>
        <v>Powder coating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177</v>
      </c>
      <c r="M517" s="538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247</v>
      </c>
      <c r="M518" s="538"/>
      <c r="N518" s="543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248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249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250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251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252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253</v>
      </c>
      <c r="D525" s="538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246</v>
      </c>
      <c r="M527" s="538"/>
      <c r="N527" s="540" t="str">
        <f>$F$6</f>
        <v>Powder coating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177</v>
      </c>
      <c r="M528" s="538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247</v>
      </c>
      <c r="M529" s="538"/>
      <c r="N529" s="543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248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249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250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251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252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253</v>
      </c>
      <c r="D536" s="538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246</v>
      </c>
      <c r="M538" s="538"/>
      <c r="N538" s="540" t="str">
        <f>$F$6</f>
        <v>Powder coating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177</v>
      </c>
      <c r="M539" s="538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247</v>
      </c>
      <c r="M540" s="538"/>
      <c r="N540" s="543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248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249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250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251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252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253</v>
      </c>
      <c r="D547" s="538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246</v>
      </c>
      <c r="M549" s="538"/>
      <c r="N549" s="540" t="str">
        <f>$F$6</f>
        <v>Powder coating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177</v>
      </c>
      <c r="M550" s="538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247</v>
      </c>
      <c r="M551" s="538"/>
      <c r="N551" s="543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248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249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250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251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252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253</v>
      </c>
      <c r="D558" s="538"/>
      <c r="E558" s="289">
        <f>'BD Team'!B59</f>
        <v>0</v>
      </c>
      <c r="F558" s="288" t="s">
        <v>254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246</v>
      </c>
      <c r="M560" s="538"/>
      <c r="N560" s="540" t="str">
        <f>$F$6</f>
        <v>Powder coating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177</v>
      </c>
      <c r="M561" s="538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247</v>
      </c>
      <c r="M562" s="538"/>
      <c r="N562" s="543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248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249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250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251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252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253</v>
      </c>
      <c r="D569" s="538"/>
      <c r="E569" s="289">
        <f>'BD Team'!B60</f>
        <v>0</v>
      </c>
      <c r="F569" s="288" t="s">
        <v>254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246</v>
      </c>
      <c r="M571" s="538"/>
      <c r="N571" s="540" t="str">
        <f>$F$6</f>
        <v>Powder coating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177</v>
      </c>
      <c r="M572" s="538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247</v>
      </c>
      <c r="M573" s="538"/>
      <c r="N573" s="543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248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249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250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251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252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253</v>
      </c>
      <c r="D580" s="538"/>
      <c r="E580" s="289">
        <f>'BD Team'!B61</f>
        <v>0</v>
      </c>
      <c r="F580" s="288" t="s">
        <v>254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246</v>
      </c>
      <c r="M582" s="538"/>
      <c r="N582" s="540" t="str">
        <f>$F$6</f>
        <v>Powder coating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177</v>
      </c>
      <c r="M583" s="538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247</v>
      </c>
      <c r="M584" s="538"/>
      <c r="N584" s="543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248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249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250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251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252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253</v>
      </c>
      <c r="D591" s="538"/>
      <c r="E591" s="289">
        <f>'BD Team'!B62</f>
        <v>0</v>
      </c>
      <c r="F591" s="288" t="s">
        <v>254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246</v>
      </c>
      <c r="M593" s="538"/>
      <c r="N593" s="540" t="str">
        <f>$F$6</f>
        <v>Powder coating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177</v>
      </c>
      <c r="M594" s="538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247</v>
      </c>
      <c r="M595" s="538"/>
      <c r="N595" s="543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248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249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250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251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252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253</v>
      </c>
      <c r="D602" s="538"/>
      <c r="E602" s="289">
        <f>'BD Team'!B63</f>
        <v>0</v>
      </c>
      <c r="F602" s="288" t="s">
        <v>254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246</v>
      </c>
      <c r="M604" s="538"/>
      <c r="N604" s="540" t="str">
        <f>$F$6</f>
        <v>Powder coating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177</v>
      </c>
      <c r="M605" s="538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247</v>
      </c>
      <c r="M606" s="538"/>
      <c r="N606" s="543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248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249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250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251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252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253</v>
      </c>
      <c r="D613" s="538"/>
      <c r="E613" s="289">
        <f>'BD Team'!B64</f>
        <v>0</v>
      </c>
      <c r="F613" s="288" t="s">
        <v>254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246</v>
      </c>
      <c r="M615" s="538"/>
      <c r="N615" s="540" t="str">
        <f>$F$6</f>
        <v>Powder coating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177</v>
      </c>
      <c r="M616" s="538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247</v>
      </c>
      <c r="M617" s="538"/>
      <c r="N617" s="543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248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249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250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251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252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253</v>
      </c>
      <c r="D624" s="538"/>
      <c r="E624" s="289">
        <f>'BD Team'!B65</f>
        <v>0</v>
      </c>
      <c r="F624" s="288" t="s">
        <v>254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246</v>
      </c>
      <c r="M626" s="538"/>
      <c r="N626" s="540" t="str">
        <f>$F$6</f>
        <v>Powder coating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177</v>
      </c>
      <c r="M627" s="538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247</v>
      </c>
      <c r="M628" s="538"/>
      <c r="N628" s="543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248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249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250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251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252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253</v>
      </c>
      <c r="D635" s="538"/>
      <c r="E635" s="289">
        <f>'BD Team'!B66</f>
        <v>0</v>
      </c>
      <c r="F635" s="288" t="s">
        <v>254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246</v>
      </c>
      <c r="M637" s="538"/>
      <c r="N637" s="540" t="str">
        <f>$F$6</f>
        <v>Powder coating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177</v>
      </c>
      <c r="M638" s="538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247</v>
      </c>
      <c r="M639" s="538"/>
      <c r="N639" s="543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248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249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250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251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252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253</v>
      </c>
      <c r="D646" s="538"/>
      <c r="E646" s="289">
        <f>'BD Team'!B67</f>
        <v>0</v>
      </c>
      <c r="F646" s="288" t="s">
        <v>254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246</v>
      </c>
      <c r="M648" s="538"/>
      <c r="N648" s="540" t="str">
        <f>$F$6</f>
        <v>Powder coating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177</v>
      </c>
      <c r="M649" s="538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247</v>
      </c>
      <c r="M650" s="538"/>
      <c r="N650" s="543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248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249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250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251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252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253</v>
      </c>
      <c r="D657" s="538"/>
      <c r="E657" s="289">
        <f>'BD Team'!B68</f>
        <v>0</v>
      </c>
      <c r="F657" s="288" t="s">
        <v>254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246</v>
      </c>
      <c r="M659" s="538"/>
      <c r="N659" s="540" t="str">
        <f>$F$6</f>
        <v>Powder coating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177</v>
      </c>
      <c r="M660" s="538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247</v>
      </c>
      <c r="M661" s="538"/>
      <c r="N661" s="543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248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249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250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251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252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253</v>
      </c>
      <c r="D668" s="538"/>
      <c r="E668" s="289">
        <f>'BD Team'!B69</f>
        <v>0</v>
      </c>
      <c r="F668" s="288" t="s">
        <v>254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246</v>
      </c>
      <c r="M670" s="538"/>
      <c r="N670" s="540" t="str">
        <f>$F$6</f>
        <v>Powder coating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177</v>
      </c>
      <c r="M671" s="538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247</v>
      </c>
      <c r="M672" s="538"/>
      <c r="N672" s="543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248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249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250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251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252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253</v>
      </c>
      <c r="D679" s="538"/>
      <c r="E679" s="289">
        <f>'BD Team'!B70</f>
        <v>0</v>
      </c>
      <c r="F679" s="288" t="s">
        <v>254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246</v>
      </c>
      <c r="M681" s="538"/>
      <c r="N681" s="540" t="str">
        <f>$F$6</f>
        <v>Powder coating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177</v>
      </c>
      <c r="M682" s="538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247</v>
      </c>
      <c r="M683" s="538"/>
      <c r="N683" s="543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248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249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250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251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252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253</v>
      </c>
      <c r="D690" s="538"/>
      <c r="E690" s="289">
        <f>'BD Team'!B71</f>
        <v>0</v>
      </c>
      <c r="F690" s="288" t="s">
        <v>254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246</v>
      </c>
      <c r="M692" s="538"/>
      <c r="N692" s="540" t="str">
        <f>$F$6</f>
        <v>Powder coating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177</v>
      </c>
      <c r="M693" s="538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247</v>
      </c>
      <c r="M694" s="538"/>
      <c r="N694" s="543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248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249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250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251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252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253</v>
      </c>
      <c r="D701" s="538"/>
      <c r="E701" s="289">
        <f>'BD Team'!B72</f>
        <v>0</v>
      </c>
      <c r="F701" s="288" t="s">
        <v>254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246</v>
      </c>
      <c r="M703" s="538"/>
      <c r="N703" s="540" t="str">
        <f>$F$6</f>
        <v>Powder coating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177</v>
      </c>
      <c r="M704" s="538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247</v>
      </c>
      <c r="M705" s="538"/>
      <c r="N705" s="543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248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249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250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251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252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253</v>
      </c>
      <c r="D712" s="538"/>
      <c r="E712" s="289">
        <f>'BD Team'!B73</f>
        <v>0</v>
      </c>
      <c r="F712" s="288" t="s">
        <v>254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246</v>
      </c>
      <c r="M714" s="538"/>
      <c r="N714" s="540" t="str">
        <f>$F$6</f>
        <v>Powder coating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177</v>
      </c>
      <c r="M715" s="538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247</v>
      </c>
      <c r="M716" s="538"/>
      <c r="N716" s="543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248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249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250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251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252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253</v>
      </c>
      <c r="D723" s="538"/>
      <c r="E723" s="289">
        <f>'BD Team'!B74</f>
        <v>0</v>
      </c>
      <c r="F723" s="288" t="s">
        <v>254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246</v>
      </c>
      <c r="M725" s="538"/>
      <c r="N725" s="540" t="str">
        <f>$F$6</f>
        <v>Powder coating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177</v>
      </c>
      <c r="M726" s="538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247</v>
      </c>
      <c r="M727" s="538"/>
      <c r="N727" s="543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248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249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250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251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252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253</v>
      </c>
      <c r="D734" s="538"/>
      <c r="E734" s="289">
        <f>'BD Team'!B75</f>
        <v>0</v>
      </c>
      <c r="F734" s="288" t="s">
        <v>254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246</v>
      </c>
      <c r="M736" s="538"/>
      <c r="N736" s="540" t="str">
        <f>$F$6</f>
        <v>Powder coating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177</v>
      </c>
      <c r="M737" s="538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247</v>
      </c>
      <c r="M738" s="538"/>
      <c r="N738" s="543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248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249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250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251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252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253</v>
      </c>
      <c r="D745" s="538"/>
      <c r="E745" s="289">
        <f>'BD Team'!B76</f>
        <v>0</v>
      </c>
      <c r="F745" s="288" t="s">
        <v>254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246</v>
      </c>
      <c r="M747" s="538"/>
      <c r="N747" s="540" t="str">
        <f>$F$6</f>
        <v>Powder coating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177</v>
      </c>
      <c r="M748" s="538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247</v>
      </c>
      <c r="M749" s="538"/>
      <c r="N749" s="543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248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249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250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251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252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253</v>
      </c>
      <c r="D756" s="538"/>
      <c r="E756" s="289">
        <f>'BD Team'!B77</f>
        <v>0</v>
      </c>
      <c r="F756" s="288" t="s">
        <v>254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246</v>
      </c>
      <c r="M758" s="538"/>
      <c r="N758" s="540" t="str">
        <f>$F$6</f>
        <v>Powder coating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177</v>
      </c>
      <c r="M759" s="538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247</v>
      </c>
      <c r="M760" s="538"/>
      <c r="N760" s="543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248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249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250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251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252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253</v>
      </c>
      <c r="D767" s="538"/>
      <c r="E767" s="289">
        <f>'BD Team'!B78</f>
        <v>0</v>
      </c>
      <c r="F767" s="288" t="s">
        <v>254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246</v>
      </c>
      <c r="M769" s="538"/>
      <c r="N769" s="540" t="str">
        <f>$F$6</f>
        <v>Powder coating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177</v>
      </c>
      <c r="M770" s="538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247</v>
      </c>
      <c r="M771" s="538"/>
      <c r="N771" s="543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248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249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250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251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252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253</v>
      </c>
      <c r="D778" s="538"/>
      <c r="E778" s="289">
        <f>'BD Team'!B79</f>
        <v>0</v>
      </c>
      <c r="F778" s="288" t="s">
        <v>254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246</v>
      </c>
      <c r="M780" s="538"/>
      <c r="N780" s="540" t="str">
        <f>$F$6</f>
        <v>Powder coating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177</v>
      </c>
      <c r="M781" s="538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247</v>
      </c>
      <c r="M782" s="538"/>
      <c r="N782" s="543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248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249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250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251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252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253</v>
      </c>
      <c r="D789" s="538"/>
      <c r="E789" s="289">
        <f>'BD Team'!B80</f>
        <v>0</v>
      </c>
      <c r="F789" s="288" t="s">
        <v>254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246</v>
      </c>
      <c r="M791" s="538"/>
      <c r="N791" s="540" t="str">
        <f>$F$6</f>
        <v>Powder coating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177</v>
      </c>
      <c r="M792" s="538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247</v>
      </c>
      <c r="M793" s="538"/>
      <c r="N793" s="543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248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249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250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251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252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253</v>
      </c>
      <c r="D800" s="538"/>
      <c r="E800" s="289">
        <f>'BD Team'!B81</f>
        <v>0</v>
      </c>
      <c r="F800" s="288" t="s">
        <v>254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246</v>
      </c>
      <c r="M802" s="538"/>
      <c r="N802" s="540" t="str">
        <f>$F$6</f>
        <v>Powder coating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177</v>
      </c>
      <c r="M803" s="538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247</v>
      </c>
      <c r="M804" s="538"/>
      <c r="N804" s="543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248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249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250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251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252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253</v>
      </c>
      <c r="D811" s="538"/>
      <c r="E811" s="289">
        <f>'BD Team'!B82</f>
        <v>0</v>
      </c>
      <c r="F811" s="288" t="s">
        <v>254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246</v>
      </c>
      <c r="M813" s="538"/>
      <c r="N813" s="540" t="str">
        <f>$F$6</f>
        <v>Powder coating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177</v>
      </c>
      <c r="M814" s="538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247</v>
      </c>
      <c r="M815" s="538"/>
      <c r="N815" s="543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248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249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250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251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252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253</v>
      </c>
      <c r="D822" s="538"/>
      <c r="E822" s="289">
        <f>'BD Team'!B83</f>
        <v>0</v>
      </c>
      <c r="F822" s="288" t="s">
        <v>254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246</v>
      </c>
      <c r="M824" s="538"/>
      <c r="N824" s="540" t="str">
        <f>$F$6</f>
        <v>Powder coating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177</v>
      </c>
      <c r="M825" s="538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247</v>
      </c>
      <c r="M826" s="538"/>
      <c r="N826" s="543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248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249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250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251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252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253</v>
      </c>
      <c r="D833" s="538"/>
      <c r="E833" s="289">
        <f>'BD Team'!B84</f>
        <v>0</v>
      </c>
      <c r="F833" s="288" t="s">
        <v>254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246</v>
      </c>
      <c r="M835" s="538"/>
      <c r="N835" s="540" t="str">
        <f>$F$6</f>
        <v>Powder coating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177</v>
      </c>
      <c r="M836" s="538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247</v>
      </c>
      <c r="M837" s="538"/>
      <c r="N837" s="543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248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249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250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251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252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253</v>
      </c>
      <c r="D844" s="538"/>
      <c r="E844" s="289">
        <f>'BD Team'!B85</f>
        <v>0</v>
      </c>
      <c r="F844" s="288" t="s">
        <v>254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246</v>
      </c>
      <c r="M846" s="538"/>
      <c r="N846" s="540" t="str">
        <f>$F$6</f>
        <v>Powder coating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177</v>
      </c>
      <c r="M847" s="538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247</v>
      </c>
      <c r="M848" s="538"/>
      <c r="N848" s="543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248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249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250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251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252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253</v>
      </c>
      <c r="D855" s="538"/>
      <c r="E855" s="289">
        <f>'BD Team'!B86</f>
        <v>0</v>
      </c>
      <c r="F855" s="288" t="s">
        <v>254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246</v>
      </c>
      <c r="M857" s="538"/>
      <c r="N857" s="540" t="str">
        <f>$F$6</f>
        <v>Powder coating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177</v>
      </c>
      <c r="M858" s="538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247</v>
      </c>
      <c r="M859" s="538"/>
      <c r="N859" s="543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248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249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250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251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252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253</v>
      </c>
      <c r="D866" s="538"/>
      <c r="E866" s="289">
        <f>'BD Team'!B87</f>
        <v>0</v>
      </c>
      <c r="F866" s="288" t="s">
        <v>254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246</v>
      </c>
      <c r="M868" s="538"/>
      <c r="N868" s="540" t="str">
        <f>$F$6</f>
        <v>Powder coating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177</v>
      </c>
      <c r="M869" s="538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247</v>
      </c>
      <c r="M870" s="538"/>
      <c r="N870" s="543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248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249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250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251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252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253</v>
      </c>
      <c r="D877" s="538"/>
      <c r="E877" s="289">
        <f>'BD Team'!B88</f>
        <v>0</v>
      </c>
      <c r="F877" s="288" t="s">
        <v>254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246</v>
      </c>
      <c r="M879" s="538"/>
      <c r="N879" s="540" t="str">
        <f>$F$6</f>
        <v>Powder coating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177</v>
      </c>
      <c r="M880" s="538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247</v>
      </c>
      <c r="M881" s="538"/>
      <c r="N881" s="543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248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249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250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251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252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253</v>
      </c>
      <c r="D888" s="538"/>
      <c r="E888" s="289">
        <f>'BD Team'!B89</f>
        <v>0</v>
      </c>
      <c r="F888" s="288" t="s">
        <v>254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246</v>
      </c>
      <c r="M890" s="538"/>
      <c r="N890" s="540" t="str">
        <f>$F$6</f>
        <v>Powder coating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177</v>
      </c>
      <c r="M891" s="538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247</v>
      </c>
      <c r="M892" s="538"/>
      <c r="N892" s="543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248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249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250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251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252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253</v>
      </c>
      <c r="D899" s="538"/>
      <c r="E899" s="289">
        <f>'BD Team'!B90</f>
        <v>0</v>
      </c>
      <c r="F899" s="288" t="s">
        <v>254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246</v>
      </c>
      <c r="M901" s="538"/>
      <c r="N901" s="540" t="str">
        <f>$F$6</f>
        <v>Powder coating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177</v>
      </c>
      <c r="M902" s="538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247</v>
      </c>
      <c r="M903" s="538"/>
      <c r="N903" s="543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248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249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250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251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252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253</v>
      </c>
      <c r="D910" s="538"/>
      <c r="E910" s="289">
        <f>'BD Team'!B91</f>
        <v>0</v>
      </c>
      <c r="F910" s="288" t="s">
        <v>254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246</v>
      </c>
      <c r="M912" s="538"/>
      <c r="N912" s="540" t="str">
        <f>$F$6</f>
        <v>Powder coating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177</v>
      </c>
      <c r="M913" s="538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247</v>
      </c>
      <c r="M914" s="538"/>
      <c r="N914" s="543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248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249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250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251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252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253</v>
      </c>
      <c r="D921" s="538"/>
      <c r="E921" s="289">
        <f>'BD Team'!B92</f>
        <v>0</v>
      </c>
      <c r="F921" s="288" t="s">
        <v>254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246</v>
      </c>
      <c r="M923" s="538"/>
      <c r="N923" s="540" t="str">
        <f>$F$6</f>
        <v>Powder coating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177</v>
      </c>
      <c r="M924" s="538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247</v>
      </c>
      <c r="M925" s="538"/>
      <c r="N925" s="543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248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249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250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251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252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253</v>
      </c>
      <c r="D932" s="538"/>
      <c r="E932" s="289">
        <f>'BD Team'!B93</f>
        <v>0</v>
      </c>
      <c r="F932" s="288" t="s">
        <v>254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246</v>
      </c>
      <c r="M934" s="538"/>
      <c r="N934" s="540" t="str">
        <f>$F$6</f>
        <v>Powder coating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177</v>
      </c>
      <c r="M935" s="538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247</v>
      </c>
      <c r="M936" s="538"/>
      <c r="N936" s="543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248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249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250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251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252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253</v>
      </c>
      <c r="D943" s="538"/>
      <c r="E943" s="289">
        <f>'BD Team'!B94</f>
        <v>0</v>
      </c>
      <c r="F943" s="288" t="s">
        <v>254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246</v>
      </c>
      <c r="M945" s="538"/>
      <c r="N945" s="540" t="str">
        <f>$F$6</f>
        <v>Powder coating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177</v>
      </c>
      <c r="M946" s="538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247</v>
      </c>
      <c r="M947" s="538"/>
      <c r="N947" s="543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248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249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250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251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252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253</v>
      </c>
      <c r="D954" s="538"/>
      <c r="E954" s="289">
        <f>'BD Team'!B95</f>
        <v>0</v>
      </c>
      <c r="F954" s="288" t="s">
        <v>254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246</v>
      </c>
      <c r="M956" s="538"/>
      <c r="N956" s="540" t="str">
        <f>$F$6</f>
        <v>Powder coating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177</v>
      </c>
      <c r="M957" s="538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247</v>
      </c>
      <c r="M958" s="538"/>
      <c r="N958" s="543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248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249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250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251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252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253</v>
      </c>
      <c r="D965" s="538"/>
      <c r="E965" s="289">
        <f>'BD Team'!B96</f>
        <v>0</v>
      </c>
      <c r="F965" s="288" t="s">
        <v>254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246</v>
      </c>
      <c r="M967" s="538"/>
      <c r="N967" s="540" t="str">
        <f>$F$6</f>
        <v>Powder coating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177</v>
      </c>
      <c r="M968" s="538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247</v>
      </c>
      <c r="M969" s="538"/>
      <c r="N969" s="543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248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249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250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251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252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253</v>
      </c>
      <c r="D976" s="538"/>
      <c r="E976" s="289">
        <f>'BD Team'!B97</f>
        <v>0</v>
      </c>
      <c r="F976" s="288" t="s">
        <v>254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246</v>
      </c>
      <c r="M978" s="538"/>
      <c r="N978" s="540" t="str">
        <f>$F$6</f>
        <v>Powder coating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177</v>
      </c>
      <c r="M979" s="538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247</v>
      </c>
      <c r="M980" s="538"/>
      <c r="N980" s="543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248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249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250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251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252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253</v>
      </c>
      <c r="D987" s="538"/>
      <c r="E987" s="289">
        <f>'BD Team'!B98</f>
        <v>0</v>
      </c>
      <c r="F987" s="288" t="s">
        <v>254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246</v>
      </c>
      <c r="M989" s="538"/>
      <c r="N989" s="540" t="str">
        <f>$F$6</f>
        <v>Powder coating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177</v>
      </c>
      <c r="M990" s="538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247</v>
      </c>
      <c r="M991" s="538"/>
      <c r="N991" s="543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248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249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250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251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252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253</v>
      </c>
      <c r="D998" s="538"/>
      <c r="E998" s="289">
        <f>'BD Team'!B99</f>
        <v>0</v>
      </c>
      <c r="F998" s="288" t="s">
        <v>254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246</v>
      </c>
      <c r="M1000" s="538"/>
      <c r="N1000" s="540" t="str">
        <f>$F$6</f>
        <v>Powder coating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177</v>
      </c>
      <c r="M1001" s="538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247</v>
      </c>
      <c r="M1002" s="538"/>
      <c r="N1002" s="543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248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249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250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251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252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253</v>
      </c>
      <c r="D1009" s="538"/>
      <c r="E1009" s="289">
        <f>'BD Team'!B100</f>
        <v>0</v>
      </c>
      <c r="F1009" s="288" t="s">
        <v>254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246</v>
      </c>
      <c r="M1011" s="538"/>
      <c r="N1011" s="540" t="str">
        <f>$F$6</f>
        <v>Powder coating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177</v>
      </c>
      <c r="M1012" s="538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247</v>
      </c>
      <c r="M1013" s="538"/>
      <c r="N1013" s="543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248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249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250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251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252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253</v>
      </c>
      <c r="D1020" s="538"/>
      <c r="E1020" s="289">
        <f>'BD Team'!B101</f>
        <v>0</v>
      </c>
      <c r="F1020" s="288" t="s">
        <v>254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246</v>
      </c>
      <c r="M1022" s="538"/>
      <c r="N1022" s="540" t="str">
        <f>$F$6</f>
        <v>Powder coating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177</v>
      </c>
      <c r="M1023" s="538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247</v>
      </c>
      <c r="M1024" s="538"/>
      <c r="N1024" s="543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248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249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250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251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252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253</v>
      </c>
      <c r="D1031" s="538"/>
      <c r="E1031" s="289">
        <f>'BD Team'!B102</f>
        <v>0</v>
      </c>
      <c r="F1031" s="288" t="s">
        <v>254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246</v>
      </c>
      <c r="M1033" s="538"/>
      <c r="N1033" s="540" t="str">
        <f>$F$6</f>
        <v>Powder coating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177</v>
      </c>
      <c r="M1034" s="538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247</v>
      </c>
      <c r="M1035" s="538"/>
      <c r="N1035" s="543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248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249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250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251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252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253</v>
      </c>
      <c r="D1042" s="538"/>
      <c r="E1042" s="289">
        <f>'BD Team'!B103</f>
        <v>0</v>
      </c>
      <c r="F1042" s="288" t="s">
        <v>254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246</v>
      </c>
      <c r="M1044" s="538"/>
      <c r="N1044" s="540" t="str">
        <f>$F$6</f>
        <v>Powder coating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177</v>
      </c>
      <c r="M1045" s="538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247</v>
      </c>
      <c r="M1046" s="538"/>
      <c r="N1046" s="543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248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249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250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251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252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253</v>
      </c>
      <c r="D1053" s="538"/>
      <c r="E1053" s="289">
        <f>'BD Team'!B104</f>
        <v>0</v>
      </c>
      <c r="F1053" s="288" t="s">
        <v>254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246</v>
      </c>
      <c r="M1055" s="538"/>
      <c r="N1055" s="540" t="str">
        <f>$F$6</f>
        <v>Powder coating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177</v>
      </c>
      <c r="M1056" s="538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247</v>
      </c>
      <c r="M1057" s="538"/>
      <c r="N1057" s="543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248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249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250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251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252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253</v>
      </c>
      <c r="D1064" s="538"/>
      <c r="E1064" s="289">
        <f>'BD Team'!B105</f>
        <v>0</v>
      </c>
      <c r="F1064" s="288" t="s">
        <v>254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246</v>
      </c>
      <c r="M1066" s="538"/>
      <c r="N1066" s="540" t="str">
        <f>$F$6</f>
        <v>Powder coating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177</v>
      </c>
      <c r="M1067" s="538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247</v>
      </c>
      <c r="M1068" s="538"/>
      <c r="N1068" s="543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248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249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250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251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252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253</v>
      </c>
      <c r="D1075" s="538"/>
      <c r="E1075" s="289">
        <f>'BD Team'!B106</f>
        <v>0</v>
      </c>
      <c r="F1075" s="288" t="s">
        <v>254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246</v>
      </c>
      <c r="M1077" s="538"/>
      <c r="N1077" s="540" t="str">
        <f>$F$6</f>
        <v>Powder coating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177</v>
      </c>
      <c r="M1078" s="538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247</v>
      </c>
      <c r="M1079" s="538"/>
      <c r="N1079" s="543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248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249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250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251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252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253</v>
      </c>
      <c r="D1086" s="538"/>
      <c r="E1086" s="289">
        <f>'BD Team'!B107</f>
        <v>0</v>
      </c>
      <c r="F1086" s="288" t="s">
        <v>254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246</v>
      </c>
      <c r="M1088" s="538"/>
      <c r="N1088" s="540" t="str">
        <f>$F$6</f>
        <v>Powder coating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177</v>
      </c>
      <c r="M1089" s="538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247</v>
      </c>
      <c r="M1090" s="538"/>
      <c r="N1090" s="543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248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249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250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251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252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253</v>
      </c>
      <c r="D1097" s="538"/>
      <c r="E1097" s="289">
        <f>'BD Team'!B108</f>
        <v>0</v>
      </c>
      <c r="F1097" s="288" t="s">
        <v>254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246</v>
      </c>
      <c r="M1099" s="538"/>
      <c r="N1099" s="540" t="str">
        <f>$F$6</f>
        <v>Powder coating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177</v>
      </c>
      <c r="M1100" s="538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247</v>
      </c>
      <c r="M1101" s="538"/>
      <c r="N1101" s="543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248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249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250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251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252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222</v>
      </c>
    </row>
    <row r="5" spans="3:5">
      <c r="C5" s="236" t="s">
        <v>395</v>
      </c>
      <c r="D5" s="236" t="s">
        <v>393</v>
      </c>
      <c r="E5" s="309">
        <f>ROUND(Pricing!U104,0.1)/40</f>
        <v>6.6749999999999998</v>
      </c>
    </row>
    <row r="6" spans="3:5">
      <c r="C6" s="236" t="s">
        <v>83</v>
      </c>
      <c r="D6" s="236" t="s">
        <v>392</v>
      </c>
      <c r="E6" s="309">
        <f>ROUND(Pricing!V104,0.1)</f>
        <v>14</v>
      </c>
    </row>
    <row r="7" spans="3:5">
      <c r="C7" s="236" t="s">
        <v>399</v>
      </c>
      <c r="D7" s="236" t="s">
        <v>391</v>
      </c>
      <c r="E7" s="309">
        <f>ROUND(Pricing!W104,0.1)</f>
        <v>222</v>
      </c>
    </row>
    <row r="8" spans="3:5">
      <c r="C8" s="236" t="s">
        <v>396</v>
      </c>
      <c r="D8" s="236" t="s">
        <v>391</v>
      </c>
      <c r="E8" s="309">
        <f>ROUND(Pricing!X104,0.1)</f>
        <v>445</v>
      </c>
    </row>
    <row r="9" spans="3:5">
      <c r="C9" t="s">
        <v>222</v>
      </c>
      <c r="D9" s="236" t="s">
        <v>394</v>
      </c>
      <c r="E9" s="309">
        <f>ROUND(Pricing!Y104,0.1)</f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8"/>
  <sheetViews>
    <sheetView workbookViewId="0">
      <selection activeCell="A9" sqref="A9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W</v>
      </c>
      <c r="B2" s="318" t="str">
        <f>'BD Team'!C9</f>
        <v>M900 &amp; M940</v>
      </c>
      <c r="C2" s="318" t="str">
        <f>'BD Team'!D9</f>
        <v>3 TRACK 2 SHUTTER SLIDING WINDOW WITH BOTTOM FIXED</v>
      </c>
      <c r="D2" s="318" t="str">
        <f>'BD Team'!E9</f>
        <v>6MM</v>
      </c>
      <c r="E2" s="318" t="str">
        <f>'BD Team'!G9</f>
        <v>GF - ENTRANCE FOYER</v>
      </c>
      <c r="F2" s="318" t="str">
        <f>'BD Team'!F9</f>
        <v>SS</v>
      </c>
      <c r="I2" s="318">
        <f>'BD Team'!H9</f>
        <v>1830</v>
      </c>
      <c r="J2" s="318">
        <f>'BD Team'!I9</f>
        <v>2032</v>
      </c>
      <c r="K2" s="318">
        <f>'BD Team'!J9</f>
        <v>1</v>
      </c>
      <c r="L2" s="319">
        <f>'BD Team'!K9</f>
        <v>203.54</v>
      </c>
      <c r="M2" s="318">
        <f>Pricing!O4</f>
        <v>1002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6MM</v>
      </c>
      <c r="E3" s="318" t="str">
        <f>'BD Team'!G10</f>
        <v>GF - MBR, 1F - KBR &amp; HOME THEATER</v>
      </c>
      <c r="F3" s="318" t="str">
        <f>'BD Team'!F10</f>
        <v>SS</v>
      </c>
      <c r="I3" s="318">
        <f>'BD Team'!H10</f>
        <v>1830</v>
      </c>
      <c r="J3" s="318">
        <f>'BD Team'!I10</f>
        <v>1372</v>
      </c>
      <c r="K3" s="318">
        <f>'BD Team'!J10</f>
        <v>3</v>
      </c>
      <c r="L3" s="319">
        <f>'BD Team'!K10</f>
        <v>140.4</v>
      </c>
      <c r="M3" s="318">
        <f>Pricing!O5</f>
        <v>1002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W2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6MM</v>
      </c>
      <c r="E4" s="318" t="str">
        <f>'BD Team'!G11</f>
        <v>2F - MBR</v>
      </c>
      <c r="F4" s="318" t="str">
        <f>'BD Team'!F11</f>
        <v>SS</v>
      </c>
      <c r="I4" s="318">
        <f>'BD Team'!H11</f>
        <v>1524</v>
      </c>
      <c r="J4" s="318">
        <f>'BD Team'!I11</f>
        <v>1372</v>
      </c>
      <c r="K4" s="318">
        <f>'BD Team'!J11</f>
        <v>2</v>
      </c>
      <c r="L4" s="319">
        <f>'BD Team'!K11</f>
        <v>134.76</v>
      </c>
      <c r="M4" s="318">
        <f>Pricing!O6</f>
        <v>1002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W3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6MM</v>
      </c>
      <c r="E5" s="318" t="str">
        <f>'BD Team'!G12</f>
        <v>1F - BR</v>
      </c>
      <c r="F5" s="318" t="str">
        <f>'BD Team'!F12</f>
        <v>SS</v>
      </c>
      <c r="I5" s="318">
        <f>'BD Team'!H12</f>
        <v>1524</v>
      </c>
      <c r="J5" s="318">
        <f>'BD Team'!I12</f>
        <v>1372</v>
      </c>
      <c r="K5" s="318">
        <f>'BD Team'!J12</f>
        <v>1</v>
      </c>
      <c r="L5" s="319">
        <f>'BD Team'!K12</f>
        <v>134.76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W4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6MM</v>
      </c>
      <c r="E6" s="318" t="str">
        <f>'BD Team'!G13</f>
        <v>GF - DGR &amp; 1F - STAIR</v>
      </c>
      <c r="F6" s="318" t="str">
        <f>'BD Team'!F13</f>
        <v>SS</v>
      </c>
      <c r="I6" s="318">
        <f>'BD Team'!H13</f>
        <v>916</v>
      </c>
      <c r="J6" s="318">
        <f>'BD Team'!I13</f>
        <v>1372</v>
      </c>
      <c r="K6" s="318">
        <f>'BD Team'!J13</f>
        <v>2</v>
      </c>
      <c r="L6" s="319">
        <f>'BD Team'!K13</f>
        <v>116.56</v>
      </c>
      <c r="M6" s="318">
        <f>Pricing!O8</f>
        <v>1002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V1</v>
      </c>
      <c r="B7" s="318" t="str">
        <f>'BD Team'!C14</f>
        <v>M940</v>
      </c>
      <c r="C7" s="318" t="str">
        <f>'BD Team'!D14</f>
        <v>FIXED GLASS</v>
      </c>
      <c r="D7" s="318" t="str">
        <f>'BD Team'!E14</f>
        <v>6MM (F)</v>
      </c>
      <c r="E7" s="318" t="str">
        <f>'BD Team'!G14</f>
        <v>TOILET</v>
      </c>
      <c r="F7" s="318" t="str">
        <f>'BD Team'!F14</f>
        <v>NO</v>
      </c>
      <c r="I7" s="318">
        <f>'BD Team'!H14</f>
        <v>610</v>
      </c>
      <c r="J7" s="318">
        <f>'BD Team'!I14</f>
        <v>916</v>
      </c>
      <c r="K7" s="318">
        <f>'BD Team'!J14</f>
        <v>1</v>
      </c>
      <c r="L7" s="319">
        <f>'BD Team'!K14</f>
        <v>32.880000000000003</v>
      </c>
      <c r="M7" s="318">
        <f>Pricing!O9</f>
        <v>2003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FG1</v>
      </c>
      <c r="B8" s="318" t="str">
        <f>'BD Team'!C15</f>
        <v>M940</v>
      </c>
      <c r="C8" s="318" t="str">
        <f>'BD Team'!D15</f>
        <v>FIXED GLASS 3 NO'S</v>
      </c>
      <c r="D8" s="318" t="str">
        <f>'BD Team'!E15</f>
        <v>6MM</v>
      </c>
      <c r="E8" s="318" t="str">
        <f>'BD Team'!G15</f>
        <v>GROUND FLOOR</v>
      </c>
      <c r="F8" s="318" t="str">
        <f>'BD Team'!F15</f>
        <v>NO</v>
      </c>
      <c r="I8" s="318">
        <f>'BD Team'!H15</f>
        <v>3048</v>
      </c>
      <c r="J8" s="318">
        <f>'BD Team'!I15</f>
        <v>2032</v>
      </c>
      <c r="K8" s="318">
        <f>'BD Team'!J15</f>
        <v>1</v>
      </c>
      <c r="L8" s="319">
        <f>'BD Team'!K15</f>
        <v>223.24</v>
      </c>
      <c r="M8" s="318">
        <f>Pricing!O10</f>
        <v>1002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D21" sqref="D2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424</v>
      </c>
      <c r="F2" s="137"/>
      <c r="G2" s="163"/>
      <c r="H2" s="331" t="s">
        <v>184</v>
      </c>
      <c r="I2" s="332"/>
      <c r="J2" s="165" t="s">
        <v>426</v>
      </c>
      <c r="K2" s="167"/>
      <c r="L2" s="104" t="s">
        <v>207</v>
      </c>
      <c r="M2" s="104" t="s">
        <v>380</v>
      </c>
    </row>
    <row r="3" spans="1:13" s="104" customFormat="1">
      <c r="A3" s="330" t="s">
        <v>127</v>
      </c>
      <c r="B3" s="330"/>
      <c r="C3" s="330"/>
      <c r="D3" s="330"/>
      <c r="E3" s="162" t="s">
        <v>422</v>
      </c>
      <c r="F3" s="136" t="s">
        <v>182</v>
      </c>
      <c r="G3" s="162" t="s">
        <v>425</v>
      </c>
      <c r="H3" s="331" t="s">
        <v>185</v>
      </c>
      <c r="I3" s="332"/>
      <c r="J3" s="166">
        <v>43732</v>
      </c>
      <c r="K3" s="167"/>
      <c r="L3" s="104" t="s">
        <v>257</v>
      </c>
      <c r="M3" s="104" t="s">
        <v>381</v>
      </c>
    </row>
    <row r="4" spans="1:13" s="104" customFormat="1" ht="18">
      <c r="A4" s="330" t="s">
        <v>168</v>
      </c>
      <c r="B4" s="330"/>
      <c r="C4" s="330"/>
      <c r="D4" s="330"/>
      <c r="E4" s="162" t="s">
        <v>415</v>
      </c>
      <c r="F4" s="135"/>
      <c r="G4" s="164"/>
      <c r="H4" s="331" t="s">
        <v>186</v>
      </c>
      <c r="I4" s="332"/>
      <c r="J4" s="165" t="s">
        <v>401</v>
      </c>
      <c r="K4" s="167"/>
      <c r="L4" s="104" t="s">
        <v>258</v>
      </c>
      <c r="M4" s="104" t="s">
        <v>382</v>
      </c>
    </row>
    <row r="5" spans="1:13" s="104" customFormat="1">
      <c r="A5" s="330" t="s">
        <v>176</v>
      </c>
      <c r="B5" s="330"/>
      <c r="C5" s="330"/>
      <c r="D5" s="330"/>
      <c r="E5" s="162" t="s">
        <v>423</v>
      </c>
      <c r="F5" s="136" t="s">
        <v>183</v>
      </c>
      <c r="G5" s="162" t="s">
        <v>260</v>
      </c>
      <c r="H5" s="331" t="s">
        <v>374</v>
      </c>
      <c r="I5" s="332"/>
      <c r="J5" s="165"/>
      <c r="K5" s="167"/>
      <c r="L5" s="104" t="s">
        <v>259</v>
      </c>
      <c r="M5" s="104" t="s">
        <v>383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401</v>
      </c>
    </row>
    <row r="9" spans="1:13" ht="20.100000000000001" customHeight="1">
      <c r="A9" s="113">
        <v>1</v>
      </c>
      <c r="B9" s="113" t="s">
        <v>32</v>
      </c>
      <c r="C9" s="113" t="s">
        <v>428</v>
      </c>
      <c r="D9" s="113" t="s">
        <v>429</v>
      </c>
      <c r="E9" s="113" t="s">
        <v>430</v>
      </c>
      <c r="F9" s="113" t="s">
        <v>431</v>
      </c>
      <c r="G9" s="113" t="s">
        <v>432</v>
      </c>
      <c r="H9" s="113">
        <v>1830</v>
      </c>
      <c r="I9" s="113">
        <v>2032</v>
      </c>
      <c r="J9" s="113">
        <v>1</v>
      </c>
      <c r="K9" s="123">
        <f>168.22+35.32</f>
        <v>203.54</v>
      </c>
    </row>
    <row r="10" spans="1:13" ht="20.100000000000001" customHeight="1">
      <c r="A10" s="113">
        <v>2</v>
      </c>
      <c r="B10" s="113" t="s">
        <v>427</v>
      </c>
      <c r="C10" s="113" t="s">
        <v>433</v>
      </c>
      <c r="D10" s="113" t="s">
        <v>434</v>
      </c>
      <c r="E10" s="113" t="s">
        <v>430</v>
      </c>
      <c r="F10" s="113" t="s">
        <v>431</v>
      </c>
      <c r="G10" s="113" t="s">
        <v>435</v>
      </c>
      <c r="H10" s="113">
        <v>1830</v>
      </c>
      <c r="I10" s="113">
        <v>1372</v>
      </c>
      <c r="J10" s="113">
        <v>3</v>
      </c>
      <c r="K10" s="123">
        <f>104.8+35.6</f>
        <v>140.4</v>
      </c>
      <c r="L10" s="47" t="s">
        <v>282</v>
      </c>
    </row>
    <row r="11" spans="1:13" ht="20.100000000000001" customHeight="1">
      <c r="A11" s="113">
        <v>3</v>
      </c>
      <c r="B11" s="113" t="s">
        <v>436</v>
      </c>
      <c r="C11" s="113" t="s">
        <v>433</v>
      </c>
      <c r="D11" s="113" t="s">
        <v>434</v>
      </c>
      <c r="E11" s="113" t="s">
        <v>430</v>
      </c>
      <c r="F11" s="113" t="s">
        <v>431</v>
      </c>
      <c r="G11" s="113" t="s">
        <v>437</v>
      </c>
      <c r="H11" s="113">
        <v>1524</v>
      </c>
      <c r="I11" s="113">
        <v>1372</v>
      </c>
      <c r="J11" s="113">
        <v>2</v>
      </c>
      <c r="K11" s="123">
        <f>99.16+35.6</f>
        <v>134.76</v>
      </c>
      <c r="L11" s="47" t="s">
        <v>281</v>
      </c>
    </row>
    <row r="12" spans="1:13" ht="20.100000000000001" customHeight="1">
      <c r="A12" s="113">
        <v>4</v>
      </c>
      <c r="B12" s="113" t="s">
        <v>438</v>
      </c>
      <c r="C12" s="113" t="s">
        <v>433</v>
      </c>
      <c r="D12" s="113" t="s">
        <v>434</v>
      </c>
      <c r="E12" s="113" t="s">
        <v>430</v>
      </c>
      <c r="F12" s="113" t="s">
        <v>431</v>
      </c>
      <c r="G12" s="113" t="s">
        <v>439</v>
      </c>
      <c r="H12" s="113">
        <v>1524</v>
      </c>
      <c r="I12" s="113">
        <v>1372</v>
      </c>
      <c r="J12" s="113">
        <v>1</v>
      </c>
      <c r="K12" s="123">
        <f>99.16+35.6</f>
        <v>134.76</v>
      </c>
      <c r="L12" s="47" t="s">
        <v>365</v>
      </c>
    </row>
    <row r="13" spans="1:13" ht="20.100000000000001" customHeight="1">
      <c r="A13" s="113">
        <v>5</v>
      </c>
      <c r="B13" s="113" t="s">
        <v>440</v>
      </c>
      <c r="C13" s="113" t="s">
        <v>433</v>
      </c>
      <c r="D13" s="113" t="s">
        <v>434</v>
      </c>
      <c r="E13" s="113" t="s">
        <v>430</v>
      </c>
      <c r="F13" s="113" t="s">
        <v>431</v>
      </c>
      <c r="G13" s="113" t="s">
        <v>441</v>
      </c>
      <c r="H13" s="113">
        <v>916</v>
      </c>
      <c r="I13" s="113">
        <v>1372</v>
      </c>
      <c r="J13" s="113">
        <v>2</v>
      </c>
      <c r="K13" s="123">
        <f>87.95+28.61</f>
        <v>116.56</v>
      </c>
      <c r="L13" s="47" t="s">
        <v>366</v>
      </c>
    </row>
    <row r="14" spans="1:13">
      <c r="A14" s="113">
        <v>6</v>
      </c>
      <c r="B14" s="113" t="s">
        <v>442</v>
      </c>
      <c r="C14" s="113" t="s">
        <v>443</v>
      </c>
      <c r="D14" s="113" t="s">
        <v>444</v>
      </c>
      <c r="E14" s="113" t="s">
        <v>445</v>
      </c>
      <c r="F14" s="113" t="s">
        <v>446</v>
      </c>
      <c r="G14" s="113" t="s">
        <v>447</v>
      </c>
      <c r="H14" s="113">
        <v>610</v>
      </c>
      <c r="I14" s="113">
        <v>916</v>
      </c>
      <c r="J14" s="113">
        <v>1</v>
      </c>
      <c r="K14" s="123">
        <v>32.880000000000003</v>
      </c>
      <c r="L14" s="47" t="s">
        <v>367</v>
      </c>
    </row>
    <row r="15" spans="1:13" ht="20.100000000000001" customHeight="1">
      <c r="A15" s="113">
        <v>7</v>
      </c>
      <c r="B15" s="113" t="s">
        <v>448</v>
      </c>
      <c r="C15" s="113" t="s">
        <v>443</v>
      </c>
      <c r="D15" s="113" t="s">
        <v>449</v>
      </c>
      <c r="E15" s="113" t="s">
        <v>430</v>
      </c>
      <c r="F15" s="113" t="s">
        <v>446</v>
      </c>
      <c r="G15" s="113" t="s">
        <v>450</v>
      </c>
      <c r="H15" s="113">
        <v>3048</v>
      </c>
      <c r="I15" s="113">
        <v>2032</v>
      </c>
      <c r="J15" s="113">
        <v>1</v>
      </c>
      <c r="K15" s="123">
        <v>223.24</v>
      </c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415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416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20" sqref="Q2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M900 &amp; M940</v>
      </c>
      <c r="D4" s="118" t="str">
        <f>'BD Team'!D9</f>
        <v>3 TRACK 2 SHUTTER SLIDING WINDOW WITH BOTTOM FIXED</v>
      </c>
      <c r="E4" s="118" t="str">
        <f>'BD Team'!F9</f>
        <v>SS</v>
      </c>
      <c r="F4" s="121" t="str">
        <f>'BD Team'!G9</f>
        <v>GF - ENTRANCE FOYER</v>
      </c>
      <c r="G4" s="118">
        <f>'BD Team'!H9</f>
        <v>1830</v>
      </c>
      <c r="H4" s="118">
        <f>'BD Team'!I9</f>
        <v>2032</v>
      </c>
      <c r="I4" s="118">
        <f>'BD Team'!J9</f>
        <v>1</v>
      </c>
      <c r="J4" s="103">
        <f t="shared" ref="J4:J53" si="0">G4*H4*I4*10.764/1000000</f>
        <v>40.026579839999997</v>
      </c>
      <c r="K4" s="172">
        <f>'BD Team'!K9</f>
        <v>203.54</v>
      </c>
      <c r="L4" s="171">
        <f>K4*I4</f>
        <v>203.54</v>
      </c>
      <c r="M4" s="170">
        <f>L4*'Changable Values'!$D$4</f>
        <v>16893.82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312"/>
      <c r="T4" s="313">
        <f>(G4+H4)*I4*2/300</f>
        <v>25.746666666666666</v>
      </c>
      <c r="U4" s="313">
        <f>SUM(G4:H4)*I4*2*4/1000</f>
        <v>30.896000000000001</v>
      </c>
      <c r="V4" s="313">
        <f>SUM(G4:H4)*I4*5*5*4/(1000*240)</f>
        <v>1.6091666666666666</v>
      </c>
      <c r="W4" s="313">
        <f>T4</f>
        <v>25.746666666666666</v>
      </c>
      <c r="X4" s="313">
        <f>W4*2</f>
        <v>51.493333333333332</v>
      </c>
      <c r="Y4" s="313">
        <f>SUM(G4:H4)*I4*4/1000</f>
        <v>15.448</v>
      </c>
    </row>
    <row r="5" spans="1:25" ht="28.5">
      <c r="A5" s="118">
        <f>'BD Team'!A10</f>
        <v>2</v>
      </c>
      <c r="B5" s="118" t="str">
        <f>'BD Team'!B10</f>
        <v>W1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MBR, 1F - KBR &amp; HOME THEATER</v>
      </c>
      <c r="G5" s="118">
        <f>'BD Team'!H10</f>
        <v>1830</v>
      </c>
      <c r="H5" s="118">
        <f>'BD Team'!I10</f>
        <v>1372</v>
      </c>
      <c r="I5" s="118">
        <f>'BD Team'!J10</f>
        <v>3</v>
      </c>
      <c r="J5" s="103">
        <f t="shared" si="0"/>
        <v>81.077461920000005</v>
      </c>
      <c r="K5" s="172">
        <f>'BD Team'!K10</f>
        <v>140.4</v>
      </c>
      <c r="L5" s="171">
        <f t="shared" ref="L5:L53" si="1">K5*I5</f>
        <v>421.20000000000005</v>
      </c>
      <c r="M5" s="170">
        <f>L5*'Changable Values'!$D$4</f>
        <v>34959.600000000006</v>
      </c>
      <c r="N5" s="170" t="str">
        <f>'BD Team'!E10</f>
        <v>6MM</v>
      </c>
      <c r="O5" s="172">
        <v>1002</v>
      </c>
      <c r="P5" s="241"/>
      <c r="Q5" s="173">
        <f t="shared" ref="Q5:Q8" si="2">50*10.764</f>
        <v>538.19999999999993</v>
      </c>
      <c r="R5" s="185"/>
      <c r="S5" s="312"/>
      <c r="T5" s="313">
        <f t="shared" ref="T5:T68" si="3">(G5+H5)*I5*2/300</f>
        <v>64.040000000000006</v>
      </c>
      <c r="U5" s="313">
        <f t="shared" ref="U5:U68" si="4">SUM(G5:H5)*I5*2*4/1000</f>
        <v>76.847999999999999</v>
      </c>
      <c r="V5" s="313">
        <f t="shared" ref="V5:V68" si="5">SUM(G5:H5)*I5*5*5*4/(1000*240)</f>
        <v>4.0025000000000004</v>
      </c>
      <c r="W5" s="313">
        <f t="shared" ref="W5:W68" si="6">T5</f>
        <v>64.040000000000006</v>
      </c>
      <c r="X5" s="313">
        <f t="shared" ref="X5:X68" si="7">W5*2</f>
        <v>128.08000000000001</v>
      </c>
      <c r="Y5" s="313">
        <f t="shared" ref="Y5:Y68" si="8">SUM(G5:H5)*I5*4/1000</f>
        <v>38.423999999999999</v>
      </c>
    </row>
    <row r="6" spans="1:25">
      <c r="A6" s="118">
        <f>'BD Team'!A11</f>
        <v>3</v>
      </c>
      <c r="B6" s="118" t="str">
        <f>'BD Team'!B11</f>
        <v>W2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2F - MBR</v>
      </c>
      <c r="G6" s="118">
        <f>'BD Team'!H11</f>
        <v>1524</v>
      </c>
      <c r="H6" s="118">
        <f>'BD Team'!I11</f>
        <v>1372</v>
      </c>
      <c r="I6" s="118">
        <f>'BD Team'!J11</f>
        <v>2</v>
      </c>
      <c r="J6" s="103">
        <f t="shared" si="0"/>
        <v>45.013497983999997</v>
      </c>
      <c r="K6" s="172">
        <f>'BD Team'!K11</f>
        <v>134.76</v>
      </c>
      <c r="L6" s="171">
        <f t="shared" si="1"/>
        <v>269.52</v>
      </c>
      <c r="M6" s="170">
        <f>L6*'Changable Values'!$D$4</f>
        <v>22370.16</v>
      </c>
      <c r="N6" s="170" t="str">
        <f>'BD Team'!E11</f>
        <v>6MM</v>
      </c>
      <c r="O6" s="172">
        <v>1002</v>
      </c>
      <c r="P6" s="241"/>
      <c r="Q6" s="173">
        <f t="shared" si="2"/>
        <v>538.19999999999993</v>
      </c>
      <c r="R6" s="185"/>
      <c r="S6" s="312"/>
      <c r="T6" s="313">
        <f t="shared" si="3"/>
        <v>38.613333333333337</v>
      </c>
      <c r="U6" s="313">
        <f t="shared" si="4"/>
        <v>46.335999999999999</v>
      </c>
      <c r="V6" s="313">
        <f t="shared" si="5"/>
        <v>2.4133333333333336</v>
      </c>
      <c r="W6" s="313">
        <f t="shared" si="6"/>
        <v>38.613333333333337</v>
      </c>
      <c r="X6" s="313">
        <f t="shared" si="7"/>
        <v>77.226666666666674</v>
      </c>
      <c r="Y6" s="313">
        <f t="shared" si="8"/>
        <v>23.167999999999999</v>
      </c>
    </row>
    <row r="7" spans="1:25">
      <c r="A7" s="118">
        <f>'BD Team'!A12</f>
        <v>4</v>
      </c>
      <c r="B7" s="118" t="str">
        <f>'BD Team'!B12</f>
        <v>W3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1F - BR</v>
      </c>
      <c r="G7" s="118">
        <f>'BD Team'!H12</f>
        <v>1524</v>
      </c>
      <c r="H7" s="118">
        <f>'BD Team'!I12</f>
        <v>1372</v>
      </c>
      <c r="I7" s="118">
        <f>'BD Team'!J12</f>
        <v>1</v>
      </c>
      <c r="J7" s="103">
        <f t="shared" si="0"/>
        <v>22.506748991999999</v>
      </c>
      <c r="K7" s="172">
        <f>'BD Team'!K12</f>
        <v>134.76</v>
      </c>
      <c r="L7" s="171">
        <f t="shared" si="1"/>
        <v>134.76</v>
      </c>
      <c r="M7" s="170">
        <f>L7*'Changable Values'!$D$4</f>
        <v>11185.08</v>
      </c>
      <c r="N7" s="170" t="str">
        <f>'BD Team'!E12</f>
        <v>6MM</v>
      </c>
      <c r="O7" s="172">
        <v>1002</v>
      </c>
      <c r="P7" s="241"/>
      <c r="Q7" s="173">
        <f t="shared" si="2"/>
        <v>538.19999999999993</v>
      </c>
      <c r="R7" s="185"/>
      <c r="S7" s="312"/>
      <c r="T7" s="313">
        <f t="shared" si="3"/>
        <v>19.306666666666668</v>
      </c>
      <c r="U7" s="313">
        <f t="shared" si="4"/>
        <v>23.167999999999999</v>
      </c>
      <c r="V7" s="313">
        <f t="shared" si="5"/>
        <v>1.2066666666666668</v>
      </c>
      <c r="W7" s="313">
        <f t="shared" si="6"/>
        <v>19.306666666666668</v>
      </c>
      <c r="X7" s="313">
        <f t="shared" si="7"/>
        <v>38.613333333333337</v>
      </c>
      <c r="Y7" s="313">
        <f t="shared" si="8"/>
        <v>11.584</v>
      </c>
    </row>
    <row r="8" spans="1:25">
      <c r="A8" s="118">
        <f>'BD Team'!A13</f>
        <v>5</v>
      </c>
      <c r="B8" s="118" t="str">
        <f>'BD Team'!B13</f>
        <v>W4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GF - DGR &amp; 1F - STAIR</v>
      </c>
      <c r="G8" s="118">
        <f>'BD Team'!H13</f>
        <v>916</v>
      </c>
      <c r="H8" s="118">
        <f>'BD Team'!I13</f>
        <v>1372</v>
      </c>
      <c r="I8" s="118">
        <f>'BD Team'!J13</f>
        <v>2</v>
      </c>
      <c r="J8" s="103">
        <f t="shared" si="0"/>
        <v>27.055357055999998</v>
      </c>
      <c r="K8" s="172">
        <f>'BD Team'!K13</f>
        <v>116.56</v>
      </c>
      <c r="L8" s="171">
        <f t="shared" si="1"/>
        <v>233.12</v>
      </c>
      <c r="M8" s="170">
        <f>L8*'Changable Values'!$D$4</f>
        <v>19348.96</v>
      </c>
      <c r="N8" s="170" t="str">
        <f>'BD Team'!E13</f>
        <v>6MM</v>
      </c>
      <c r="O8" s="172">
        <v>1002</v>
      </c>
      <c r="P8" s="241"/>
      <c r="Q8" s="173">
        <f t="shared" si="2"/>
        <v>538.19999999999993</v>
      </c>
      <c r="R8" s="185"/>
      <c r="S8" s="312"/>
      <c r="T8" s="313">
        <f t="shared" si="3"/>
        <v>30.506666666666668</v>
      </c>
      <c r="U8" s="313">
        <f t="shared" si="4"/>
        <v>36.607999999999997</v>
      </c>
      <c r="V8" s="313">
        <f t="shared" si="5"/>
        <v>1.9066666666666667</v>
      </c>
      <c r="W8" s="313">
        <f t="shared" si="6"/>
        <v>30.506666666666668</v>
      </c>
      <c r="X8" s="313">
        <f t="shared" si="7"/>
        <v>61.013333333333335</v>
      </c>
      <c r="Y8" s="313">
        <f t="shared" si="8"/>
        <v>18.303999999999998</v>
      </c>
    </row>
    <row r="9" spans="1:25">
      <c r="A9" s="118">
        <f>'BD Team'!A14</f>
        <v>6</v>
      </c>
      <c r="B9" s="118" t="str">
        <f>'BD Team'!B14</f>
        <v>V1</v>
      </c>
      <c r="C9" s="118" t="str">
        <f>'BD Team'!C14</f>
        <v>M940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TOILET</v>
      </c>
      <c r="G9" s="118">
        <f>'BD Team'!H14</f>
        <v>610</v>
      </c>
      <c r="H9" s="118">
        <f>'BD Team'!I14</f>
        <v>916</v>
      </c>
      <c r="I9" s="118">
        <f>'BD Team'!J14</f>
        <v>1</v>
      </c>
      <c r="J9" s="103">
        <f t="shared" si="0"/>
        <v>6.0144926399999994</v>
      </c>
      <c r="K9" s="172">
        <f>'BD Team'!K14</f>
        <v>32.880000000000003</v>
      </c>
      <c r="L9" s="171">
        <f t="shared" si="1"/>
        <v>32.880000000000003</v>
      </c>
      <c r="M9" s="170">
        <f>L9*'Changable Values'!$D$4</f>
        <v>2729.0400000000004</v>
      </c>
      <c r="N9" s="170" t="str">
        <f>'BD Team'!E14</f>
        <v>6MM (F)</v>
      </c>
      <c r="O9" s="172">
        <v>2003</v>
      </c>
      <c r="P9" s="241"/>
      <c r="Q9" s="173"/>
      <c r="R9" s="185"/>
      <c r="S9" s="312"/>
      <c r="T9" s="313">
        <f t="shared" si="3"/>
        <v>10.173333333333334</v>
      </c>
      <c r="U9" s="313">
        <f t="shared" si="4"/>
        <v>12.208</v>
      </c>
      <c r="V9" s="313">
        <f t="shared" si="5"/>
        <v>0.63583333333333336</v>
      </c>
      <c r="W9" s="313">
        <f t="shared" si="6"/>
        <v>10.173333333333334</v>
      </c>
      <c r="X9" s="313">
        <f t="shared" si="7"/>
        <v>20.346666666666668</v>
      </c>
      <c r="Y9" s="313">
        <f t="shared" si="8"/>
        <v>6.1040000000000001</v>
      </c>
    </row>
    <row r="10" spans="1:25">
      <c r="A10" s="118">
        <f>'BD Team'!A15</f>
        <v>7</v>
      </c>
      <c r="B10" s="118" t="str">
        <f>'BD Team'!B15</f>
        <v>FG1</v>
      </c>
      <c r="C10" s="118" t="str">
        <f>'BD Team'!C15</f>
        <v>M940</v>
      </c>
      <c r="D10" s="118" t="str">
        <f>'BD Team'!D15</f>
        <v>FIXED GLASS 3 NO'S</v>
      </c>
      <c r="E10" s="118" t="str">
        <f>'BD Team'!F15</f>
        <v>NO</v>
      </c>
      <c r="F10" s="121" t="str">
        <f>'BD Team'!G15</f>
        <v>GROUND FLOOR</v>
      </c>
      <c r="G10" s="118">
        <f>'BD Team'!H15</f>
        <v>3048</v>
      </c>
      <c r="H10" s="118">
        <f>'BD Team'!I15</f>
        <v>2032</v>
      </c>
      <c r="I10" s="118">
        <f>'BD Team'!J15</f>
        <v>1</v>
      </c>
      <c r="J10" s="103">
        <f t="shared" si="0"/>
        <v>66.667221503999997</v>
      </c>
      <c r="K10" s="172">
        <f>'BD Team'!K15</f>
        <v>223.24</v>
      </c>
      <c r="L10" s="171">
        <f t="shared" si="1"/>
        <v>223.24</v>
      </c>
      <c r="M10" s="170">
        <f>L10*'Changable Values'!$D$4</f>
        <v>18528.920000000002</v>
      </c>
      <c r="N10" s="170" t="str">
        <f>'BD Team'!E15</f>
        <v>6MM</v>
      </c>
      <c r="O10" s="172">
        <v>1002</v>
      </c>
      <c r="P10" s="241"/>
      <c r="Q10" s="173"/>
      <c r="R10" s="185"/>
      <c r="S10" s="312"/>
      <c r="T10" s="313">
        <f t="shared" si="3"/>
        <v>33.866666666666667</v>
      </c>
      <c r="U10" s="313">
        <f t="shared" si="4"/>
        <v>40.64</v>
      </c>
      <c r="V10" s="313">
        <f t="shared" si="5"/>
        <v>2.1166666666666667</v>
      </c>
      <c r="W10" s="313">
        <f t="shared" si="6"/>
        <v>33.866666666666667</v>
      </c>
      <c r="X10" s="313">
        <f t="shared" si="7"/>
        <v>67.733333333333334</v>
      </c>
      <c r="Y10" s="313">
        <f t="shared" si="8"/>
        <v>20.32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3"/>
        <v>0</v>
      </c>
      <c r="U11" s="313">
        <f t="shared" si="4"/>
        <v>0</v>
      </c>
      <c r="V11" s="313">
        <f t="shared" si="5"/>
        <v>0</v>
      </c>
      <c r="W11" s="313">
        <f t="shared" si="6"/>
        <v>0</v>
      </c>
      <c r="X11" s="313">
        <f t="shared" si="7"/>
        <v>0</v>
      </c>
      <c r="Y11" s="313">
        <f t="shared" si="8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986.14</v>
      </c>
      <c r="L104" s="168">
        <f>SUM(L4:L103)</f>
        <v>1518.26</v>
      </c>
      <c r="M104" s="168">
        <f>SUM(M4:M103)</f>
        <v>126015.57999999999</v>
      </c>
      <c r="T104" s="314">
        <f t="shared" ref="T104:Y104" si="17">SUM(T4:T103)</f>
        <v>222.25333333333336</v>
      </c>
      <c r="U104" s="314">
        <f t="shared" si="17"/>
        <v>266.70400000000001</v>
      </c>
      <c r="V104" s="314">
        <f t="shared" si="17"/>
        <v>13.890833333333335</v>
      </c>
      <c r="W104" s="314">
        <f t="shared" si="17"/>
        <v>222.25333333333336</v>
      </c>
      <c r="X104" s="314">
        <f t="shared" si="17"/>
        <v>444.50666666666672</v>
      </c>
      <c r="Y104" s="314">
        <f t="shared" si="17"/>
        <v>133.352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I91" sqref="I91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2938.3199999999997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2200</v>
      </c>
      <c r="D4" s="255">
        <f>C4*D3</f>
        <v>50.6</v>
      </c>
      <c r="E4" s="255">
        <f>C4*E3</f>
        <v>88</v>
      </c>
      <c r="F4" s="255">
        <f>C4*F3</f>
        <v>110</v>
      </c>
      <c r="G4" s="255">
        <f>C4+D4+E4+F4</f>
        <v>2448.6</v>
      </c>
      <c r="H4" s="255">
        <f>G4*H3</f>
        <v>489.72</v>
      </c>
      <c r="I4" s="255">
        <f>G4+H4</f>
        <v>2938.3199999999997</v>
      </c>
      <c r="J4" s="255">
        <f>I4*J3</f>
        <v>0</v>
      </c>
      <c r="K4" s="255">
        <f>I4+J4</f>
        <v>2938.3199999999997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2200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 WITH BOTTOM FIXED</v>
      </c>
      <c r="D8" s="131" t="str">
        <f>Pricing!B4</f>
        <v>W</v>
      </c>
      <c r="E8" s="132" t="str">
        <f>Pricing!N4</f>
        <v>6MM</v>
      </c>
      <c r="F8" s="68">
        <f>Pricing!G4</f>
        <v>1830</v>
      </c>
      <c r="G8" s="68">
        <f>Pricing!H4</f>
        <v>2032</v>
      </c>
      <c r="H8" s="100">
        <f t="shared" ref="H8:H57" si="0">(F8*G8)/1000000</f>
        <v>3.7185600000000001</v>
      </c>
      <c r="I8" s="70">
        <f>Pricing!I4</f>
        <v>1</v>
      </c>
      <c r="J8" s="69">
        <f t="shared" ref="J8" si="1">H8*I8</f>
        <v>3.7185600000000001</v>
      </c>
      <c r="K8" s="71">
        <f t="shared" ref="K8" si="2">J8*10.764</f>
        <v>40.026579839999997</v>
      </c>
      <c r="L8" s="69"/>
      <c r="M8" s="72"/>
      <c r="N8" s="72"/>
      <c r="O8" s="72">
        <f t="shared" ref="O8:O35" si="3">N8*M8*L8/1000000</f>
        <v>0</v>
      </c>
      <c r="P8" s="73">
        <f>Pricing!M4</f>
        <v>16893.82</v>
      </c>
      <c r="Q8" s="74">
        <f t="shared" ref="Q8:Q56" si="4">P8*$Q$6</f>
        <v>1689.3820000000001</v>
      </c>
      <c r="R8" s="74">
        <f t="shared" ref="R8:R56" si="5">(P8+Q8)*$R$6</f>
        <v>2044.1522200000002</v>
      </c>
      <c r="S8" s="74">
        <f t="shared" ref="S8:S56" si="6">(P8+Q8+R8)*$S$6</f>
        <v>103.1367711</v>
      </c>
      <c r="T8" s="74">
        <f t="shared" ref="T8:T56" si="7">(P8+Q8+R8+S8)*$T$6</f>
        <v>207.30490991100001</v>
      </c>
      <c r="U8" s="72">
        <f t="shared" ref="U8:U56" si="8">SUM(P8:T8)</f>
        <v>20937.795901010999</v>
      </c>
      <c r="V8" s="74">
        <f t="shared" ref="V8:V56" si="9">U8*$V$6</f>
        <v>314.06693851516496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3725.99712</v>
      </c>
      <c r="AE8" s="76">
        <f>((((F8+G8)*2)/305)*I8*$AE$7)</f>
        <v>633.11475409836066</v>
      </c>
      <c r="AF8" s="342">
        <f>(((((F8*4)+(G8*4))/1000)*$AF$6*$AG$6)/300)*I8*$AF$7</f>
        <v>648.81600000000003</v>
      </c>
      <c r="AG8" s="343"/>
      <c r="AH8" s="76">
        <f>(((F8+G8))*I8/1000)*8*$AH$7</f>
        <v>23.172000000000001</v>
      </c>
      <c r="AI8" s="76">
        <f t="shared" ref="AI8:AI57" si="15">(((F8+G8)*2*I8)/1000)*2*$AI$7</f>
        <v>77.240000000000009</v>
      </c>
      <c r="AJ8" s="76">
        <f>J8*Pricing!Q4</f>
        <v>2001.3289919999997</v>
      </c>
      <c r="AK8" s="76">
        <f>J8*Pricing!R4</f>
        <v>0</v>
      </c>
      <c r="AL8" s="76">
        <f t="shared" ref="AL8:AL39" si="16">J8*$AL$6</f>
        <v>4002.6579839999995</v>
      </c>
      <c r="AM8" s="77">
        <f t="shared" ref="AM8:AM39" si="17">$AM$6*J8</f>
        <v>0</v>
      </c>
      <c r="AN8" s="76">
        <f t="shared" ref="AN8:AN39" si="18">$AN$6*J8</f>
        <v>4002.6579839999995</v>
      </c>
      <c r="AO8" s="72">
        <f t="shared" ref="AO8:AO39" si="19">SUM(U8:V8)+SUM(AC8:AI8)-AD8</f>
        <v>22634.205593624523</v>
      </c>
      <c r="AP8" s="74">
        <f t="shared" ref="AP8:AP39" si="20">AO8*$AP$6</f>
        <v>28292.756992030656</v>
      </c>
      <c r="AQ8" s="74">
        <f t="shared" ref="AQ8:AQ56" si="21">(AO8+AP8)*$AQ$6</f>
        <v>0</v>
      </c>
      <c r="AR8" s="74">
        <f t="shared" ref="AR8:AR39" si="22">SUM(AO8:AQ8)/J8</f>
        <v>13695.345129742474</v>
      </c>
      <c r="AS8" s="72">
        <f t="shared" ref="AS8:AS39" si="23">SUM(AJ8:AQ8)+AD8+AB8</f>
        <v>64659.604665655177</v>
      </c>
      <c r="AT8" s="72">
        <f t="shared" ref="AT8:AT39" si="24">AS8/J8</f>
        <v>17388.345129742473</v>
      </c>
      <c r="AU8" s="78">
        <f t="shared" ref="AU8:AU56" si="25">AT8/10.764</f>
        <v>1615.4166787200365</v>
      </c>
      <c r="AV8" s="79">
        <f t="shared" ref="AV8:AV39" si="26">K8/$K$109</f>
        <v>0.13880701578354204</v>
      </c>
      <c r="AW8" s="80">
        <f t="shared" ref="AW8:AW39" si="27">(U8+V8)/(J8*10.764)</f>
        <v>530.94376098275609</v>
      </c>
      <c r="AX8" s="81">
        <f t="shared" ref="AX8:AX39" si="28">SUM(W8:AN8,AP8)/(J8*10.764)</f>
        <v>1084.4729177372808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W1</v>
      </c>
      <c r="E9" s="132" t="str">
        <f>Pricing!N5</f>
        <v>6MM</v>
      </c>
      <c r="F9" s="68">
        <f>Pricing!G5</f>
        <v>1830</v>
      </c>
      <c r="G9" s="68">
        <f>Pricing!H5</f>
        <v>1372</v>
      </c>
      <c r="H9" s="100">
        <f t="shared" si="0"/>
        <v>2.5107599999999999</v>
      </c>
      <c r="I9" s="70">
        <f>Pricing!I5</f>
        <v>3</v>
      </c>
      <c r="J9" s="69">
        <f t="shared" ref="J9:J58" si="30">H9*I9</f>
        <v>7.5322800000000001</v>
      </c>
      <c r="K9" s="71">
        <f t="shared" ref="K9:K58" si="31">J9*10.764</f>
        <v>81.07746191999999</v>
      </c>
      <c r="L9" s="69"/>
      <c r="M9" s="72"/>
      <c r="N9" s="72"/>
      <c r="O9" s="72">
        <f t="shared" si="3"/>
        <v>0</v>
      </c>
      <c r="P9" s="73">
        <f>Pricing!M5</f>
        <v>34959.600000000006</v>
      </c>
      <c r="Q9" s="74">
        <f t="shared" ref="Q9:Q14" si="32">P9*$Q$6</f>
        <v>3495.9600000000009</v>
      </c>
      <c r="R9" s="74">
        <f t="shared" ref="R9:R14" si="33">(P9+Q9)*$R$6</f>
        <v>4230.1116000000002</v>
      </c>
      <c r="S9" s="74">
        <f t="shared" ref="S9:S14" si="34">(P9+Q9+R9)*$S$6</f>
        <v>213.428358</v>
      </c>
      <c r="T9" s="74">
        <f t="shared" ref="T9:T14" si="35">(P9+Q9+R9+S9)*$T$6</f>
        <v>428.99099957999999</v>
      </c>
      <c r="U9" s="72">
        <f t="shared" ref="U9:U14" si="36">SUM(P9:T9)</f>
        <v>43328.090957579996</v>
      </c>
      <c r="V9" s="74">
        <f t="shared" ref="V9:V14" si="37">U9*$V$6</f>
        <v>649.92136436369992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7547.3445600000005</v>
      </c>
      <c r="AE9" s="76">
        <f t="shared" ref="AE9:AE57" si="43">((((F9+G9)*2)/305)*I9*$AE$7)</f>
        <v>1574.7540983606555</v>
      </c>
      <c r="AF9" s="342">
        <f t="shared" ref="AF9:AF57" si="44">(((((F9*4)+(G9*4))/1000)*$AF$6*$AG$6)/300)*I9*$AF$7</f>
        <v>1613.808</v>
      </c>
      <c r="AG9" s="343"/>
      <c r="AH9" s="76">
        <f t="shared" ref="AH9:AH72" si="45">(((F9+G9))*I9/1000)*8*$AH$7</f>
        <v>57.635999999999996</v>
      </c>
      <c r="AI9" s="76">
        <f t="shared" si="15"/>
        <v>192.12</v>
      </c>
      <c r="AJ9" s="76">
        <f>J9*Pricing!Q5</f>
        <v>4053.8730959999994</v>
      </c>
      <c r="AK9" s="76">
        <f>J9*Pricing!R5</f>
        <v>0</v>
      </c>
      <c r="AL9" s="76">
        <f t="shared" si="16"/>
        <v>8107.7461919999987</v>
      </c>
      <c r="AM9" s="77">
        <f t="shared" si="17"/>
        <v>0</v>
      </c>
      <c r="AN9" s="76">
        <f t="shared" si="18"/>
        <v>8107.7461919999987</v>
      </c>
      <c r="AO9" s="72">
        <f t="shared" si="19"/>
        <v>47416.330420304352</v>
      </c>
      <c r="AP9" s="74">
        <f t="shared" si="20"/>
        <v>59270.41302538044</v>
      </c>
      <c r="AQ9" s="74">
        <f t="shared" ref="AQ9:AQ14" si="46">(AO9+AP9)*$AQ$6</f>
        <v>0</v>
      </c>
      <c r="AR9" s="74">
        <f t="shared" si="22"/>
        <v>14163.937538923776</v>
      </c>
      <c r="AS9" s="72">
        <f t="shared" si="23"/>
        <v>134503.45348568479</v>
      </c>
      <c r="AT9" s="72">
        <f t="shared" si="24"/>
        <v>17856.937538923776</v>
      </c>
      <c r="AU9" s="78">
        <f t="shared" ref="AU9:AU14" si="47">AT9/10.764</f>
        <v>1658.9499757454271</v>
      </c>
      <c r="AV9" s="79">
        <f t="shared" si="26"/>
        <v>0.28116617960878887</v>
      </c>
      <c r="AW9" s="80">
        <f t="shared" si="27"/>
        <v>542.41969692313842</v>
      </c>
      <c r="AX9" s="81">
        <f t="shared" si="28"/>
        <v>1116.5302788222889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W2</v>
      </c>
      <c r="E10" s="132" t="str">
        <f>Pricing!N6</f>
        <v>6MM</v>
      </c>
      <c r="F10" s="68">
        <f>Pricing!G6</f>
        <v>1524</v>
      </c>
      <c r="G10" s="68">
        <f>Pricing!H6</f>
        <v>1372</v>
      </c>
      <c r="H10" s="100">
        <f t="shared" si="0"/>
        <v>2.0909279999999999</v>
      </c>
      <c r="I10" s="70">
        <f>Pricing!I6</f>
        <v>2</v>
      </c>
      <c r="J10" s="69">
        <f t="shared" si="30"/>
        <v>4.1818559999999998</v>
      </c>
      <c r="K10" s="71">
        <f t="shared" si="31"/>
        <v>45.013497983999997</v>
      </c>
      <c r="L10" s="69"/>
      <c r="M10" s="72"/>
      <c r="N10" s="72"/>
      <c r="O10" s="72">
        <f t="shared" si="3"/>
        <v>0</v>
      </c>
      <c r="P10" s="73">
        <f>Pricing!M6</f>
        <v>22370.16</v>
      </c>
      <c r="Q10" s="74">
        <f t="shared" si="32"/>
        <v>2237.0160000000001</v>
      </c>
      <c r="R10" s="74">
        <f t="shared" si="33"/>
        <v>2706.7893599999998</v>
      </c>
      <c r="S10" s="74">
        <f t="shared" si="34"/>
        <v>136.56982679999999</v>
      </c>
      <c r="T10" s="74">
        <f t="shared" si="35"/>
        <v>274.50535186799999</v>
      </c>
      <c r="U10" s="72">
        <f t="shared" si="36"/>
        <v>27725.040538667999</v>
      </c>
      <c r="V10" s="74">
        <f t="shared" si="37"/>
        <v>415.87560808001996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4190.2197120000001</v>
      </c>
      <c r="AE10" s="76">
        <f t="shared" si="43"/>
        <v>949.50819672131138</v>
      </c>
      <c r="AF10" s="342">
        <f t="shared" si="44"/>
        <v>973.05599999999981</v>
      </c>
      <c r="AG10" s="343"/>
      <c r="AH10" s="76">
        <f t="shared" si="45"/>
        <v>34.751999999999995</v>
      </c>
      <c r="AI10" s="76">
        <f t="shared" si="15"/>
        <v>115.84</v>
      </c>
      <c r="AJ10" s="76">
        <f>J10*Pricing!Q6</f>
        <v>2250.6748991999998</v>
      </c>
      <c r="AK10" s="76">
        <f>J10*Pricing!R6</f>
        <v>0</v>
      </c>
      <c r="AL10" s="76">
        <f t="shared" si="16"/>
        <v>4501.3497983999996</v>
      </c>
      <c r="AM10" s="77">
        <f t="shared" si="17"/>
        <v>0</v>
      </c>
      <c r="AN10" s="76">
        <f t="shared" si="18"/>
        <v>4501.3497983999996</v>
      </c>
      <c r="AO10" s="72">
        <f t="shared" si="19"/>
        <v>30214.072343469335</v>
      </c>
      <c r="AP10" s="74">
        <f t="shared" si="20"/>
        <v>37767.590429336669</v>
      </c>
      <c r="AQ10" s="74">
        <f t="shared" si="46"/>
        <v>0</v>
      </c>
      <c r="AR10" s="74">
        <f t="shared" si="22"/>
        <v>16256.337562270441</v>
      </c>
      <c r="AS10" s="72">
        <f t="shared" si="23"/>
        <v>83425.256980806022</v>
      </c>
      <c r="AT10" s="72">
        <f t="shared" si="24"/>
        <v>19949.337562270444</v>
      </c>
      <c r="AU10" s="78">
        <f t="shared" si="47"/>
        <v>1853.3386809987408</v>
      </c>
      <c r="AV10" s="79">
        <f t="shared" si="26"/>
        <v>0.15610100463526203</v>
      </c>
      <c r="AW10" s="80">
        <f t="shared" si="27"/>
        <v>625.16617030630857</v>
      </c>
      <c r="AX10" s="81">
        <f t="shared" si="28"/>
        <v>1228.1725106924314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W3</v>
      </c>
      <c r="E11" s="132" t="str">
        <f>Pricing!N7</f>
        <v>6MM</v>
      </c>
      <c r="F11" s="68">
        <f>Pricing!G7</f>
        <v>1524</v>
      </c>
      <c r="G11" s="68">
        <f>Pricing!H7</f>
        <v>1372</v>
      </c>
      <c r="H11" s="100">
        <f t="shared" si="0"/>
        <v>2.0909279999999999</v>
      </c>
      <c r="I11" s="70">
        <f>Pricing!I7</f>
        <v>1</v>
      </c>
      <c r="J11" s="69">
        <f t="shared" si="30"/>
        <v>2.0909279999999999</v>
      </c>
      <c r="K11" s="71">
        <f t="shared" si="31"/>
        <v>22.506748991999999</v>
      </c>
      <c r="L11" s="69"/>
      <c r="M11" s="72"/>
      <c r="N11" s="72"/>
      <c r="O11" s="72">
        <f t="shared" si="3"/>
        <v>0</v>
      </c>
      <c r="P11" s="73">
        <f>Pricing!M7</f>
        <v>11185.08</v>
      </c>
      <c r="Q11" s="74">
        <f t="shared" si="32"/>
        <v>1118.508</v>
      </c>
      <c r="R11" s="74">
        <f t="shared" si="33"/>
        <v>1353.3946799999999</v>
      </c>
      <c r="S11" s="74">
        <f t="shared" si="34"/>
        <v>68.284913399999994</v>
      </c>
      <c r="T11" s="74">
        <f t="shared" si="35"/>
        <v>137.252675934</v>
      </c>
      <c r="U11" s="72">
        <f t="shared" si="36"/>
        <v>13862.520269334</v>
      </c>
      <c r="V11" s="74">
        <f t="shared" si="37"/>
        <v>207.93780404000998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2095.109856</v>
      </c>
      <c r="AE11" s="76">
        <f t="shared" si="43"/>
        <v>474.75409836065569</v>
      </c>
      <c r="AF11" s="342">
        <f t="shared" si="44"/>
        <v>486.52799999999991</v>
      </c>
      <c r="AG11" s="343"/>
      <c r="AH11" s="76">
        <f t="shared" si="45"/>
        <v>17.375999999999998</v>
      </c>
      <c r="AI11" s="76">
        <f t="shared" si="15"/>
        <v>57.92</v>
      </c>
      <c r="AJ11" s="76">
        <f>J11*Pricing!Q7</f>
        <v>1125.3374495999999</v>
      </c>
      <c r="AK11" s="76">
        <f>J11*Pricing!R7</f>
        <v>0</v>
      </c>
      <c r="AL11" s="76">
        <f t="shared" si="16"/>
        <v>2250.6748991999998</v>
      </c>
      <c r="AM11" s="77">
        <f t="shared" si="17"/>
        <v>0</v>
      </c>
      <c r="AN11" s="76">
        <f t="shared" si="18"/>
        <v>2250.6748991999998</v>
      </c>
      <c r="AO11" s="72">
        <f t="shared" si="19"/>
        <v>15107.036171734668</v>
      </c>
      <c r="AP11" s="74">
        <f t="shared" si="20"/>
        <v>18883.795214668335</v>
      </c>
      <c r="AQ11" s="74">
        <f t="shared" si="46"/>
        <v>0</v>
      </c>
      <c r="AR11" s="74">
        <f t="shared" si="22"/>
        <v>16256.337562270441</v>
      </c>
      <c r="AS11" s="72">
        <f t="shared" si="23"/>
        <v>41712.628490403011</v>
      </c>
      <c r="AT11" s="72">
        <f t="shared" si="24"/>
        <v>19949.337562270444</v>
      </c>
      <c r="AU11" s="78">
        <f t="shared" si="47"/>
        <v>1853.3386809987408</v>
      </c>
      <c r="AV11" s="79">
        <f t="shared" si="26"/>
        <v>7.8050502317631013E-2</v>
      </c>
      <c r="AW11" s="80">
        <f t="shared" si="27"/>
        <v>625.16617030630857</v>
      </c>
      <c r="AX11" s="81">
        <f t="shared" si="28"/>
        <v>1228.1725106924314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W4</v>
      </c>
      <c r="E12" s="132" t="str">
        <f>Pricing!N8</f>
        <v>6MM</v>
      </c>
      <c r="F12" s="68">
        <f>Pricing!G8</f>
        <v>916</v>
      </c>
      <c r="G12" s="68">
        <f>Pricing!H8</f>
        <v>1372</v>
      </c>
      <c r="H12" s="100">
        <f t="shared" si="0"/>
        <v>1.2567520000000001</v>
      </c>
      <c r="I12" s="70">
        <f>Pricing!I8</f>
        <v>2</v>
      </c>
      <c r="J12" s="69">
        <f t="shared" si="30"/>
        <v>2.5135040000000002</v>
      </c>
      <c r="K12" s="71">
        <f t="shared" si="31"/>
        <v>27.055357056000002</v>
      </c>
      <c r="L12" s="69"/>
      <c r="M12" s="72"/>
      <c r="N12" s="72"/>
      <c r="O12" s="72">
        <f t="shared" si="3"/>
        <v>0</v>
      </c>
      <c r="P12" s="73">
        <f>Pricing!M8</f>
        <v>19348.96</v>
      </c>
      <c r="Q12" s="74">
        <f t="shared" si="32"/>
        <v>1934.896</v>
      </c>
      <c r="R12" s="74">
        <f t="shared" si="33"/>
        <v>2341.2241600000002</v>
      </c>
      <c r="S12" s="74">
        <f t="shared" si="34"/>
        <v>118.12540080000001</v>
      </c>
      <c r="T12" s="74">
        <f t="shared" si="35"/>
        <v>237.43205560800001</v>
      </c>
      <c r="U12" s="72">
        <f t="shared" si="36"/>
        <v>23980.637616407999</v>
      </c>
      <c r="V12" s="74">
        <f t="shared" si="37"/>
        <v>359.70956424611995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2518.5310080000004</v>
      </c>
      <c r="AE12" s="76">
        <f t="shared" si="43"/>
        <v>750.1639344262295</v>
      </c>
      <c r="AF12" s="342">
        <f t="shared" si="44"/>
        <v>768.76799999999992</v>
      </c>
      <c r="AG12" s="343"/>
      <c r="AH12" s="76">
        <f t="shared" si="45"/>
        <v>27.455999999999996</v>
      </c>
      <c r="AI12" s="76">
        <f t="shared" si="15"/>
        <v>91.52</v>
      </c>
      <c r="AJ12" s="76">
        <f>J12*Pricing!Q8</f>
        <v>1352.7678527999999</v>
      </c>
      <c r="AK12" s="76">
        <f>J12*Pricing!R8</f>
        <v>0</v>
      </c>
      <c r="AL12" s="76">
        <f t="shared" si="16"/>
        <v>2705.5357055999998</v>
      </c>
      <c r="AM12" s="77">
        <f t="shared" si="17"/>
        <v>0</v>
      </c>
      <c r="AN12" s="76">
        <f t="shared" si="18"/>
        <v>2705.5357055999998</v>
      </c>
      <c r="AO12" s="72">
        <f t="shared" si="19"/>
        <v>25978.255115080348</v>
      </c>
      <c r="AP12" s="74">
        <f t="shared" si="20"/>
        <v>32472.818893850435</v>
      </c>
      <c r="AQ12" s="74">
        <f t="shared" si="46"/>
        <v>0</v>
      </c>
      <c r="AR12" s="74">
        <f t="shared" si="22"/>
        <v>23254.816387374271</v>
      </c>
      <c r="AS12" s="72">
        <f t="shared" si="23"/>
        <v>67733.444280930795</v>
      </c>
      <c r="AT12" s="72">
        <f t="shared" si="24"/>
        <v>26947.816387374274</v>
      </c>
      <c r="AU12" s="78">
        <f t="shared" si="47"/>
        <v>2503.5132281098363</v>
      </c>
      <c r="AV12" s="79">
        <f t="shared" si="26"/>
        <v>9.3824488350328111E-2</v>
      </c>
      <c r="AW12" s="80">
        <f t="shared" si="27"/>
        <v>899.64982277904255</v>
      </c>
      <c r="AX12" s="81">
        <f t="shared" si="28"/>
        <v>1603.8634053307931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V1</v>
      </c>
      <c r="E13" s="132" t="str">
        <f>Pricing!N9</f>
        <v>6MM (F)</v>
      </c>
      <c r="F13" s="68">
        <f>Pricing!G9</f>
        <v>610</v>
      </c>
      <c r="G13" s="68">
        <f>Pricing!H9</f>
        <v>916</v>
      </c>
      <c r="H13" s="100">
        <f t="shared" si="0"/>
        <v>0.55876000000000003</v>
      </c>
      <c r="I13" s="70">
        <f>Pricing!I9</f>
        <v>1</v>
      </c>
      <c r="J13" s="69">
        <f t="shared" si="30"/>
        <v>0.55876000000000003</v>
      </c>
      <c r="K13" s="71">
        <f t="shared" si="31"/>
        <v>6.0144926400000003</v>
      </c>
      <c r="L13" s="69"/>
      <c r="M13" s="72"/>
      <c r="N13" s="72"/>
      <c r="O13" s="72">
        <f t="shared" si="3"/>
        <v>0</v>
      </c>
      <c r="P13" s="73">
        <f>Pricing!M9</f>
        <v>2729.0400000000004</v>
      </c>
      <c r="Q13" s="74">
        <f t="shared" si="32"/>
        <v>272.90400000000005</v>
      </c>
      <c r="R13" s="74">
        <f t="shared" si="33"/>
        <v>330.21384000000006</v>
      </c>
      <c r="S13" s="74">
        <f t="shared" si="34"/>
        <v>16.660789200000004</v>
      </c>
      <c r="T13" s="74">
        <f t="shared" si="35"/>
        <v>33.488186292000009</v>
      </c>
      <c r="U13" s="72">
        <f t="shared" si="36"/>
        <v>3382.3068154920006</v>
      </c>
      <c r="V13" s="74">
        <f t="shared" si="37"/>
        <v>50.734602232380006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1119.1962800000001</v>
      </c>
      <c r="AE13" s="76">
        <f t="shared" si="43"/>
        <v>250.1639344262295</v>
      </c>
      <c r="AF13" s="342">
        <f t="shared" si="44"/>
        <v>256.36800000000005</v>
      </c>
      <c r="AG13" s="343"/>
      <c r="AH13" s="76">
        <f t="shared" si="45"/>
        <v>9.1560000000000006</v>
      </c>
      <c r="AI13" s="76">
        <f t="shared" si="15"/>
        <v>30.52</v>
      </c>
      <c r="AJ13" s="76">
        <f>J13*Pricing!Q9</f>
        <v>0</v>
      </c>
      <c r="AK13" s="76">
        <f>J13*Pricing!R9</f>
        <v>0</v>
      </c>
      <c r="AL13" s="76">
        <f t="shared" si="16"/>
        <v>601.44926399999997</v>
      </c>
      <c r="AM13" s="77">
        <f t="shared" si="17"/>
        <v>0</v>
      </c>
      <c r="AN13" s="76">
        <f t="shared" si="18"/>
        <v>601.44926399999997</v>
      </c>
      <c r="AO13" s="72">
        <f t="shared" si="19"/>
        <v>3979.2493521506094</v>
      </c>
      <c r="AP13" s="74">
        <f t="shared" si="20"/>
        <v>4974.0616901882622</v>
      </c>
      <c r="AQ13" s="74">
        <f t="shared" si="46"/>
        <v>0</v>
      </c>
      <c r="AR13" s="74">
        <f t="shared" si="22"/>
        <v>16023.536119870554</v>
      </c>
      <c r="AS13" s="72">
        <f t="shared" si="23"/>
        <v>11275.405850338871</v>
      </c>
      <c r="AT13" s="72">
        <f t="shared" si="24"/>
        <v>20179.336119870553</v>
      </c>
      <c r="AU13" s="78">
        <f t="shared" si="47"/>
        <v>1874.7060683640425</v>
      </c>
      <c r="AV13" s="79">
        <f t="shared" si="26"/>
        <v>2.0857484655138536E-2</v>
      </c>
      <c r="AW13" s="80">
        <f t="shared" si="27"/>
        <v>570.79484891087679</v>
      </c>
      <c r="AX13" s="81">
        <f t="shared" si="28"/>
        <v>1303.9112194531658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3 NO'S</v>
      </c>
      <c r="D14" s="131" t="str">
        <f>Pricing!B10</f>
        <v>FG1</v>
      </c>
      <c r="E14" s="132" t="str">
        <f>Pricing!N10</f>
        <v>6MM</v>
      </c>
      <c r="F14" s="68">
        <f>Pricing!G10</f>
        <v>3048</v>
      </c>
      <c r="G14" s="68">
        <f>Pricing!H10</f>
        <v>2032</v>
      </c>
      <c r="H14" s="100">
        <f t="shared" si="0"/>
        <v>6.1935359999999999</v>
      </c>
      <c r="I14" s="70">
        <f>Pricing!I10</f>
        <v>1</v>
      </c>
      <c r="J14" s="69">
        <f t="shared" si="30"/>
        <v>6.1935359999999999</v>
      </c>
      <c r="K14" s="71">
        <f t="shared" si="31"/>
        <v>66.667221503999997</v>
      </c>
      <c r="L14" s="69"/>
      <c r="M14" s="72"/>
      <c r="N14" s="72"/>
      <c r="O14" s="72">
        <f t="shared" si="3"/>
        <v>0</v>
      </c>
      <c r="P14" s="73">
        <f>Pricing!M10</f>
        <v>18528.920000000002</v>
      </c>
      <c r="Q14" s="74">
        <f t="shared" si="32"/>
        <v>1852.8920000000003</v>
      </c>
      <c r="R14" s="74">
        <f t="shared" si="33"/>
        <v>2241.9993200000004</v>
      </c>
      <c r="S14" s="74">
        <f t="shared" si="34"/>
        <v>113.11905660000001</v>
      </c>
      <c r="T14" s="74">
        <f t="shared" si="35"/>
        <v>227.36930376600003</v>
      </c>
      <c r="U14" s="72">
        <f t="shared" si="36"/>
        <v>22964.299680366003</v>
      </c>
      <c r="V14" s="74">
        <f t="shared" si="37"/>
        <v>344.46449520549004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6205.9230719999996</v>
      </c>
      <c r="AE14" s="76">
        <f t="shared" si="43"/>
        <v>832.78688524590154</v>
      </c>
      <c r="AF14" s="342">
        <f t="shared" si="44"/>
        <v>853.44</v>
      </c>
      <c r="AG14" s="343"/>
      <c r="AH14" s="76">
        <f t="shared" si="45"/>
        <v>30.48</v>
      </c>
      <c r="AI14" s="76">
        <f t="shared" si="15"/>
        <v>101.6</v>
      </c>
      <c r="AJ14" s="76">
        <f>J14*Pricing!Q10</f>
        <v>0</v>
      </c>
      <c r="AK14" s="76">
        <f>J14*Pricing!R10</f>
        <v>0</v>
      </c>
      <c r="AL14" s="76">
        <f t="shared" si="16"/>
        <v>6666.722150399999</v>
      </c>
      <c r="AM14" s="77">
        <f t="shared" si="17"/>
        <v>0</v>
      </c>
      <c r="AN14" s="76">
        <f t="shared" si="18"/>
        <v>6666.722150399999</v>
      </c>
      <c r="AO14" s="72">
        <f t="shared" si="19"/>
        <v>25127.071060817398</v>
      </c>
      <c r="AP14" s="74">
        <f t="shared" si="20"/>
        <v>31408.838826021747</v>
      </c>
      <c r="AQ14" s="74">
        <f t="shared" si="46"/>
        <v>0</v>
      </c>
      <c r="AR14" s="74">
        <f t="shared" si="22"/>
        <v>9128.2120402366509</v>
      </c>
      <c r="AS14" s="72">
        <f t="shared" si="23"/>
        <v>76075.277259639144</v>
      </c>
      <c r="AT14" s="72">
        <f t="shared" si="24"/>
        <v>12283.01204023665</v>
      </c>
      <c r="AU14" s="78">
        <f t="shared" si="47"/>
        <v>1141.1196618577342</v>
      </c>
      <c r="AV14" s="79">
        <f t="shared" si="26"/>
        <v>0.23119332464930936</v>
      </c>
      <c r="AW14" s="80">
        <f t="shared" si="27"/>
        <v>349.62855282896379</v>
      </c>
      <c r="AX14" s="81">
        <f t="shared" si="28"/>
        <v>791.49110902877032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18.420223999999997</v>
      </c>
      <c r="I109" s="87">
        <f>SUM(I8:I108)</f>
        <v>11</v>
      </c>
      <c r="J109" s="88">
        <f>SUM(J8:J108)</f>
        <v>26.789423999999997</v>
      </c>
      <c r="K109" s="89">
        <f>SUM(K8:K108)</f>
        <v>288.36135993599999</v>
      </c>
      <c r="L109" s="88">
        <f>SUM(L8:L8)</f>
        <v>0</v>
      </c>
      <c r="M109" s="88"/>
      <c r="N109" s="88"/>
      <c r="O109" s="88"/>
      <c r="P109" s="87">
        <f>SUM(P8:P108)</f>
        <v>126015.57999999999</v>
      </c>
      <c r="Q109" s="88">
        <f t="shared" ref="Q109:AE109" si="156">SUM(Q8:Q108)</f>
        <v>12601.558000000001</v>
      </c>
      <c r="R109" s="88">
        <f t="shared" si="156"/>
        <v>15247.885179999999</v>
      </c>
      <c r="S109" s="88">
        <f t="shared" si="156"/>
        <v>769.32511590000001</v>
      </c>
      <c r="T109" s="88">
        <f t="shared" si="156"/>
        <v>1546.3434829589999</v>
      </c>
      <c r="U109" s="88">
        <f t="shared" si="156"/>
        <v>156180.69177885898</v>
      </c>
      <c r="V109" s="88">
        <f t="shared" si="156"/>
        <v>2342.710376682885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27402.321608000006</v>
      </c>
      <c r="AE109" s="88">
        <f t="shared" si="156"/>
        <v>5465.2459016393432</v>
      </c>
      <c r="AF109" s="353">
        <f>SUM(AF8:AG108)</f>
        <v>5600.7839999999997</v>
      </c>
      <c r="AG109" s="354"/>
      <c r="AH109" s="88">
        <f t="shared" ref="AH109:AQ109" si="157">SUM(AH8:AH108)</f>
        <v>200.02799999999996</v>
      </c>
      <c r="AI109" s="88">
        <f t="shared" si="157"/>
        <v>666.7600000000001</v>
      </c>
      <c r="AJ109" s="88">
        <f t="shared" ref="AJ109" si="158">SUM(AJ8:AJ108)</f>
        <v>10783.982289599999</v>
      </c>
      <c r="AK109" s="88">
        <f t="shared" si="157"/>
        <v>0</v>
      </c>
      <c r="AL109" s="88">
        <f t="shared" si="157"/>
        <v>28836.135993599994</v>
      </c>
      <c r="AM109" s="88">
        <f t="shared" si="157"/>
        <v>0</v>
      </c>
      <c r="AN109" s="88">
        <f t="shared" si="157"/>
        <v>28836.135993599994</v>
      </c>
      <c r="AO109" s="88">
        <f t="shared" si="157"/>
        <v>170456.22005718123</v>
      </c>
      <c r="AP109" s="88">
        <f t="shared" si="157"/>
        <v>213070.27507147653</v>
      </c>
      <c r="AQ109" s="88">
        <f t="shared" si="157"/>
        <v>0</v>
      </c>
      <c r="AR109" s="88"/>
      <c r="AS109" s="87">
        <f>SUM(AS8:AS108)</f>
        <v>479385.07101345784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5600.7839999999997</v>
      </c>
      <c r="AW110" s="84"/>
    </row>
    <row r="111" spans="2:54">
      <c r="AF111" s="174"/>
      <c r="AG111" s="174"/>
      <c r="AH111" s="174">
        <f>SUM(AE109:AI109,AC109)</f>
        <v>11932.817901639344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P6" sqref="P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65"/>
      <c r="C6" s="466"/>
      <c r="D6" s="466"/>
      <c r="E6" s="466"/>
      <c r="F6" s="466"/>
      <c r="G6" s="466"/>
      <c r="H6" s="466"/>
      <c r="I6" s="466"/>
      <c r="J6" s="467"/>
      <c r="K6" s="472" t="s">
        <v>103</v>
      </c>
      <c r="L6" s="473"/>
      <c r="M6" s="468" t="str">
        <f>'BD Team'!J2</f>
        <v>ABPL-DE-19.20-2204</v>
      </c>
      <c r="N6" s="469"/>
    </row>
    <row r="7" spans="2:15" ht="24.95" customHeight="1">
      <c r="B7" s="488" t="s">
        <v>126</v>
      </c>
      <c r="C7" s="489"/>
      <c r="D7" s="489"/>
      <c r="E7" s="489"/>
      <c r="F7" s="428" t="str">
        <f>'BD Team'!E2</f>
        <v>Mr. P. Sathish Indu</v>
      </c>
      <c r="G7" s="428"/>
      <c r="H7" s="428"/>
      <c r="I7" s="428"/>
      <c r="J7" s="429"/>
      <c r="K7" s="496" t="s">
        <v>104</v>
      </c>
      <c r="L7" s="489"/>
      <c r="M7" s="494">
        <f>'BD Team'!J3</f>
        <v>43732</v>
      </c>
      <c r="N7" s="495"/>
    </row>
    <row r="8" spans="2:15" ht="24.95" customHeight="1">
      <c r="B8" s="488" t="s">
        <v>127</v>
      </c>
      <c r="C8" s="489"/>
      <c r="D8" s="489"/>
      <c r="E8" s="489"/>
      <c r="F8" s="215" t="str">
        <f>'BD Team'!E3</f>
        <v>Hyderabad</v>
      </c>
      <c r="G8" s="480" t="s">
        <v>179</v>
      </c>
      <c r="H8" s="481"/>
      <c r="I8" s="428" t="str">
        <f>'BD Team'!G3</f>
        <v>1.2Kpa</v>
      </c>
      <c r="J8" s="429"/>
      <c r="K8" s="496" t="s">
        <v>105</v>
      </c>
      <c r="L8" s="489"/>
      <c r="M8" s="178" t="s">
        <v>364</v>
      </c>
      <c r="N8" s="179">
        <v>43732</v>
      </c>
    </row>
    <row r="9" spans="2:15" ht="24.95" customHeight="1">
      <c r="B9" s="488" t="s">
        <v>168</v>
      </c>
      <c r="C9" s="489"/>
      <c r="D9" s="489"/>
      <c r="E9" s="489"/>
      <c r="F9" s="428" t="str">
        <f>'BD Team'!E4</f>
        <v>Ms. Prathyusha : 8008103067</v>
      </c>
      <c r="G9" s="428"/>
      <c r="H9" s="428"/>
      <c r="I9" s="428"/>
      <c r="J9" s="429"/>
      <c r="K9" s="496" t="s">
        <v>178</v>
      </c>
      <c r="L9" s="489"/>
      <c r="M9" s="470" t="str">
        <f>'BD Team'!J4</f>
        <v>Bal Kumari</v>
      </c>
      <c r="N9" s="471"/>
    </row>
    <row r="10" spans="2:15" ht="27.75" customHeight="1" thickBot="1">
      <c r="B10" s="490" t="s">
        <v>176</v>
      </c>
      <c r="C10" s="491"/>
      <c r="D10" s="491"/>
      <c r="E10" s="491"/>
      <c r="F10" s="217" t="str">
        <f>'BD Team'!E5</f>
        <v>Powder coating</v>
      </c>
      <c r="G10" s="501" t="s">
        <v>177</v>
      </c>
      <c r="H10" s="502"/>
      <c r="I10" s="499" t="str">
        <f>'BD Team'!G5</f>
        <v>Black</v>
      </c>
      <c r="J10" s="500"/>
      <c r="K10" s="497" t="s">
        <v>373</v>
      </c>
      <c r="L10" s="498"/>
      <c r="M10" s="492">
        <f>'BD Team'!J5</f>
        <v>0</v>
      </c>
      <c r="N10" s="493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2" t="s">
        <v>169</v>
      </c>
      <c r="C13" s="483"/>
      <c r="D13" s="486" t="s">
        <v>170</v>
      </c>
      <c r="E13" s="486" t="s">
        <v>171</v>
      </c>
      <c r="F13" s="486" t="s">
        <v>37</v>
      </c>
      <c r="G13" s="484" t="s">
        <v>63</v>
      </c>
      <c r="H13" s="484" t="s">
        <v>209</v>
      </c>
      <c r="I13" s="484" t="s">
        <v>208</v>
      </c>
      <c r="J13" s="485" t="s">
        <v>172</v>
      </c>
      <c r="K13" s="485" t="s">
        <v>173</v>
      </c>
      <c r="L13" s="483" t="s">
        <v>210</v>
      </c>
      <c r="M13" s="485" t="s">
        <v>174</v>
      </c>
      <c r="N13" s="487" t="s">
        <v>175</v>
      </c>
    </row>
    <row r="14" spans="2:15" s="94" customFormat="1" ht="18" customHeight="1" thickTop="1" thickBot="1">
      <c r="B14" s="482"/>
      <c r="C14" s="483"/>
      <c r="D14" s="486"/>
      <c r="E14" s="486"/>
      <c r="F14" s="486"/>
      <c r="G14" s="484"/>
      <c r="H14" s="484"/>
      <c r="I14" s="484"/>
      <c r="J14" s="485"/>
      <c r="K14" s="485"/>
      <c r="L14" s="483"/>
      <c r="M14" s="485"/>
      <c r="N14" s="487"/>
    </row>
    <row r="15" spans="2:15" s="94" customFormat="1" ht="26.25" customHeight="1" thickTop="1" thickBot="1">
      <c r="B15" s="482"/>
      <c r="C15" s="483"/>
      <c r="D15" s="486"/>
      <c r="E15" s="486"/>
      <c r="F15" s="486"/>
      <c r="G15" s="484"/>
      <c r="H15" s="484"/>
      <c r="I15" s="484"/>
      <c r="J15" s="485"/>
      <c r="K15" s="485"/>
      <c r="L15" s="483"/>
      <c r="M15" s="485"/>
      <c r="N15" s="487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W</v>
      </c>
      <c r="E16" s="187" t="str">
        <f>Pricing!C4</f>
        <v>M900 &amp; M940</v>
      </c>
      <c r="F16" s="187" t="str">
        <f>Pricing!D4</f>
        <v>3 TRACK 2 SHUTTER SLIDING WINDOW WITH BOTTOM FIXED</v>
      </c>
      <c r="G16" s="187" t="str">
        <f>Pricing!N4</f>
        <v>6MM</v>
      </c>
      <c r="H16" s="187" t="str">
        <f>Pricing!F4</f>
        <v>GF - ENTRANCE FOYER</v>
      </c>
      <c r="I16" s="216" t="str">
        <f>Pricing!E4</f>
        <v>SS</v>
      </c>
      <c r="J16" s="216">
        <f>Pricing!G4</f>
        <v>1830</v>
      </c>
      <c r="K16" s="216">
        <f>Pricing!H4</f>
        <v>2032</v>
      </c>
      <c r="L16" s="216">
        <f>Pricing!I4</f>
        <v>1</v>
      </c>
      <c r="M16" s="188">
        <f t="shared" ref="M16:M24" si="0">J16*K16*L16/1000000</f>
        <v>3.7185600000000001</v>
      </c>
      <c r="N16" s="189">
        <f>'Cost Calculation'!AS8</f>
        <v>64659.604665655177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W1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6MM</v>
      </c>
      <c r="H17" s="187" t="str">
        <f>Pricing!F5</f>
        <v>GF - MBR, 1F - KBR &amp; HOME THEATER</v>
      </c>
      <c r="I17" s="216" t="str">
        <f>Pricing!E5</f>
        <v>SS</v>
      </c>
      <c r="J17" s="216">
        <f>Pricing!G5</f>
        <v>1830</v>
      </c>
      <c r="K17" s="216">
        <f>Pricing!H5</f>
        <v>1372</v>
      </c>
      <c r="L17" s="216">
        <f>Pricing!I5</f>
        <v>3</v>
      </c>
      <c r="M17" s="188">
        <f t="shared" si="0"/>
        <v>7.5322800000000001</v>
      </c>
      <c r="N17" s="189">
        <f>'Cost Calculation'!AS9</f>
        <v>134503.45348568479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W2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6MM</v>
      </c>
      <c r="H18" s="187" t="str">
        <f>Pricing!F6</f>
        <v>2F - MBR</v>
      </c>
      <c r="I18" s="216" t="str">
        <f>Pricing!E6</f>
        <v>SS</v>
      </c>
      <c r="J18" s="216">
        <f>Pricing!G6</f>
        <v>1524</v>
      </c>
      <c r="K18" s="216">
        <f>Pricing!H6</f>
        <v>1372</v>
      </c>
      <c r="L18" s="216">
        <f>Pricing!I6</f>
        <v>2</v>
      </c>
      <c r="M18" s="188">
        <f t="shared" si="0"/>
        <v>4.1818559999999998</v>
      </c>
      <c r="N18" s="189">
        <f>'Cost Calculation'!AS10</f>
        <v>83425.256980806022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W3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6MM</v>
      </c>
      <c r="H19" s="187" t="str">
        <f>Pricing!F7</f>
        <v>1F - BR</v>
      </c>
      <c r="I19" s="216" t="str">
        <f>Pricing!E7</f>
        <v>SS</v>
      </c>
      <c r="J19" s="216">
        <f>Pricing!G7</f>
        <v>1524</v>
      </c>
      <c r="K19" s="216">
        <f>Pricing!H7</f>
        <v>1372</v>
      </c>
      <c r="L19" s="216">
        <f>Pricing!I7</f>
        <v>1</v>
      </c>
      <c r="M19" s="188">
        <f t="shared" si="0"/>
        <v>2.0909279999999999</v>
      </c>
      <c r="N19" s="189">
        <f>'Cost Calculation'!AS11</f>
        <v>41712.628490403011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W4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6MM</v>
      </c>
      <c r="H20" s="187" t="str">
        <f>Pricing!F8</f>
        <v>GF - DGR &amp; 1F - STAIR</v>
      </c>
      <c r="I20" s="216" t="str">
        <f>Pricing!E8</f>
        <v>SS</v>
      </c>
      <c r="J20" s="216">
        <f>Pricing!G8</f>
        <v>916</v>
      </c>
      <c r="K20" s="216">
        <f>Pricing!H8</f>
        <v>1372</v>
      </c>
      <c r="L20" s="216">
        <f>Pricing!I8</f>
        <v>2</v>
      </c>
      <c r="M20" s="188">
        <f t="shared" si="0"/>
        <v>2.5135040000000002</v>
      </c>
      <c r="N20" s="189">
        <f>'Cost Calculation'!AS12</f>
        <v>67733.444280930795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V1</v>
      </c>
      <c r="E21" s="187" t="str">
        <f>Pricing!C9</f>
        <v>M940</v>
      </c>
      <c r="F21" s="187" t="str">
        <f>Pricing!D9</f>
        <v>FIXED GLASS</v>
      </c>
      <c r="G21" s="187" t="str">
        <f>Pricing!N9</f>
        <v>6MM (F)</v>
      </c>
      <c r="H21" s="187" t="str">
        <f>Pricing!F9</f>
        <v>TOILET</v>
      </c>
      <c r="I21" s="216" t="str">
        <f>Pricing!E9</f>
        <v>NO</v>
      </c>
      <c r="J21" s="216">
        <f>Pricing!G9</f>
        <v>610</v>
      </c>
      <c r="K21" s="216">
        <f>Pricing!H9</f>
        <v>916</v>
      </c>
      <c r="L21" s="216">
        <f>Pricing!I9</f>
        <v>1</v>
      </c>
      <c r="M21" s="188">
        <f t="shared" si="0"/>
        <v>0.55876000000000003</v>
      </c>
      <c r="N21" s="189">
        <f>'Cost Calculation'!AS13</f>
        <v>11275.405850338871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FG1</v>
      </c>
      <c r="E22" s="187" t="str">
        <f>Pricing!C10</f>
        <v>M940</v>
      </c>
      <c r="F22" s="187" t="str">
        <f>Pricing!D10</f>
        <v>FIXED GLASS 3 NO'S</v>
      </c>
      <c r="G22" s="187" t="str">
        <f>Pricing!N10</f>
        <v>6MM</v>
      </c>
      <c r="H22" s="187" t="str">
        <f>Pricing!F10</f>
        <v>GROUND FLOOR</v>
      </c>
      <c r="I22" s="216" t="str">
        <f>Pricing!E10</f>
        <v>NO</v>
      </c>
      <c r="J22" s="216">
        <f>Pricing!G10</f>
        <v>3048</v>
      </c>
      <c r="K22" s="216">
        <f>Pricing!H10</f>
        <v>2032</v>
      </c>
      <c r="L22" s="216">
        <f>Pricing!I10</f>
        <v>1</v>
      </c>
      <c r="M22" s="188">
        <f t="shared" si="0"/>
        <v>6.1935359999999999</v>
      </c>
      <c r="N22" s="189">
        <f>'Cost Calculation'!AS14</f>
        <v>76075.277259639144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3"/>
      <c r="C116" s="504"/>
      <c r="D116" s="504"/>
      <c r="E116" s="504"/>
      <c r="F116" s="504"/>
      <c r="G116" s="504"/>
      <c r="H116" s="504"/>
      <c r="I116" s="504"/>
      <c r="J116" s="504"/>
      <c r="K116" s="505"/>
      <c r="L116" s="190">
        <f>SUM(L16:L115)</f>
        <v>11</v>
      </c>
      <c r="M116" s="191">
        <f>SUM(M16:M115)</f>
        <v>26.789423999999997</v>
      </c>
      <c r="N116" s="186"/>
      <c r="O116" s="95"/>
    </row>
    <row r="117" spans="2:15" s="94" customFormat="1" ht="30" customHeight="1" thickTop="1" thickBot="1">
      <c r="B117" s="506" t="s">
        <v>180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8"/>
      <c r="N117" s="192">
        <f>ROUND(SUM(N16:N115),0.1)</f>
        <v>479385</v>
      </c>
      <c r="O117" s="95">
        <f>N117/SUM(M116)</f>
        <v>17894.561674786291</v>
      </c>
    </row>
    <row r="118" spans="2:15" s="94" customFormat="1" ht="30" customHeight="1" thickTop="1" thickBot="1">
      <c r="B118" s="506" t="s">
        <v>111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8"/>
      <c r="N118" s="192">
        <f>ROUND(N117*18%,0.1)</f>
        <v>86289</v>
      </c>
      <c r="O118" s="95">
        <f>N118/SUM(M116)</f>
        <v>3221.0099030124729</v>
      </c>
    </row>
    <row r="119" spans="2:15" s="94" customFormat="1" ht="30" customHeight="1" thickTop="1" thickBot="1">
      <c r="B119" s="506" t="s">
        <v>181</v>
      </c>
      <c r="C119" s="507"/>
      <c r="D119" s="507"/>
      <c r="E119" s="507"/>
      <c r="F119" s="507"/>
      <c r="G119" s="507"/>
      <c r="H119" s="507"/>
      <c r="I119" s="507"/>
      <c r="J119" s="507"/>
      <c r="K119" s="507"/>
      <c r="L119" s="507"/>
      <c r="M119" s="508"/>
      <c r="N119" s="192">
        <f>ROUND(SUM(N117:N118),0.1)</f>
        <v>565674</v>
      </c>
      <c r="O119" s="95">
        <f>N119/SUM(M116)</f>
        <v>21115.571577798764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1662.445343254022</v>
      </c>
    </row>
    <row r="121" spans="2:15" s="139" customFormat="1" ht="30" customHeight="1" thickTop="1">
      <c r="B121" s="474" t="s">
        <v>236</v>
      </c>
      <c r="C121" s="475"/>
      <c r="D121" s="475"/>
      <c r="E121" s="475"/>
      <c r="F121" s="475"/>
      <c r="G121" s="475"/>
      <c r="H121" s="475"/>
      <c r="I121" s="475"/>
      <c r="J121" s="475"/>
      <c r="K121" s="475"/>
      <c r="L121" s="475"/>
      <c r="M121" s="475"/>
      <c r="N121" s="476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38">
        <v>2</v>
      </c>
      <c r="C123" s="477"/>
      <c r="D123" s="478"/>
      <c r="E123" s="478"/>
      <c r="F123" s="478"/>
      <c r="G123" s="478"/>
      <c r="H123" s="478"/>
      <c r="I123" s="478"/>
      <c r="J123" s="478"/>
      <c r="K123" s="478"/>
      <c r="L123" s="478"/>
      <c r="M123" s="478"/>
      <c r="N123" s="479"/>
    </row>
    <row r="124" spans="2:15" s="139" customFormat="1" ht="30" customHeight="1">
      <c r="B124" s="509" t="s">
        <v>206</v>
      </c>
      <c r="C124" s="510"/>
      <c r="D124" s="510"/>
      <c r="E124" s="510"/>
      <c r="F124" s="510"/>
      <c r="G124" s="510"/>
      <c r="H124" s="510"/>
      <c r="I124" s="510"/>
      <c r="J124" s="510"/>
      <c r="K124" s="510"/>
      <c r="L124" s="510"/>
      <c r="M124" s="510"/>
      <c r="N124" s="511"/>
      <c r="O124" s="138"/>
    </row>
    <row r="125" spans="2:15" s="93" customFormat="1" ht="24.95" customHeight="1">
      <c r="B125" s="412">
        <v>1</v>
      </c>
      <c r="C125" s="413"/>
      <c r="D125" s="414" t="s">
        <v>451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2</v>
      </c>
      <c r="C126" s="413"/>
      <c r="D126" s="414" t="s">
        <v>452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139" customFormat="1" ht="30" customHeight="1">
      <c r="B127" s="509" t="s">
        <v>140</v>
      </c>
      <c r="C127" s="510"/>
      <c r="D127" s="510"/>
      <c r="E127" s="510"/>
      <c r="F127" s="510"/>
      <c r="G127" s="510"/>
      <c r="H127" s="510"/>
      <c r="I127" s="510"/>
      <c r="J127" s="510"/>
      <c r="K127" s="510"/>
      <c r="L127" s="510"/>
      <c r="M127" s="510"/>
      <c r="N127" s="511"/>
      <c r="O127" s="138"/>
    </row>
    <row r="128" spans="2:15" s="93" customFormat="1" ht="24.95" customHeight="1">
      <c r="B128" s="412">
        <v>1</v>
      </c>
      <c r="C128" s="413"/>
      <c r="D128" s="414" t="s">
        <v>363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93" customFormat="1" ht="24.95" customHeight="1">
      <c r="B129" s="412">
        <v>2</v>
      </c>
      <c r="C129" s="413"/>
      <c r="D129" s="414" t="s">
        <v>388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3</v>
      </c>
      <c r="C130" s="413"/>
      <c r="D130" s="414" t="s">
        <v>403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139" customFormat="1" ht="30" customHeight="1">
      <c r="B131" s="430" t="s">
        <v>141</v>
      </c>
      <c r="C131" s="431"/>
      <c r="D131" s="431"/>
      <c r="E131" s="431"/>
      <c r="F131" s="431"/>
      <c r="G131" s="431"/>
      <c r="H131" s="431"/>
      <c r="I131" s="431"/>
      <c r="J131" s="431"/>
      <c r="K131" s="431"/>
      <c r="L131" s="431"/>
      <c r="M131" s="431"/>
      <c r="N131" s="432"/>
    </row>
    <row r="132" spans="2:14" s="93" customFormat="1" ht="24.95" customHeight="1">
      <c r="B132" s="412">
        <v>1</v>
      </c>
      <c r="C132" s="413"/>
      <c r="D132" s="414" t="s">
        <v>142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2</v>
      </c>
      <c r="C133" s="413"/>
      <c r="D133" s="414" t="s">
        <v>421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93" customFormat="1" ht="24.95" customHeight="1">
      <c r="B134" s="412">
        <v>3</v>
      </c>
      <c r="C134" s="413"/>
      <c r="D134" s="414" t="s">
        <v>143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93" customFormat="1" ht="24.95" customHeight="1">
      <c r="B135" s="412">
        <v>4</v>
      </c>
      <c r="C135" s="413"/>
      <c r="D135" s="414" t="s">
        <v>144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139" customFormat="1" ht="30" customHeight="1">
      <c r="B136" s="430" t="s">
        <v>145</v>
      </c>
      <c r="C136" s="431"/>
      <c r="D136" s="431"/>
      <c r="E136" s="431"/>
      <c r="F136" s="431"/>
      <c r="G136" s="431"/>
      <c r="H136" s="431"/>
      <c r="I136" s="431"/>
      <c r="J136" s="431"/>
      <c r="K136" s="431"/>
      <c r="L136" s="431"/>
      <c r="M136" s="431"/>
      <c r="N136" s="432"/>
    </row>
    <row r="137" spans="2:14" s="139" customFormat="1" ht="30" customHeight="1">
      <c r="B137" s="433" t="s">
        <v>146</v>
      </c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5"/>
    </row>
    <row r="138" spans="2:14" s="93" customFormat="1" ht="24.95" customHeight="1">
      <c r="B138" s="412">
        <v>1</v>
      </c>
      <c r="C138" s="413"/>
      <c r="D138" s="414" t="s">
        <v>147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2</v>
      </c>
      <c r="C139" s="413"/>
      <c r="D139" s="414" t="s">
        <v>400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3</v>
      </c>
      <c r="C140" s="413"/>
      <c r="D140" s="414" t="s">
        <v>148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4</v>
      </c>
      <c r="C141" s="413"/>
      <c r="D141" s="414" t="s">
        <v>149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24.95" customHeight="1">
      <c r="B142" s="412">
        <v>5</v>
      </c>
      <c r="C142" s="413"/>
      <c r="D142" s="414" t="s">
        <v>150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24.95" customHeight="1">
      <c r="B143" s="412">
        <v>6</v>
      </c>
      <c r="C143" s="413"/>
      <c r="D143" s="414" t="s">
        <v>151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140" customFormat="1" ht="30" customHeight="1">
      <c r="B144" s="430" t="s">
        <v>152</v>
      </c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2"/>
    </row>
    <row r="145" spans="2:14" s="93" customFormat="1" ht="24.95" customHeight="1">
      <c r="B145" s="412">
        <v>1</v>
      </c>
      <c r="C145" s="413"/>
      <c r="D145" s="414" t="s">
        <v>153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93" customFormat="1" ht="135" customHeight="1">
      <c r="B146" s="412">
        <v>2</v>
      </c>
      <c r="C146" s="413"/>
      <c r="D146" s="416" t="s">
        <v>419</v>
      </c>
      <c r="E146" s="417"/>
      <c r="F146" s="417"/>
      <c r="G146" s="417"/>
      <c r="H146" s="417"/>
      <c r="I146" s="417"/>
      <c r="J146" s="417"/>
      <c r="K146" s="417"/>
      <c r="L146" s="417"/>
      <c r="M146" s="417"/>
      <c r="N146" s="418"/>
    </row>
    <row r="147" spans="2:14" s="93" customFormat="1" ht="24.95" customHeight="1">
      <c r="B147" s="412">
        <v>3</v>
      </c>
      <c r="C147" s="413"/>
      <c r="D147" s="414" t="s">
        <v>154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93" customFormat="1" ht="24.95" customHeight="1">
      <c r="B148" s="412">
        <v>4</v>
      </c>
      <c r="C148" s="413"/>
      <c r="D148" s="414" t="s">
        <v>155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140" customFormat="1" ht="30" customHeight="1">
      <c r="B149" s="430" t="s">
        <v>156</v>
      </c>
      <c r="C149" s="431"/>
      <c r="D149" s="431"/>
      <c r="E149" s="431"/>
      <c r="F149" s="431"/>
      <c r="G149" s="431"/>
      <c r="H149" s="431"/>
      <c r="I149" s="431"/>
      <c r="J149" s="431"/>
      <c r="K149" s="431"/>
      <c r="L149" s="431"/>
      <c r="M149" s="431"/>
      <c r="N149" s="432"/>
    </row>
    <row r="150" spans="2:14" s="93" customFormat="1" ht="24.95" customHeight="1">
      <c r="B150" s="412">
        <v>1</v>
      </c>
      <c r="C150" s="413"/>
      <c r="D150" s="414" t="s">
        <v>157</v>
      </c>
      <c r="E150" s="414"/>
      <c r="F150" s="414"/>
      <c r="G150" s="414"/>
      <c r="H150" s="414"/>
      <c r="I150" s="414"/>
      <c r="J150" s="414"/>
      <c r="K150" s="414"/>
      <c r="L150" s="414"/>
      <c r="M150" s="414"/>
      <c r="N150" s="415"/>
    </row>
    <row r="151" spans="2:14" s="93" customFormat="1" ht="55.9" customHeight="1">
      <c r="B151" s="412">
        <v>2</v>
      </c>
      <c r="C151" s="413"/>
      <c r="D151" s="416" t="s">
        <v>158</v>
      </c>
      <c r="E151" s="417"/>
      <c r="F151" s="417"/>
      <c r="G151" s="417"/>
      <c r="H151" s="417"/>
      <c r="I151" s="417"/>
      <c r="J151" s="417"/>
      <c r="K151" s="417"/>
      <c r="L151" s="417"/>
      <c r="M151" s="417"/>
      <c r="N151" s="418"/>
    </row>
    <row r="152" spans="2:14" s="140" customFormat="1" ht="30" customHeight="1">
      <c r="B152" s="430" t="s">
        <v>159</v>
      </c>
      <c r="C152" s="431"/>
      <c r="D152" s="431"/>
      <c r="E152" s="431"/>
      <c r="F152" s="431"/>
      <c r="G152" s="431"/>
      <c r="H152" s="431"/>
      <c r="I152" s="431"/>
      <c r="J152" s="431"/>
      <c r="K152" s="431"/>
      <c r="L152" s="431"/>
      <c r="M152" s="431"/>
      <c r="N152" s="432"/>
    </row>
    <row r="153" spans="2:14" s="93" customFormat="1" ht="24.95" customHeight="1">
      <c r="B153" s="412">
        <v>1</v>
      </c>
      <c r="C153" s="413"/>
      <c r="D153" s="436" t="s">
        <v>160</v>
      </c>
      <c r="E153" s="436"/>
      <c r="F153" s="436"/>
      <c r="G153" s="436"/>
      <c r="H153" s="436"/>
      <c r="I153" s="436"/>
      <c r="J153" s="436"/>
      <c r="K153" s="436"/>
      <c r="L153" s="436"/>
      <c r="M153" s="436"/>
      <c r="N153" s="437"/>
    </row>
    <row r="154" spans="2:14" s="93" customFormat="1" ht="24.95" customHeight="1">
      <c r="B154" s="412">
        <v>2</v>
      </c>
      <c r="C154" s="413"/>
      <c r="D154" s="436" t="s">
        <v>161</v>
      </c>
      <c r="E154" s="436"/>
      <c r="F154" s="436"/>
      <c r="G154" s="436"/>
      <c r="H154" s="436"/>
      <c r="I154" s="436"/>
      <c r="J154" s="436"/>
      <c r="K154" s="436"/>
      <c r="L154" s="436"/>
      <c r="M154" s="436"/>
      <c r="N154" s="437"/>
    </row>
    <row r="155" spans="2:14" s="93" customFormat="1" ht="49.9" customHeight="1">
      <c r="B155" s="412">
        <v>3</v>
      </c>
      <c r="C155" s="413"/>
      <c r="D155" s="441" t="s">
        <v>162</v>
      </c>
      <c r="E155" s="442"/>
      <c r="F155" s="442"/>
      <c r="G155" s="442"/>
      <c r="H155" s="442"/>
      <c r="I155" s="442"/>
      <c r="J155" s="442"/>
      <c r="K155" s="442"/>
      <c r="L155" s="442"/>
      <c r="M155" s="442"/>
      <c r="N155" s="443"/>
    </row>
    <row r="156" spans="2:14" s="93" customFormat="1" ht="24.95" customHeight="1">
      <c r="B156" s="412">
        <v>4</v>
      </c>
      <c r="C156" s="413"/>
      <c r="D156" s="436" t="s">
        <v>163</v>
      </c>
      <c r="E156" s="436"/>
      <c r="F156" s="436"/>
      <c r="G156" s="436"/>
      <c r="H156" s="436"/>
      <c r="I156" s="436"/>
      <c r="J156" s="436"/>
      <c r="K156" s="436"/>
      <c r="L156" s="436"/>
      <c r="M156" s="436"/>
      <c r="N156" s="437"/>
    </row>
    <row r="157" spans="2:14" s="140" customFormat="1" ht="30" customHeight="1">
      <c r="B157" s="430" t="s">
        <v>164</v>
      </c>
      <c r="C157" s="431"/>
      <c r="D157" s="431"/>
      <c r="E157" s="431"/>
      <c r="F157" s="431"/>
      <c r="G157" s="431"/>
      <c r="H157" s="431"/>
      <c r="I157" s="431"/>
      <c r="J157" s="431"/>
      <c r="K157" s="431"/>
      <c r="L157" s="431"/>
      <c r="M157" s="431"/>
      <c r="N157" s="432"/>
    </row>
    <row r="158" spans="2:14" s="93" customFormat="1" ht="24.95" customHeight="1">
      <c r="B158" s="412">
        <v>1</v>
      </c>
      <c r="C158" s="413"/>
      <c r="D158" s="436" t="s">
        <v>165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93" customFormat="1" ht="24.95" customHeight="1">
      <c r="B159" s="412">
        <v>2</v>
      </c>
      <c r="C159" s="413"/>
      <c r="D159" s="436" t="s">
        <v>166</v>
      </c>
      <c r="E159" s="436"/>
      <c r="F159" s="436"/>
      <c r="G159" s="436"/>
      <c r="H159" s="436"/>
      <c r="I159" s="436"/>
      <c r="J159" s="436"/>
      <c r="K159" s="436"/>
      <c r="L159" s="436"/>
      <c r="M159" s="436"/>
      <c r="N159" s="437"/>
    </row>
    <row r="160" spans="2:14" s="93" customFormat="1" ht="24.95" customHeight="1">
      <c r="B160" s="412">
        <v>3</v>
      </c>
      <c r="C160" s="413"/>
      <c r="D160" s="436" t="s">
        <v>167</v>
      </c>
      <c r="E160" s="436"/>
      <c r="F160" s="436"/>
      <c r="G160" s="436"/>
      <c r="H160" s="436"/>
      <c r="I160" s="436"/>
      <c r="J160" s="436"/>
      <c r="K160" s="436"/>
      <c r="L160" s="436"/>
      <c r="M160" s="436"/>
      <c r="N160" s="437"/>
    </row>
    <row r="161" spans="2:14" s="93" customFormat="1" ht="24.95" customHeight="1">
      <c r="B161" s="412">
        <v>4</v>
      </c>
      <c r="C161" s="413"/>
      <c r="D161" s="436" t="s">
        <v>420</v>
      </c>
      <c r="E161" s="436"/>
      <c r="F161" s="436"/>
      <c r="G161" s="436"/>
      <c r="H161" s="436"/>
      <c r="I161" s="436"/>
      <c r="J161" s="436"/>
      <c r="K161" s="436"/>
      <c r="L161" s="436"/>
      <c r="M161" s="436"/>
      <c r="N161" s="437"/>
    </row>
    <row r="162" spans="2:14" s="93" customFormat="1" ht="24.95" customHeight="1">
      <c r="B162" s="438" t="s">
        <v>239</v>
      </c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</row>
    <row r="163" spans="2:14" s="93" customFormat="1" ht="24.95" customHeight="1">
      <c r="B163" s="438" t="s">
        <v>240</v>
      </c>
      <c r="C163" s="439"/>
      <c r="D163" s="439"/>
      <c r="E163" s="439"/>
      <c r="F163" s="439"/>
      <c r="G163" s="439"/>
      <c r="H163" s="439"/>
      <c r="I163" s="439"/>
      <c r="J163" s="439"/>
      <c r="K163" s="439"/>
      <c r="L163" s="439"/>
      <c r="M163" s="439"/>
      <c r="N163" s="440"/>
    </row>
    <row r="164" spans="2:14" s="93" customFormat="1" ht="41.25" customHeight="1">
      <c r="B164" s="456"/>
      <c r="C164" s="457"/>
      <c r="D164" s="457"/>
      <c r="E164" s="457"/>
      <c r="F164" s="457"/>
      <c r="G164" s="457"/>
      <c r="H164" s="457"/>
      <c r="I164" s="457"/>
      <c r="J164" s="457"/>
      <c r="K164" s="457"/>
      <c r="L164" s="457"/>
      <c r="M164" s="457"/>
      <c r="N164" s="458"/>
    </row>
    <row r="165" spans="2:14" s="93" customFormat="1" ht="39.950000000000003" customHeight="1">
      <c r="B165" s="459"/>
      <c r="C165" s="460"/>
      <c r="D165" s="460"/>
      <c r="E165" s="460"/>
      <c r="F165" s="460"/>
      <c r="G165" s="460"/>
      <c r="H165" s="460"/>
      <c r="I165" s="460"/>
      <c r="J165" s="460"/>
      <c r="K165" s="460"/>
      <c r="L165" s="460"/>
      <c r="M165" s="460"/>
      <c r="N165" s="461"/>
    </row>
    <row r="166" spans="2:14" s="93" customFormat="1" ht="41.25" customHeight="1">
      <c r="B166" s="459"/>
      <c r="C166" s="460"/>
      <c r="D166" s="460"/>
      <c r="E166" s="460"/>
      <c r="F166" s="460"/>
      <c r="G166" s="460"/>
      <c r="H166" s="460"/>
      <c r="I166" s="460"/>
      <c r="J166" s="460"/>
      <c r="K166" s="460"/>
      <c r="L166" s="460"/>
      <c r="M166" s="460"/>
      <c r="N166" s="461"/>
    </row>
    <row r="167" spans="2:14" s="93" customFormat="1" ht="39.950000000000003" customHeight="1" thickBot="1">
      <c r="B167" s="462"/>
      <c r="C167" s="463"/>
      <c r="D167" s="463"/>
      <c r="E167" s="463"/>
      <c r="F167" s="463"/>
      <c r="G167" s="463"/>
      <c r="H167" s="463"/>
      <c r="I167" s="463"/>
      <c r="J167" s="463"/>
      <c r="K167" s="463"/>
      <c r="L167" s="463"/>
      <c r="M167" s="463"/>
      <c r="N167" s="464"/>
    </row>
    <row r="168" spans="2:14" s="93" customFormat="1" ht="30" customHeight="1" thickTop="1">
      <c r="B168" s="446" t="s">
        <v>110</v>
      </c>
      <c r="C168" s="447"/>
      <c r="D168" s="447"/>
      <c r="E168" s="450"/>
      <c r="F168" s="451"/>
      <c r="G168" s="451"/>
      <c r="H168" s="451"/>
      <c r="I168" s="451"/>
      <c r="J168" s="451"/>
      <c r="K168" s="451"/>
      <c r="L168" s="452"/>
      <c r="M168" s="447" t="s">
        <v>204</v>
      </c>
      <c r="N168" s="448"/>
    </row>
    <row r="169" spans="2:14" s="93" customFormat="1" ht="33" customHeight="1" thickBot="1">
      <c r="B169" s="449" t="s">
        <v>107</v>
      </c>
      <c r="C169" s="444"/>
      <c r="D169" s="444"/>
      <c r="E169" s="453"/>
      <c r="F169" s="454"/>
      <c r="G169" s="454"/>
      <c r="H169" s="454"/>
      <c r="I169" s="454"/>
      <c r="J169" s="454"/>
      <c r="K169" s="454"/>
      <c r="L169" s="455"/>
      <c r="M169" s="444" t="s">
        <v>108</v>
      </c>
      <c r="N169" s="445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33:C133"/>
    <mergeCell ref="D133:N133"/>
    <mergeCell ref="B129:C129"/>
    <mergeCell ref="D129:N129"/>
    <mergeCell ref="B20:C20"/>
    <mergeCell ref="B21:C21"/>
    <mergeCell ref="B22:C22"/>
    <mergeCell ref="B23:C23"/>
    <mergeCell ref="B41:C41"/>
    <mergeCell ref="B42:C42"/>
    <mergeCell ref="B131:N131"/>
    <mergeCell ref="B127:N127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8:C128"/>
    <mergeCell ref="D128:N128"/>
    <mergeCell ref="B130:C130"/>
    <mergeCell ref="D130:N130"/>
    <mergeCell ref="B135:C135"/>
    <mergeCell ref="D135:N135"/>
    <mergeCell ref="B132:C132"/>
    <mergeCell ref="D132:N132"/>
    <mergeCell ref="B43:C43"/>
    <mergeCell ref="B44:C44"/>
    <mergeCell ref="B45:C45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43732</v>
      </c>
      <c r="F2" s="516" t="s">
        <v>244</v>
      </c>
      <c r="G2" s="516"/>
    </row>
    <row r="3" spans="3:13">
      <c r="C3" s="297" t="s">
        <v>126</v>
      </c>
      <c r="D3" s="517" t="str">
        <f>QUOTATION!F7</f>
        <v>Mr. P. Sathish Indu</v>
      </c>
      <c r="E3" s="517"/>
      <c r="F3" s="520" t="s">
        <v>245</v>
      </c>
      <c r="G3" s="521">
        <f>QUOTATION!N8</f>
        <v>43732</v>
      </c>
    </row>
    <row r="4" spans="3:13">
      <c r="C4" s="297" t="s">
        <v>242</v>
      </c>
      <c r="D4" s="518" t="str">
        <f>QUOTATION!M6</f>
        <v>ABPL-DE-19.20-2204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Ms. Prathyusha : 8008103067</v>
      </c>
      <c r="E6" s="517"/>
      <c r="F6" s="520"/>
      <c r="G6" s="522"/>
    </row>
    <row r="7" spans="3:13">
      <c r="C7" s="297" t="s">
        <v>375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Powder coating</v>
      </c>
      <c r="E8" s="517"/>
      <c r="F8" s="520"/>
      <c r="G8" s="522"/>
    </row>
    <row r="9" spans="3:13">
      <c r="C9" s="297" t="s">
        <v>177</v>
      </c>
      <c r="D9" s="517" t="str">
        <f>QUOTATION!I10</f>
        <v>Black</v>
      </c>
      <c r="E9" s="517"/>
      <c r="F9" s="520"/>
      <c r="G9" s="522"/>
    </row>
    <row r="10" spans="3:13">
      <c r="C10" s="297" t="s">
        <v>179</v>
      </c>
      <c r="D10" s="517" t="str">
        <f>QUOTATION!I8</f>
        <v>1.2Kpa</v>
      </c>
      <c r="E10" s="517"/>
      <c r="F10" s="520"/>
      <c r="G10" s="522"/>
    </row>
    <row r="11" spans="3:13">
      <c r="C11" s="297" t="s">
        <v>241</v>
      </c>
      <c r="D11" s="517" t="str">
        <f>QUOTATION!M9</f>
        <v>Bal Kumari</v>
      </c>
      <c r="E11" s="517"/>
      <c r="F11" s="520"/>
      <c r="G11" s="522"/>
    </row>
    <row r="12" spans="3:13">
      <c r="C12" s="297" t="s">
        <v>243</v>
      </c>
      <c r="D12" s="519">
        <f>QUOTATION!M7</f>
        <v>43732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1518.26</v>
      </c>
      <c r="F14" s="205"/>
      <c r="G14" s="206">
        <f>E14</f>
        <v>1518.26</v>
      </c>
    </row>
    <row r="15" spans="3:13">
      <c r="C15" s="194" t="s">
        <v>234</v>
      </c>
      <c r="D15" s="296">
        <f>'Changable Values'!D4</f>
        <v>83</v>
      </c>
      <c r="E15" s="199">
        <f>E14*D15</f>
        <v>126015.58</v>
      </c>
      <c r="F15" s="205"/>
      <c r="G15" s="207">
        <f>E15</f>
        <v>126015.58</v>
      </c>
    </row>
    <row r="16" spans="3:13">
      <c r="C16" s="195" t="s">
        <v>97</v>
      </c>
      <c r="D16" s="200">
        <f>'Changable Values'!D5</f>
        <v>0.1</v>
      </c>
      <c r="E16" s="199">
        <f>E15*D16</f>
        <v>12601.558000000001</v>
      </c>
      <c r="F16" s="208">
        <f>'Changable Values'!D5</f>
        <v>0.1</v>
      </c>
      <c r="G16" s="207">
        <f>G15*F16</f>
        <v>12601.558000000001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15247.885180000001</v>
      </c>
      <c r="F17" s="208">
        <f>'Changable Values'!D6</f>
        <v>0.11</v>
      </c>
      <c r="G17" s="207">
        <f>SUM(G15:G16)*F17</f>
        <v>15247.885180000001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769.32511590000013</v>
      </c>
      <c r="F18" s="208">
        <f>'Changable Values'!D7</f>
        <v>5.0000000000000001E-3</v>
      </c>
      <c r="G18" s="207">
        <f>SUM(G15:G17)*F18</f>
        <v>769.32511590000013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1546.3434829590001</v>
      </c>
      <c r="F19" s="208">
        <f>'Changable Values'!D8</f>
        <v>0.01</v>
      </c>
      <c r="G19" s="207">
        <f>SUM(G15:G18)*F19</f>
        <v>1546.3434829590001</v>
      </c>
    </row>
    <row r="20" spans="3:7">
      <c r="C20" s="195" t="s">
        <v>99</v>
      </c>
      <c r="D20" s="201"/>
      <c r="E20" s="199">
        <f>SUM(E15:E19)</f>
        <v>156180.69177885901</v>
      </c>
      <c r="F20" s="208"/>
      <c r="G20" s="207">
        <f>SUM(G15:G19)</f>
        <v>156180.69177885901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2342.710376682885</v>
      </c>
      <c r="F21" s="208">
        <f>'Changable Values'!D9</f>
        <v>1.4999999999999999E-2</v>
      </c>
      <c r="G21" s="207">
        <f>G20*F21</f>
        <v>2342.710376682885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27402.321608000006</v>
      </c>
      <c r="F23" s="209"/>
      <c r="G23" s="207">
        <f t="shared" si="0"/>
        <v>27402.321608000006</v>
      </c>
    </row>
    <row r="24" spans="3:7">
      <c r="C24" s="195" t="s">
        <v>229</v>
      </c>
      <c r="D24" s="198"/>
      <c r="E24" s="199">
        <f>'Cost Calculation'!AH111</f>
        <v>11932.817901639344</v>
      </c>
      <c r="F24" s="209"/>
      <c r="G24" s="207">
        <f t="shared" si="0"/>
        <v>11932.817901639344</v>
      </c>
    </row>
    <row r="25" spans="3:7">
      <c r="C25" s="196" t="s">
        <v>237</v>
      </c>
      <c r="D25" s="198"/>
      <c r="E25" s="199">
        <f>'Cost Calculation'!AJ109</f>
        <v>10783.982289599999</v>
      </c>
      <c r="F25" s="209"/>
      <c r="G25" s="207">
        <f t="shared" si="0"/>
        <v>10783.982289599999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28836.135993599994</v>
      </c>
      <c r="F27" s="209"/>
      <c r="G27" s="207">
        <f t="shared" si="0"/>
        <v>28836.135993599994</v>
      </c>
    </row>
    <row r="28" spans="3:7">
      <c r="C28" s="195" t="s">
        <v>88</v>
      </c>
      <c r="D28" s="198"/>
      <c r="E28" s="199">
        <f>'Cost Calculation'!AN109</f>
        <v>28836.135993599994</v>
      </c>
      <c r="F28" s="209"/>
      <c r="G28" s="207">
        <f t="shared" si="0"/>
        <v>28836.135993599994</v>
      </c>
    </row>
    <row r="29" spans="3:7">
      <c r="C29" s="293" t="s">
        <v>378</v>
      </c>
      <c r="D29" s="294"/>
      <c r="E29" s="295">
        <f>SUM(E20:E28)</f>
        <v>266314.79594198125</v>
      </c>
      <c r="F29" s="209"/>
      <c r="G29" s="207">
        <f>SUM(G20:G21,G24)</f>
        <v>170456.22005718126</v>
      </c>
    </row>
    <row r="30" spans="3:7">
      <c r="C30" s="293" t="s">
        <v>379</v>
      </c>
      <c r="D30" s="294"/>
      <c r="E30" s="295">
        <f>E29/E33</f>
        <v>923.54535989526539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213070.27507147659</v>
      </c>
      <c r="F31" s="214">
        <f>'Changable Values'!D23</f>
        <v>1.25</v>
      </c>
      <c r="G31" s="207">
        <f>G29*F31</f>
        <v>213070.27507147659</v>
      </c>
    </row>
    <row r="32" spans="3:7">
      <c r="C32" s="290" t="s">
        <v>5</v>
      </c>
      <c r="D32" s="291"/>
      <c r="E32" s="292">
        <f>E31+E29</f>
        <v>479385.07101345784</v>
      </c>
      <c r="F32" s="205"/>
      <c r="G32" s="207">
        <f>SUM(G25:G31,G22:G23)</f>
        <v>479385.07101345784</v>
      </c>
    </row>
    <row r="33" spans="3:7">
      <c r="C33" s="300" t="s">
        <v>230</v>
      </c>
      <c r="D33" s="301"/>
      <c r="E33" s="308">
        <f>'Cost Calculation'!K109</f>
        <v>288.36135993599999</v>
      </c>
      <c r="F33" s="210"/>
      <c r="G33" s="211">
        <f>E33</f>
        <v>288.36135993599999</v>
      </c>
    </row>
    <row r="34" spans="3:7">
      <c r="C34" s="302" t="s">
        <v>9</v>
      </c>
      <c r="D34" s="303"/>
      <c r="E34" s="304">
        <f>QUOTATION!L116</f>
        <v>11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1662.4455895195333</v>
      </c>
      <c r="F35" s="212"/>
      <c r="G35" s="213">
        <f>G32/(G33)</f>
        <v>1662.4455895195333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2019-09-24T05:37:58Z</cp:lastPrinted>
  <dcterms:created xsi:type="dcterms:W3CDTF">2010-12-18T06:34:46Z</dcterms:created>
  <dcterms:modified xsi:type="dcterms:W3CDTF">2019-09-30T09:34:06Z</dcterms:modified>
</cp:coreProperties>
</file>