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Drawings!$C$2:$O$161</definedName>
    <definedName name="_xlnm.Print_Area" localSheetId="6">QUOTATION!$B$1:$N$171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7" i="158" l="1"/>
  <c r="Q16" i="158"/>
  <c r="Q15" i="158"/>
  <c r="Q12" i="158"/>
  <c r="Q9" i="158"/>
  <c r="Q8" i="158"/>
  <c r="Q7" i="158"/>
  <c r="Q6" i="158"/>
  <c r="Q5" i="158"/>
  <c r="K17" i="161"/>
  <c r="K14" i="161"/>
  <c r="K13" i="161"/>
  <c r="K12" i="161"/>
  <c r="K11" i="161"/>
  <c r="K10" i="161"/>
  <c r="K9" i="161"/>
  <c r="Q4" i="158" l="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2" i="160" l="1"/>
  <c r="AH28" i="159"/>
  <c r="AH36" i="159"/>
  <c r="M50" i="160"/>
  <c r="M41" i="160"/>
  <c r="M35" i="160"/>
  <c r="AH48" i="159"/>
  <c r="AH44" i="159"/>
  <c r="AH24" i="159"/>
  <c r="AH32" i="159"/>
  <c r="AH40" i="159"/>
  <c r="M47" i="160"/>
  <c r="AH51" i="159"/>
  <c r="AH47" i="159"/>
  <c r="AH22" i="159"/>
  <c r="AH27" i="159"/>
  <c r="AH30" i="159"/>
  <c r="AH35" i="159"/>
  <c r="AH38" i="159"/>
  <c r="AH43" i="159"/>
  <c r="AH46" i="159"/>
  <c r="AH54" i="159"/>
  <c r="AH57" i="159"/>
  <c r="M26" i="160"/>
  <c r="M52" i="160"/>
  <c r="AH25" i="159"/>
  <c r="AH33" i="159"/>
  <c r="AH41" i="159"/>
  <c r="M31" i="160"/>
  <c r="M30" i="160"/>
  <c r="M51" i="160"/>
  <c r="AH31" i="159"/>
  <c r="AH52" i="159"/>
  <c r="AH55" i="159"/>
  <c r="AH49" i="159"/>
  <c r="AH23" i="159"/>
  <c r="AH26" i="159"/>
  <c r="AH34" i="159"/>
  <c r="AH39" i="159"/>
  <c r="AH42" i="159"/>
  <c r="M38" i="160"/>
  <c r="AH37" i="159"/>
  <c r="AH56" i="159"/>
  <c r="AH29" i="159"/>
  <c r="AH45" i="159"/>
  <c r="AH50" i="159"/>
  <c r="AH53" i="159"/>
  <c r="M36" i="160"/>
  <c r="AH21" i="159"/>
  <c r="AH20" i="159"/>
  <c r="AH19" i="159"/>
  <c r="AH18" i="159"/>
  <c r="AH17" i="159"/>
  <c r="AH16" i="159"/>
  <c r="AH15" i="159"/>
  <c r="AH10" i="159"/>
  <c r="AH14" i="159"/>
  <c r="AH13" i="159"/>
  <c r="AH12" i="159"/>
  <c r="AH11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N89" i="160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<sst xmlns="http://schemas.openxmlformats.org/spreadsheetml/2006/main" count="2005" uniqueCount="470">
  <si>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</si>
  <si>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</si>
  <si>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</si>
  <si>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</si>
  <si>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</si>
  <si>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</si>
  <si>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</si>
  <si>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</si>
  <si>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</si>
  <si>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</si>
  <si>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</si>
  <si>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</si>
  <si>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</si>
  <si>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</si>
  <si>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</si>
  <si>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</si>
  <si>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</si>
  <si>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</si>
  <si>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</si>
  <si>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</si>
  <si>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</si>
  <si>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</si>
  <si>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</si>
  <si>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</si>
  <si>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</si>
  <si>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</si>
  <si>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</si>
  <si>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</si>
  <si>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</si>
  <si>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</si>
  <si>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</si>
  <si>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</si>
  <si>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</si>
  <si>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</si>
  <si>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</si>
  <si>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</si>
  <si>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</si>
  <si>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</si>
  <si>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</si>
  <si>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</si>
  <si>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</si>
  <si>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</si>
  <si>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</si>
  <si>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</si>
  <si>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</si>
  <si>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</si>
  <si>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</si>
  <si>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</si>
  <si>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</si>
  <si>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</si>
  <si>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</si>
  <si>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</si>
  <si>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</si>
  <si>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</si>
  <si>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</si>
  <si>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</si>
  <si>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</si>
  <si>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</si>
  <si>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</si>
  <si>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</si>
  <si>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</si>
  <si>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</si>
  <si>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</si>
  <si>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</si>
  <si>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</si>
  <si>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</si>
  <si>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</si>
  <si>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</si>
  <si>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</si>
  <si>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</si>
  <si>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</si>
  <si>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</si>
  <si>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</si>
  <si>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</si>
  <si>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</si>
  <si>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</si>
  <si>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</si>
  <si>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</si>
  <si>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</si>
  <si>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</si>
  <si>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</si>
  <si>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</si>
  <si>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</si>
  <si>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</si>
  <si>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</si>
  <si>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</si>
  <si>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</si>
  <si>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</si>
  <si>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</si>
  <si>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</si>
  <si>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</si>
  <si>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</si>
  <si>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</si>
  <si>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</si>
  <si>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</si>
  <si>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</si>
  <si>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</si>
  <si>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</si>
  <si>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</si>
  <si>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</si>
  <si>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</si>
  <si>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</si>
  <si>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</si>
  <si>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</si>
  <si>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</si>
  <si>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</si>
  <si>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</si>
  <si>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</si>
  <si>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</si>
  <si>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</si>
  <si>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</si>
  <si>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</si>
  <si>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</si>
  <si>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</si>
  <si>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</si>
  <si>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</si>
  <si>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</si>
  <si>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</si>
  <si>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</si>
  <si>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</si>
  <si>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</si>
  <si>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</si>
  <si>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</si>
  <si>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</si>
  <si>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</si>
  <si>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</si>
  <si>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</si>
  <si>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</si>
  <si>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</si>
  <si>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</si>
  <si>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</si>
  <si>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</si>
  <si>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</si>
  <si>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</si>
  <si>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</si>
  <si>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</si>
  <si>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</si>
  <si>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</si>
  <si>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</si>
  <si>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</si>
  <si>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</si>
  <si>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</si>
  <si>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</si>
  <si>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</si>
  <si>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</si>
  <si>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</si>
  <si>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</si>
  <si>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</si>
  <si>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</si>
  <si>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</si>
  <si>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</si>
  <si>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</si>
  <si>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</si>
  <si>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</si>
  <si>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</si>
  <si>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</si>
  <si>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</si>
  <si>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</si>
  <si>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</si>
  <si>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</si>
  <si>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</si>
  <si>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</si>
  <si>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</si>
  <si>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</si>
  <si>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</si>
  <si>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</si>
  <si>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</si>
  <si>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</si>
  <si>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</si>
  <si>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</si>
  <si>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</si>
  <si>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</si>
  <si>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</si>
  <si>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</si>
  <si>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</si>
  <si>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</si>
  <si>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</si>
  <si>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</si>
  <si>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</si>
  <si>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</si>
  <si>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</si>
  <si>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</si>
  <si>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</si>
  <si>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</si>
  <si>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</si>
  <si>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</si>
  <si>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</si>
  <si>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</si>
  <si>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</si>
  <si>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</si>
  <si>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</si>
  <si>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</si>
  <si>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</si>
  <si>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</si>
  <si>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</si>
  <si>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</si>
  <si>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</si>
  <si>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</si>
  <si>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</si>
  <si>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</si>
  <si>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</si>
  <si>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</si>
  <si>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</si>
  <si>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</si>
  <si>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</si>
  <si>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</si>
  <si>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</si>
  <si>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</si>
  <si>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</si>
  <si>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</si>
  <si>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</si>
  <si>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</si>
  <si>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</si>
  <si>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</si>
  <si>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</si>
  <si>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</si>
  <si>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</si>
  <si>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</si>
  <si>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</si>
  <si>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</si>
  <si>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</si>
  <si>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</si>
  <si>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</si>
  <si>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</si>
  <si>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</si>
  <si>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</si>
  <si>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</si>
  <si>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</si>
  <si>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</si>
  <si>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</si>
  <si>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</si>
  <si>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</si>
  <si>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</si>
  <si>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</si>
  <si>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</si>
  <si>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</si>
  <si>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</si>
  <si>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</si>
  <si>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</si>
  <si>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</si>
  <si>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</si>
  <si>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</si>
  <si>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</si>
  <si>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</si>
  <si>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</si>
  <si>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</si>
  <si>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</si>
  <si>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</si>
  <si>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</si>
  <si>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</si>
  <si>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</si>
  <si>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</si>
  <si>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</si>
  <si>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</si>
  <si>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</si>
  <si>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</si>
  <si>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</si>
  <si>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</si>
  <si>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</si>
  <si>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</si>
  <si>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</si>
  <si>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</si>
  <si>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</si>
  <si>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</si>
  <si>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</si>
  <si>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</si>
  <si>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</si>
  <si>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</si>
  <si>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</si>
  <si>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</si>
  <si>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</si>
  <si>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</si>
  <si>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</si>
  <si>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</si>
  <si>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</si>
  <si>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</si>
  <si>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</si>
  <si>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</si>
  <si>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</si>
  <si>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</si>
  <si>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</si>
  <si>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</si>
  <si>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</si>
  <si>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</si>
  <si>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</si>
  <si>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</si>
  <si>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</si>
  <si>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</si>
  <si>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</si>
  <si>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</si>
  <si>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</si>
  <si>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</si>
  <si>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</si>
  <si>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</si>
  <si>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</si>
  <si>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</si>
  <si>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</si>
  <si>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</si>
  <si>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</si>
  <si>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</si>
  <si>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</si>
  <si>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</si>
  <si>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</si>
  <si>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</si>
  <si>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</si>
  <si>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</si>
  <si>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</si>
  <si>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</si>
  <si>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</si>
  <si>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</si>
  <si>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</si>
  <si>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</si>
  <si>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</si>
  <si>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</si>
  <si>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</si>
  <si>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</si>
  <si>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</si>
  <si>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</si>
  <si>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</si>
  <si>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</si>
  <si>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</si>
  <si>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</si>
  <si>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</si>
  <si>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</si>
  <si>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</si>
  <si>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</si>
  <si>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</si>
  <si>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</si>
  <si>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</si>
  <si>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</si>
  <si>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</si>
  <si>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</si>
  <si>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</si>
  <si>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</si>
  <si>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</si>
  <si>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</si>
  <si>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</si>
  <si>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</si>
  <si>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</si>
  <si>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</si>
  <si>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</si>
  <si>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</si>
  <si>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</si>
  <si>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</si>
  <si>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</si>
  <si>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</si>
  <si>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</si>
  <si>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</si>
  <si>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</si>
  <si>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</si>
  <si>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</si>
  <si>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</si>
  <si>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</si>
  <si>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</si>
  <si>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</si>
  <si>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</si>
  <si>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</si>
  <si>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</si>
  <si>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</si>
  <si>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</si>
  <si>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</si>
  <si>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</si>
  <si>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</si>
  <si>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</si>
  <si>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</si>
  <si>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</si>
  <si>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</si>
  <si>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</si>
  <si>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</si>
  <si>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</si>
  <si>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</si>
  <si>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</si>
  <si>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</si>
  <si>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</si>
  <si>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</si>
  <si>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</si>
  <si>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</si>
  <si>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</si>
  <si>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</si>
  <si>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</si>
  <si>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</si>
  <si>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</si>
  <si>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</si>
  <si>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</si>
  <si>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</si>
  <si>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</si>
  <si>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</si>
  <si>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</si>
  <si>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</si>
  <si>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</si>
  <si>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</si>
  <si>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</si>
  <si>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</si>
  <si>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</si>
  <si>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</si>
  <si>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</si>
  <si>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</si>
  <si>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</si>
  <si>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</si>
  <si>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</si>
  <si>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</si>
  <si>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</si>
  <si>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</si>
  <si>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</si>
  <si>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</si>
  <si>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</si>
  <si>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</si>
  <si>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</si>
  <si>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</si>
  <si>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</si>
  <si>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</si>
  <si>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</si>
  <si>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</si>
  <si>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</si>
  <si>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</si>
  <si>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</si>
  <si>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</si>
  <si>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</si>
  <si>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</si>
  <si>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</si>
  <si>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</si>
  <si>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Hyderabad</t>
  </si>
  <si>
    <t>Powder coating</t>
  </si>
  <si>
    <t>Mr. P. Sathish Indu</t>
  </si>
  <si>
    <t>1.2Kpa</t>
  </si>
  <si>
    <t>ABPL-DE-19.20-2204</t>
  </si>
  <si>
    <t>W1</t>
  </si>
  <si>
    <t>M900 &amp; M940</t>
  </si>
  <si>
    <t>3 TRACK 2 SHUTTER SLIDING WINDOW WITH BOTTOM FIXED</t>
  </si>
  <si>
    <t>6MM</t>
  </si>
  <si>
    <t>SS</t>
  </si>
  <si>
    <t>GF - ENTRANCE FOYER</t>
  </si>
  <si>
    <t>M900</t>
  </si>
  <si>
    <t>3 TRACK 2 SHUTTER SLIDING WINDOW</t>
  </si>
  <si>
    <t>W2</t>
  </si>
  <si>
    <t>W3</t>
  </si>
  <si>
    <t>1F - BR</t>
  </si>
  <si>
    <t>W4</t>
  </si>
  <si>
    <t>V1</t>
  </si>
  <si>
    <t>M940</t>
  </si>
  <si>
    <t>FIXED GLASS</t>
  </si>
  <si>
    <t>6MM (F)</t>
  </si>
  <si>
    <t>NO</t>
  </si>
  <si>
    <t>TOILET</t>
  </si>
  <si>
    <t>FG1</t>
  </si>
  <si>
    <t>FIXED GLASS 3 NO'S</t>
  </si>
  <si>
    <t>6mm :- 6mm Clear Toughened Glass</t>
  </si>
  <si>
    <t>6mm (F) :- 6mm Frosted Toughened Glass</t>
  </si>
  <si>
    <t>GF - MB/R1 &amp; FF - KB/R</t>
  </si>
  <si>
    <t>W1A</t>
  </si>
  <si>
    <t>20MM</t>
  </si>
  <si>
    <t>1F - HOME THEATER</t>
  </si>
  <si>
    <t>2F - MBR &amp; 1SF</t>
  </si>
  <si>
    <t>GF - DGR, 1FF-STAIR / 1SF</t>
  </si>
  <si>
    <t>GF</t>
  </si>
  <si>
    <t>KW1</t>
  </si>
  <si>
    <t>GF - KITCHEN</t>
  </si>
  <si>
    <t>KW2</t>
  </si>
  <si>
    <t>KW3</t>
  </si>
  <si>
    <t>SLD1</t>
  </si>
  <si>
    <t>M14600</t>
  </si>
  <si>
    <t>3 TRACK 2 SHUTTER SLIDING DOOR</t>
  </si>
  <si>
    <t>FF - HOME THEATER</t>
  </si>
  <si>
    <t>SLD2</t>
  </si>
  <si>
    <t>GF - LIVING HALL &amp; 1F - HOME THEATER</t>
  </si>
  <si>
    <t>SLD3</t>
  </si>
  <si>
    <t>SF</t>
  </si>
  <si>
    <t>24mm :- 6mm Clear Toughened Glass + 12mm Spacer + 6mm Clear Toughened Glass</t>
  </si>
  <si>
    <t>20mm :- 5mm Clear Toughened Glass + 10mm Spacer + 5mm Clear Toughened Glass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</si>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</sst>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165</xdr:row>
      <xdr:rowOff>119150</xdr:rowOff>
    </xdr:from>
    <xdr:to>
      <xdr:col>13</xdr:col>
      <xdr:colOff>1496291</xdr:colOff>
      <xdr:row>168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238538</xdr:colOff>
      <xdr:row>8</xdr:row>
      <xdr:rowOff>128378</xdr:rowOff>
    </xdr:from>
    <xdr:to>
      <xdr:col>9</xdr:col>
      <xdr:colOff>173763</xdr:colOff>
      <xdr:row>16</xdr:row>
      <xdr:rowOff>173934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799" y="1602682"/>
          <a:ext cx="3852899" cy="2563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19</xdr:row>
      <xdr:rowOff>124240</xdr:rowOff>
    </xdr:from>
    <xdr:to>
      <xdr:col>6</xdr:col>
      <xdr:colOff>306457</xdr:colOff>
      <xdr:row>27</xdr:row>
      <xdr:rowOff>127183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4911588"/>
          <a:ext cx="2509631" cy="2520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372715</xdr:colOff>
      <xdr:row>30</xdr:row>
      <xdr:rowOff>132521</xdr:rowOff>
    </xdr:from>
    <xdr:to>
      <xdr:col>6</xdr:col>
      <xdr:colOff>289890</xdr:colOff>
      <xdr:row>38</xdr:row>
      <xdr:rowOff>218664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6" y="8232912"/>
          <a:ext cx="2592457" cy="2604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496955</xdr:colOff>
      <xdr:row>41</xdr:row>
      <xdr:rowOff>82828</xdr:rowOff>
    </xdr:from>
    <xdr:to>
      <xdr:col>6</xdr:col>
      <xdr:colOff>74543</xdr:colOff>
      <xdr:row>49</xdr:row>
      <xdr:rowOff>200842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6" y="11496263"/>
          <a:ext cx="2252870" cy="2635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438977</xdr:colOff>
      <xdr:row>52</xdr:row>
      <xdr:rowOff>124239</xdr:rowOff>
    </xdr:from>
    <xdr:to>
      <xdr:col>5</xdr:col>
      <xdr:colOff>1954695</xdr:colOff>
      <xdr:row>60</xdr:row>
      <xdr:rowOff>193802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8" y="14850717"/>
          <a:ext cx="2211457" cy="2587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63</xdr:row>
      <xdr:rowOff>66262</xdr:rowOff>
    </xdr:from>
    <xdr:to>
      <xdr:col>5</xdr:col>
      <xdr:colOff>1391479</xdr:colOff>
      <xdr:row>71</xdr:row>
      <xdr:rowOff>195569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18105784"/>
          <a:ext cx="1457740" cy="264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588063</xdr:colOff>
      <xdr:row>75</xdr:row>
      <xdr:rowOff>149087</xdr:rowOff>
    </xdr:from>
    <xdr:to>
      <xdr:col>5</xdr:col>
      <xdr:colOff>1184411</xdr:colOff>
      <xdr:row>80</xdr:row>
      <xdr:rowOff>313388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4" y="21816391"/>
          <a:ext cx="1292087" cy="1737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85</xdr:row>
      <xdr:rowOff>124239</xdr:rowOff>
    </xdr:from>
    <xdr:to>
      <xdr:col>8</xdr:col>
      <xdr:colOff>99391</xdr:colOff>
      <xdr:row>93</xdr:row>
      <xdr:rowOff>209689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24789848"/>
          <a:ext cx="3544957" cy="2603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530087</xdr:colOff>
      <xdr:row>96</xdr:row>
      <xdr:rowOff>190499</xdr:rowOff>
    </xdr:from>
    <xdr:to>
      <xdr:col>6</xdr:col>
      <xdr:colOff>107675</xdr:colOff>
      <xdr:row>104</xdr:row>
      <xdr:rowOff>132043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28169151"/>
          <a:ext cx="2252870" cy="2459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405846</xdr:colOff>
      <xdr:row>109</xdr:row>
      <xdr:rowOff>33129</xdr:rowOff>
    </xdr:from>
    <xdr:to>
      <xdr:col>8</xdr:col>
      <xdr:colOff>130139</xdr:colOff>
      <xdr:row>113</xdr:row>
      <xdr:rowOff>273326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042" y="31954303"/>
          <a:ext cx="3641967" cy="1499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670891</xdr:colOff>
      <xdr:row>118</xdr:row>
      <xdr:rowOff>273326</xdr:rowOff>
    </xdr:from>
    <xdr:to>
      <xdr:col>5</xdr:col>
      <xdr:colOff>1515718</xdr:colOff>
      <xdr:row>125</xdr:row>
      <xdr:rowOff>142380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152" y="34878065"/>
          <a:ext cx="1540566" cy="2072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414129</xdr:colOff>
      <xdr:row>129</xdr:row>
      <xdr:rowOff>82824</xdr:rowOff>
    </xdr:from>
    <xdr:to>
      <xdr:col>7</xdr:col>
      <xdr:colOff>256760</xdr:colOff>
      <xdr:row>137</xdr:row>
      <xdr:rowOff>266617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8325" y="38000607"/>
          <a:ext cx="3495261" cy="2701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563216</xdr:colOff>
      <xdr:row>140</xdr:row>
      <xdr:rowOff>74543</xdr:rowOff>
    </xdr:from>
    <xdr:to>
      <xdr:col>7</xdr:col>
      <xdr:colOff>182218</xdr:colOff>
      <xdr:row>148</xdr:row>
      <xdr:rowOff>235918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7412" y="41305369"/>
          <a:ext cx="3271632" cy="2679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151</xdr:row>
      <xdr:rowOff>49695</xdr:rowOff>
    </xdr:from>
    <xdr:to>
      <xdr:col>5</xdr:col>
      <xdr:colOff>1946413</xdr:colOff>
      <xdr:row>159</xdr:row>
      <xdr:rowOff>224930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44593565"/>
          <a:ext cx="2170044" cy="2693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52" sqref="C152:K16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ABPL-DE-19.20-2204</v>
      </c>
      <c r="O2" s="540"/>
      <c r="P2" s="219" t="s">
        <v>256</v>
      </c>
    </row>
    <row r="3" spans="2:16">
      <c r="B3" s="218"/>
      <c r="C3" s="538" t="s">
        <v>126</v>
      </c>
      <c r="D3" s="538"/>
      <c r="E3" s="538"/>
      <c r="F3" s="540" t="str">
        <f>QUOTATION!F7</f>
        <v>Mr. P. Sathish Indu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43732</v>
      </c>
      <c r="O3" s="546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1" t="s">
        <v>179</v>
      </c>
      <c r="J4" s="541"/>
      <c r="K4" s="540" t="str">
        <f>QUOTATION!I8</f>
        <v>1.2Kpa</v>
      </c>
      <c r="L4" s="540"/>
      <c r="M4" s="284" t="s">
        <v>105</v>
      </c>
      <c r="N4" s="286" t="str">
        <f>QUOTATION!M8</f>
        <v>R2</v>
      </c>
      <c r="O4" s="287">
        <f>QUOTATION!N8</f>
        <v>43735</v>
      </c>
    </row>
    <row r="5" spans="2:16">
      <c r="B5" s="218"/>
      <c r="C5" s="538" t="s">
        <v>168</v>
      </c>
      <c r="D5" s="538"/>
      <c r="E5" s="538"/>
      <c r="F5" s="540" t="str">
        <f>QUOTATION!F9</f>
        <v>Ms. Prathyusha : 8008103067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Bal Kumari</v>
      </c>
      <c r="O5" s="540"/>
    </row>
    <row r="6" spans="2:16">
      <c r="B6" s="218"/>
      <c r="C6" s="538" t="s">
        <v>176</v>
      </c>
      <c r="D6" s="538"/>
      <c r="E6" s="538"/>
      <c r="F6" s="285" t="str">
        <f>QUOTATION!F10</f>
        <v>Powder coating</v>
      </c>
      <c r="G6" s="538"/>
      <c r="H6" s="538"/>
      <c r="I6" s="541" t="s">
        <v>177</v>
      </c>
      <c r="J6" s="541"/>
      <c r="K6" s="540" t="str">
        <f>QUOTATION!I10</f>
        <v>Black</v>
      </c>
      <c r="L6" s="540"/>
      <c r="M6" s="320" t="s">
        <v>372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253</v>
      </c>
      <c r="D8" s="538"/>
      <c r="E8" s="286" t="str">
        <f>'BD Team'!B9</f>
        <v>W</v>
      </c>
      <c r="F8" s="288" t="s">
        <v>254</v>
      </c>
      <c r="G8" s="540" t="str">
        <f>'BD Team'!D9</f>
        <v>3 TRACK 2 SHUTTER SLIDING WINDOW WITH BOTTOM FIXED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GF - ENTRANCE FOYER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246</v>
      </c>
      <c r="M10" s="538"/>
      <c r="N10" s="540" t="str">
        <f>$F$6</f>
        <v>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177</v>
      </c>
      <c r="M11" s="538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247</v>
      </c>
      <c r="M12" s="538"/>
      <c r="N12" s="549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248</v>
      </c>
      <c r="M13" s="538"/>
      <c r="N13" s="540" t="str">
        <f>CONCATENATE('BD Team'!H9," X ",'BD Team'!I9)</f>
        <v>1830 X 2058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249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250</v>
      </c>
      <c r="M15" s="538"/>
      <c r="N15" s="540" t="str">
        <f>'BD Team'!C9</f>
        <v>M900 &amp; M940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251</v>
      </c>
      <c r="M16" s="538"/>
      <c r="N16" s="540" t="str">
        <f>'BD Team'!E9</f>
        <v>6MM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252</v>
      </c>
      <c r="M17" s="538"/>
      <c r="N17" s="540" t="str">
        <f>'BD Team'!F9</f>
        <v>SS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253</v>
      </c>
      <c r="D19" s="538"/>
      <c r="E19" s="286" t="str">
        <f>'BD Team'!B10</f>
        <v>W1</v>
      </c>
      <c r="F19" s="288" t="s">
        <v>254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GF - MB/R1 &amp; FF - KB/R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246</v>
      </c>
      <c r="M21" s="538"/>
      <c r="N21" s="540" t="str">
        <f>$F$6</f>
        <v>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177</v>
      </c>
      <c r="M22" s="538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247</v>
      </c>
      <c r="M23" s="538"/>
      <c r="N23" s="543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248</v>
      </c>
      <c r="M24" s="538"/>
      <c r="N24" s="540" t="str">
        <f>CONCATENATE('BD Team'!H10," X ",'BD Team'!I10)</f>
        <v>1830 X 1372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249</v>
      </c>
      <c r="M25" s="538"/>
      <c r="N25" s="539">
        <f>'BD Team'!J10</f>
        <v>2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250</v>
      </c>
      <c r="M26" s="538"/>
      <c r="N26" s="540" t="str">
        <f>'BD Team'!C10</f>
        <v>M900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251</v>
      </c>
      <c r="M27" s="538"/>
      <c r="N27" s="540" t="str">
        <f>'BD Team'!E10</f>
        <v>6MM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252</v>
      </c>
      <c r="M28" s="538"/>
      <c r="N28" s="540" t="str">
        <f>'BD Team'!F10</f>
        <v>SS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253</v>
      </c>
      <c r="D30" s="538"/>
      <c r="E30" s="286" t="str">
        <f>'BD Team'!B11</f>
        <v>W1A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1F - HOME THEATER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246</v>
      </c>
      <c r="M32" s="538"/>
      <c r="N32" s="540" t="str">
        <f>$F$6</f>
        <v>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177</v>
      </c>
      <c r="M33" s="538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247</v>
      </c>
      <c r="M34" s="538"/>
      <c r="N34" s="543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248</v>
      </c>
      <c r="M35" s="538"/>
      <c r="N35" s="540" t="str">
        <f>CONCATENATE('BD Team'!H11," X ",'BD Team'!I11)</f>
        <v>1830 X 1372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249</v>
      </c>
      <c r="M36" s="538"/>
      <c r="N36" s="539">
        <f>'BD Team'!J11</f>
        <v>1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250</v>
      </c>
      <c r="M37" s="538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251</v>
      </c>
      <c r="M38" s="538"/>
      <c r="N38" s="540" t="str">
        <f>'BD Team'!E11</f>
        <v>20MM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252</v>
      </c>
      <c r="M39" s="538"/>
      <c r="N39" s="540" t="str">
        <f>'BD Team'!F11</f>
        <v>SS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253</v>
      </c>
      <c r="D41" s="538"/>
      <c r="E41" s="286" t="str">
        <f>'BD Team'!B12</f>
        <v>W2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2F - MBR &amp; 1SF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246</v>
      </c>
      <c r="M43" s="538"/>
      <c r="N43" s="540" t="str">
        <f>$F$6</f>
        <v>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177</v>
      </c>
      <c r="M44" s="538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247</v>
      </c>
      <c r="M45" s="538"/>
      <c r="N45" s="543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248</v>
      </c>
      <c r="M46" s="538"/>
      <c r="N46" s="540" t="str">
        <f>CONCATENATE('BD Team'!H12," X ",'BD Team'!I12)</f>
        <v>1524 X 1372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249</v>
      </c>
      <c r="M47" s="538"/>
      <c r="N47" s="539">
        <f>'BD Team'!J12</f>
        <v>3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250</v>
      </c>
      <c r="M48" s="538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251</v>
      </c>
      <c r="M49" s="538"/>
      <c r="N49" s="540" t="str">
        <f>'BD Team'!E12</f>
        <v>6MM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252</v>
      </c>
      <c r="M50" s="538"/>
      <c r="N50" s="540" t="str">
        <f>'BD Team'!F12</f>
        <v>SS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253</v>
      </c>
      <c r="D52" s="538"/>
      <c r="E52" s="286" t="str">
        <f>'BD Team'!B13</f>
        <v>W3</v>
      </c>
      <c r="F52" s="288" t="s">
        <v>254</v>
      </c>
      <c r="G52" s="540" t="str">
        <f>'BD Team'!D13</f>
        <v>3 TRACK 2 SHUTTER SLIDING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1F - BR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246</v>
      </c>
      <c r="M54" s="538"/>
      <c r="N54" s="540" t="str">
        <f>$F$6</f>
        <v>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177</v>
      </c>
      <c r="M55" s="538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247</v>
      </c>
      <c r="M56" s="538"/>
      <c r="N56" s="543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248</v>
      </c>
      <c r="M57" s="538"/>
      <c r="N57" s="540" t="str">
        <f>CONCATENATE('BD Team'!H13," X ",'BD Team'!I13)</f>
        <v>1524 X 1372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249</v>
      </c>
      <c r="M58" s="538"/>
      <c r="N58" s="539">
        <f>'BD Team'!J13</f>
        <v>1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250</v>
      </c>
      <c r="M59" s="538"/>
      <c r="N59" s="540" t="str">
        <f>'BD Team'!C13</f>
        <v>M900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251</v>
      </c>
      <c r="M60" s="538"/>
      <c r="N60" s="540" t="str">
        <f>'BD Team'!E13</f>
        <v>6MM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252</v>
      </c>
      <c r="M61" s="538"/>
      <c r="N61" s="540" t="str">
        <f>'BD Team'!F13</f>
        <v>SS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253</v>
      </c>
      <c r="D63" s="538"/>
      <c r="E63" s="286" t="str">
        <f>'BD Team'!B14</f>
        <v>W4</v>
      </c>
      <c r="F63" s="288" t="s">
        <v>254</v>
      </c>
      <c r="G63" s="540" t="str">
        <f>'BD Team'!D14</f>
        <v>3 TRACK 2 SHUTTER SLIDING WINDOW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 t="str">
        <f>'BD Team'!G14</f>
        <v>GF - DGR, 1FF-STAIR / 1SF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246</v>
      </c>
      <c r="M65" s="538"/>
      <c r="N65" s="540" t="str">
        <f>$F$6</f>
        <v>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177</v>
      </c>
      <c r="M66" s="538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247</v>
      </c>
      <c r="M67" s="538"/>
      <c r="N67" s="543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248</v>
      </c>
      <c r="M68" s="538"/>
      <c r="N68" s="540" t="str">
        <f>CONCATENATE('BD Team'!H14," X ",'BD Team'!I14)</f>
        <v>916 X 1372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249</v>
      </c>
      <c r="M69" s="538"/>
      <c r="N69" s="539">
        <f>'BD Team'!J14</f>
        <v>3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250</v>
      </c>
      <c r="M70" s="538"/>
      <c r="N70" s="540" t="str">
        <f>'BD Team'!C14</f>
        <v>M900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251</v>
      </c>
      <c r="M71" s="538"/>
      <c r="N71" s="540" t="str">
        <f>'BD Team'!E14</f>
        <v>6MM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252</v>
      </c>
      <c r="M72" s="538"/>
      <c r="N72" s="540" t="str">
        <f>'BD Team'!F14</f>
        <v>SS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253</v>
      </c>
      <c r="D74" s="538"/>
      <c r="E74" s="286" t="str">
        <f>'BD Team'!B15</f>
        <v>V1</v>
      </c>
      <c r="F74" s="288" t="s">
        <v>254</v>
      </c>
      <c r="G74" s="540" t="str">
        <f>'BD Team'!D15</f>
        <v>FIXED GLASS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 t="str">
        <f>'BD Team'!G15</f>
        <v>TOILET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246</v>
      </c>
      <c r="M76" s="538"/>
      <c r="N76" s="540" t="str">
        <f>$F$6</f>
        <v>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177</v>
      </c>
      <c r="M77" s="538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247</v>
      </c>
      <c r="M78" s="538"/>
      <c r="N78" s="543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248</v>
      </c>
      <c r="M79" s="538"/>
      <c r="N79" s="540" t="str">
        <f>CONCATENATE('BD Team'!H15," X ",'BD Team'!I15)</f>
        <v>610 X 916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249</v>
      </c>
      <c r="M80" s="538"/>
      <c r="N80" s="539">
        <f>'BD Team'!J15</f>
        <v>6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250</v>
      </c>
      <c r="M81" s="538"/>
      <c r="N81" s="540" t="str">
        <f>'BD Team'!C15</f>
        <v>M940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251</v>
      </c>
      <c r="M82" s="538"/>
      <c r="N82" s="540" t="str">
        <f>'BD Team'!E15</f>
        <v>6MM (F)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252</v>
      </c>
      <c r="M83" s="538"/>
      <c r="N83" s="540" t="str">
        <f>'BD Team'!F15</f>
        <v>NO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253</v>
      </c>
      <c r="D85" s="538"/>
      <c r="E85" s="286" t="str">
        <f>'BD Team'!B16</f>
        <v>FG1</v>
      </c>
      <c r="F85" s="288" t="s">
        <v>254</v>
      </c>
      <c r="G85" s="540" t="str">
        <f>'BD Team'!D16</f>
        <v>FIXED GLASS 3 NO'S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 t="str">
        <f>'BD Team'!G16</f>
        <v>GF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246</v>
      </c>
      <c r="M87" s="538"/>
      <c r="N87" s="540" t="str">
        <f>$F$6</f>
        <v>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177</v>
      </c>
      <c r="M88" s="538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247</v>
      </c>
      <c r="M89" s="538"/>
      <c r="N89" s="543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248</v>
      </c>
      <c r="M90" s="538"/>
      <c r="N90" s="540" t="str">
        <f>CONCATENATE('BD Team'!H16," X ",'BD Team'!I16)</f>
        <v>3048 X 2058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249</v>
      </c>
      <c r="M91" s="538"/>
      <c r="N91" s="539">
        <f>'BD Team'!J16</f>
        <v>1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250</v>
      </c>
      <c r="M92" s="538"/>
      <c r="N92" s="540" t="str">
        <f>'BD Team'!C16</f>
        <v>M940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251</v>
      </c>
      <c r="M93" s="538"/>
      <c r="N93" s="540" t="str">
        <f>'BD Team'!E16</f>
        <v>6MM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252</v>
      </c>
      <c r="M94" s="538"/>
      <c r="N94" s="540" t="str">
        <f>'BD Team'!F16</f>
        <v>NO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253</v>
      </c>
      <c r="D96" s="538"/>
      <c r="E96" s="286" t="str">
        <f>'BD Team'!B17</f>
        <v>KW1</v>
      </c>
      <c r="F96" s="288" t="s">
        <v>254</v>
      </c>
      <c r="G96" s="540" t="str">
        <f>'BD Team'!D17</f>
        <v>3 TRACK 2 SHUTTER SLIDING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 t="str">
        <f>'BD Team'!G17</f>
        <v>GF - KITCHEN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246</v>
      </c>
      <c r="M98" s="538"/>
      <c r="N98" s="540" t="str">
        <f>$F$6</f>
        <v>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177</v>
      </c>
      <c r="M99" s="538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247</v>
      </c>
      <c r="M100" s="538"/>
      <c r="N100" s="543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248</v>
      </c>
      <c r="M101" s="538"/>
      <c r="N101" s="540" t="str">
        <f>CONCATENATE('BD Team'!H17," X ",'BD Team'!I17)</f>
        <v>1220 X 916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249</v>
      </c>
      <c r="M102" s="538"/>
      <c r="N102" s="539">
        <f>'BD Team'!J17</f>
        <v>1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250</v>
      </c>
      <c r="M103" s="538"/>
      <c r="N103" s="540" t="str">
        <f>'BD Team'!C17</f>
        <v>M900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251</v>
      </c>
      <c r="M104" s="538"/>
      <c r="N104" s="540" t="str">
        <f>'BD Team'!E17</f>
        <v>6MM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252</v>
      </c>
      <c r="M105" s="538"/>
      <c r="N105" s="540" t="str">
        <f>'BD Team'!F17</f>
        <v>SS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253</v>
      </c>
      <c r="D107" s="538"/>
      <c r="E107" s="286" t="str">
        <f>'BD Team'!B18</f>
        <v>KW2</v>
      </c>
      <c r="F107" s="288" t="s">
        <v>254</v>
      </c>
      <c r="G107" s="540" t="str">
        <f>'BD Team'!D18</f>
        <v>FIXED GLASS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 t="str">
        <f>'BD Team'!G18</f>
        <v>GF - KITCHEN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246</v>
      </c>
      <c r="M109" s="538"/>
      <c r="N109" s="540" t="str">
        <f>$F$6</f>
        <v>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177</v>
      </c>
      <c r="M110" s="538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247</v>
      </c>
      <c r="M111" s="538"/>
      <c r="N111" s="543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248</v>
      </c>
      <c r="M112" s="538"/>
      <c r="N112" s="540" t="str">
        <f>CONCATENATE('BD Team'!H18," X ",'BD Team'!I18)</f>
        <v>1830 X 610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249</v>
      </c>
      <c r="M113" s="538"/>
      <c r="N113" s="539">
        <f>'BD Team'!J18</f>
        <v>1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250</v>
      </c>
      <c r="M114" s="538"/>
      <c r="N114" s="540" t="str">
        <f>'BD Team'!C18</f>
        <v>M940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251</v>
      </c>
      <c r="M115" s="538"/>
      <c r="N115" s="540" t="str">
        <f>'BD Team'!E18</f>
        <v>6MM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252</v>
      </c>
      <c r="M116" s="538"/>
      <c r="N116" s="540" t="str">
        <f>'BD Team'!F18</f>
        <v>NO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253</v>
      </c>
      <c r="D118" s="538"/>
      <c r="E118" s="286" t="str">
        <f>'BD Team'!B19</f>
        <v>KW3</v>
      </c>
      <c r="F118" s="288" t="s">
        <v>254</v>
      </c>
      <c r="G118" s="540" t="str">
        <f>'BD Team'!D19</f>
        <v>FIXED GLASS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 t="str">
        <f>'BD Team'!G19</f>
        <v>GF - KITCHEN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246</v>
      </c>
      <c r="M120" s="538"/>
      <c r="N120" s="540" t="str">
        <f>$F$6</f>
        <v>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177</v>
      </c>
      <c r="M121" s="538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247</v>
      </c>
      <c r="M122" s="538"/>
      <c r="N122" s="543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248</v>
      </c>
      <c r="M123" s="538"/>
      <c r="N123" s="540" t="str">
        <f>CONCATENATE('BD Team'!H19," X ",'BD Team'!I19)</f>
        <v>610 X 916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249</v>
      </c>
      <c r="M124" s="538"/>
      <c r="N124" s="539">
        <f>'BD Team'!J19</f>
        <v>1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250</v>
      </c>
      <c r="M125" s="538"/>
      <c r="N125" s="540" t="str">
        <f>'BD Team'!C19</f>
        <v>M940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251</v>
      </c>
      <c r="M126" s="538"/>
      <c r="N126" s="540" t="str">
        <f>'BD Team'!E19</f>
        <v>6MM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252</v>
      </c>
      <c r="M127" s="538"/>
      <c r="N127" s="540" t="str">
        <f>'BD Team'!F19</f>
        <v>NO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253</v>
      </c>
      <c r="D129" s="538"/>
      <c r="E129" s="286" t="str">
        <f>'BD Team'!B20</f>
        <v>SLD1</v>
      </c>
      <c r="F129" s="288" t="s">
        <v>254</v>
      </c>
      <c r="G129" s="540" t="str">
        <f>'BD Team'!D20</f>
        <v>3 TRACK 2 SHUTTER SLIDING DOOR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 t="str">
        <f>'BD Team'!G20</f>
        <v>FF - HOME THEATER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246</v>
      </c>
      <c r="M131" s="538"/>
      <c r="N131" s="540" t="str">
        <f>$F$6</f>
        <v>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177</v>
      </c>
      <c r="M132" s="538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247</v>
      </c>
      <c r="M133" s="538"/>
      <c r="N133" s="543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248</v>
      </c>
      <c r="M134" s="538"/>
      <c r="N134" s="540" t="str">
        <f>CONCATENATE('BD Team'!H20," X ",'BD Team'!I20)</f>
        <v>3556 X 2134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249</v>
      </c>
      <c r="M135" s="538"/>
      <c r="N135" s="539">
        <f>'BD Team'!J20</f>
        <v>1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250</v>
      </c>
      <c r="M136" s="538"/>
      <c r="N136" s="540" t="str">
        <f>'BD Team'!C20</f>
        <v>M14600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251</v>
      </c>
      <c r="M137" s="538"/>
      <c r="N137" s="540" t="str">
        <f>'BD Team'!E20</f>
        <v>24MM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252</v>
      </c>
      <c r="M138" s="538"/>
      <c r="N138" s="540" t="str">
        <f>'BD Team'!F20</f>
        <v>SS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253</v>
      </c>
      <c r="D140" s="538"/>
      <c r="E140" s="286" t="str">
        <f>'BD Team'!B21</f>
        <v>SLD2</v>
      </c>
      <c r="F140" s="288" t="s">
        <v>254</v>
      </c>
      <c r="G140" s="540" t="str">
        <f>'BD Team'!D21</f>
        <v>3 TRACK 2 SHUTTER SLIDING DOOR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 t="str">
        <f>'BD Team'!G21</f>
        <v>GF - LIVING HALL &amp; 1F - HOME THEATER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246</v>
      </c>
      <c r="M142" s="538"/>
      <c r="N142" s="540" t="str">
        <f>$F$6</f>
        <v>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177</v>
      </c>
      <c r="M143" s="538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247</v>
      </c>
      <c r="M144" s="538"/>
      <c r="N144" s="543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248</v>
      </c>
      <c r="M145" s="538"/>
      <c r="N145" s="540" t="str">
        <f>CONCATENATE('BD Team'!H21," X ",'BD Team'!I21)</f>
        <v>3354 X 2134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249</v>
      </c>
      <c r="M146" s="538"/>
      <c r="N146" s="539">
        <f>'BD Team'!J21</f>
        <v>2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250</v>
      </c>
      <c r="M147" s="538"/>
      <c r="N147" s="540" t="str">
        <f>'BD Team'!C21</f>
        <v>M14600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251</v>
      </c>
      <c r="M148" s="538"/>
      <c r="N148" s="540" t="str">
        <f>'BD Team'!E21</f>
        <v>24MM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252</v>
      </c>
      <c r="M149" s="538"/>
      <c r="N149" s="540" t="str">
        <f>'BD Team'!F21</f>
        <v>SS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253</v>
      </c>
      <c r="D151" s="538"/>
      <c r="E151" s="286" t="str">
        <f>'BD Team'!B22</f>
        <v>SLD3</v>
      </c>
      <c r="F151" s="288" t="s">
        <v>254</v>
      </c>
      <c r="G151" s="540" t="str">
        <f>'BD Team'!D22</f>
        <v>3 TRACK 2 SHUTTER SLIDING DOOR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 t="str">
        <f>'BD Team'!G22</f>
        <v>SF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246</v>
      </c>
      <c r="M153" s="538"/>
      <c r="N153" s="540" t="str">
        <f>$F$6</f>
        <v>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177</v>
      </c>
      <c r="M154" s="538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247</v>
      </c>
      <c r="M155" s="538"/>
      <c r="N155" s="543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248</v>
      </c>
      <c r="M156" s="538"/>
      <c r="N156" s="540" t="str">
        <f>CONCATENATE('BD Team'!H22," X ",'BD Team'!I22)</f>
        <v>2134 X 2134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249</v>
      </c>
      <c r="M157" s="538"/>
      <c r="N157" s="539">
        <f>'BD Team'!J22</f>
        <v>2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250</v>
      </c>
      <c r="M158" s="538"/>
      <c r="N158" s="540" t="str">
        <f>'BD Team'!C22</f>
        <v>M14600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251</v>
      </c>
      <c r="M159" s="538"/>
      <c r="N159" s="540" t="str">
        <f>'BD Team'!E22</f>
        <v>24MM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252</v>
      </c>
      <c r="M160" s="538"/>
      <c r="N160" s="540" t="str">
        <f>'BD Team'!F22</f>
        <v>SS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253</v>
      </c>
      <c r="D162" s="538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246</v>
      </c>
      <c r="M164" s="538"/>
      <c r="N164" s="540" t="str">
        <f>$F$6</f>
        <v>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177</v>
      </c>
      <c r="M165" s="538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247</v>
      </c>
      <c r="M166" s="538"/>
      <c r="N166" s="543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248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249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250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251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252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253</v>
      </c>
      <c r="D173" s="538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246</v>
      </c>
      <c r="M175" s="538"/>
      <c r="N175" s="540" t="str">
        <f>$F$6</f>
        <v>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177</v>
      </c>
      <c r="M176" s="538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247</v>
      </c>
      <c r="M177" s="538"/>
      <c r="N177" s="543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248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249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250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251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252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253</v>
      </c>
      <c r="D184" s="538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246</v>
      </c>
      <c r="M186" s="538"/>
      <c r="N186" s="540" t="str">
        <f>$F$6</f>
        <v>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177</v>
      </c>
      <c r="M187" s="538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247</v>
      </c>
      <c r="M188" s="538"/>
      <c r="N188" s="543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248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249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250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251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252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253</v>
      </c>
      <c r="D195" s="538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246</v>
      </c>
      <c r="M197" s="538"/>
      <c r="N197" s="540" t="str">
        <f>$F$6</f>
        <v>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177</v>
      </c>
      <c r="M198" s="538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247</v>
      </c>
      <c r="M199" s="538"/>
      <c r="N199" s="543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248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249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250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251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252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253</v>
      </c>
      <c r="D206" s="538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246</v>
      </c>
      <c r="M208" s="538"/>
      <c r="N208" s="540" t="str">
        <f>$F$6</f>
        <v>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177</v>
      </c>
      <c r="M209" s="538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247</v>
      </c>
      <c r="M210" s="538"/>
      <c r="N210" s="543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248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249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250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251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252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253</v>
      </c>
      <c r="D217" s="538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246</v>
      </c>
      <c r="M219" s="538"/>
      <c r="N219" s="540" t="str">
        <f>$F$6</f>
        <v>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177</v>
      </c>
      <c r="M220" s="538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247</v>
      </c>
      <c r="M221" s="538"/>
      <c r="N221" s="543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248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249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250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251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252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253</v>
      </c>
      <c r="D228" s="538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246</v>
      </c>
      <c r="M230" s="538"/>
      <c r="N230" s="540" t="str">
        <f>$F$6</f>
        <v>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177</v>
      </c>
      <c r="M231" s="538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247</v>
      </c>
      <c r="M232" s="538"/>
      <c r="N232" s="543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248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249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250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251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252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253</v>
      </c>
      <c r="D239" s="538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246</v>
      </c>
      <c r="M241" s="538"/>
      <c r="N241" s="540" t="str">
        <f>$F$6</f>
        <v>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177</v>
      </c>
      <c r="M242" s="538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247</v>
      </c>
      <c r="M243" s="538"/>
      <c r="N243" s="543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248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249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250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251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252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253</v>
      </c>
      <c r="D250" s="538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246</v>
      </c>
      <c r="M252" s="538"/>
      <c r="N252" s="540" t="str">
        <f>$F$6</f>
        <v>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177</v>
      </c>
      <c r="M253" s="538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247</v>
      </c>
      <c r="M254" s="538"/>
      <c r="N254" s="543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248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249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250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251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252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253</v>
      </c>
      <c r="D261" s="538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246</v>
      </c>
      <c r="M263" s="538"/>
      <c r="N263" s="540" t="str">
        <f>$F$6</f>
        <v>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177</v>
      </c>
      <c r="M264" s="538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247</v>
      </c>
      <c r="M265" s="538"/>
      <c r="N265" s="543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248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249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250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251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252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253</v>
      </c>
      <c r="D272" s="538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246</v>
      </c>
      <c r="M274" s="538"/>
      <c r="N274" s="540" t="str">
        <f>$F$6</f>
        <v>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177</v>
      </c>
      <c r="M275" s="538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247</v>
      </c>
      <c r="M276" s="538"/>
      <c r="N276" s="543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248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249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250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251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252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253</v>
      </c>
      <c r="D283" s="538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246</v>
      </c>
      <c r="M285" s="538"/>
      <c r="N285" s="540" t="str">
        <f>$F$6</f>
        <v>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177</v>
      </c>
      <c r="M286" s="538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247</v>
      </c>
      <c r="M287" s="538"/>
      <c r="N287" s="543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248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249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250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251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252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253</v>
      </c>
      <c r="D294" s="538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246</v>
      </c>
      <c r="M296" s="538"/>
      <c r="N296" s="540" t="str">
        <f>$F$6</f>
        <v>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177</v>
      </c>
      <c r="M297" s="538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247</v>
      </c>
      <c r="M298" s="538"/>
      <c r="N298" s="543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248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249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250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251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252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253</v>
      </c>
      <c r="D305" s="538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246</v>
      </c>
      <c r="M307" s="538"/>
      <c r="N307" s="540" t="str">
        <f>$F$6</f>
        <v>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177</v>
      </c>
      <c r="M308" s="538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247</v>
      </c>
      <c r="M309" s="538"/>
      <c r="N309" s="543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248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249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250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251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252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253</v>
      </c>
      <c r="D316" s="538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246</v>
      </c>
      <c r="M318" s="538"/>
      <c r="N318" s="540" t="str">
        <f>$F$6</f>
        <v>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177</v>
      </c>
      <c r="M319" s="538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247</v>
      </c>
      <c r="M320" s="538"/>
      <c r="N320" s="543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248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249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250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251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252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253</v>
      </c>
      <c r="D327" s="538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246</v>
      </c>
      <c r="M329" s="538"/>
      <c r="N329" s="540" t="str">
        <f>$F$6</f>
        <v>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177</v>
      </c>
      <c r="M330" s="538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247</v>
      </c>
      <c r="M331" s="538"/>
      <c r="N331" s="543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248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249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250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251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252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253</v>
      </c>
      <c r="D338" s="538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246</v>
      </c>
      <c r="M340" s="538"/>
      <c r="N340" s="540" t="str">
        <f>$F$6</f>
        <v>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177</v>
      </c>
      <c r="M341" s="538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247</v>
      </c>
      <c r="M342" s="538"/>
      <c r="N342" s="543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248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249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250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251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252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253</v>
      </c>
      <c r="D349" s="538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246</v>
      </c>
      <c r="M351" s="538"/>
      <c r="N351" s="540" t="str">
        <f>$F$6</f>
        <v>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177</v>
      </c>
      <c r="M352" s="538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247</v>
      </c>
      <c r="M353" s="538"/>
      <c r="N353" s="543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248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249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250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251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252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253</v>
      </c>
      <c r="D360" s="538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246</v>
      </c>
      <c r="M362" s="538"/>
      <c r="N362" s="540" t="str">
        <f>$F$6</f>
        <v>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177</v>
      </c>
      <c r="M363" s="538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247</v>
      </c>
      <c r="M364" s="538"/>
      <c r="N364" s="543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248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249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250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251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252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253</v>
      </c>
      <c r="D371" s="538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246</v>
      </c>
      <c r="M373" s="538"/>
      <c r="N373" s="540" t="str">
        <f>$F$6</f>
        <v>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177</v>
      </c>
      <c r="M374" s="538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247</v>
      </c>
      <c r="M375" s="538"/>
      <c r="N375" s="543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248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249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250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251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252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253</v>
      </c>
      <c r="D382" s="538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246</v>
      </c>
      <c r="M384" s="538"/>
      <c r="N384" s="540" t="str">
        <f>$F$6</f>
        <v>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177</v>
      </c>
      <c r="M385" s="538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247</v>
      </c>
      <c r="M386" s="538"/>
      <c r="N386" s="543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248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249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250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251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252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246</v>
      </c>
      <c r="M395" s="538"/>
      <c r="N395" s="540" t="str">
        <f>$F$6</f>
        <v>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177</v>
      </c>
      <c r="M396" s="538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247</v>
      </c>
      <c r="M397" s="538"/>
      <c r="N397" s="543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248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249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250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251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252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246</v>
      </c>
      <c r="M406" s="538"/>
      <c r="N406" s="540" t="str">
        <f>$F$6</f>
        <v>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177</v>
      </c>
      <c r="M407" s="538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247</v>
      </c>
      <c r="M408" s="538"/>
      <c r="N408" s="543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248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249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250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251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252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246</v>
      </c>
      <c r="M417" s="538"/>
      <c r="N417" s="540" t="str">
        <f>$F$6</f>
        <v>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177</v>
      </c>
      <c r="M418" s="538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247</v>
      </c>
      <c r="M419" s="538"/>
      <c r="N419" s="543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248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249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250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251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252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246</v>
      </c>
      <c r="M428" s="538"/>
      <c r="N428" s="540" t="str">
        <f>$F$6</f>
        <v>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177</v>
      </c>
      <c r="M429" s="538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247</v>
      </c>
      <c r="M430" s="538"/>
      <c r="N430" s="543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248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249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250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251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252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246</v>
      </c>
      <c r="M439" s="538"/>
      <c r="N439" s="540" t="str">
        <f>$F$6</f>
        <v>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177</v>
      </c>
      <c r="M440" s="538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247</v>
      </c>
      <c r="M441" s="538"/>
      <c r="N441" s="543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248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249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250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251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252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246</v>
      </c>
      <c r="M450" s="538"/>
      <c r="N450" s="540" t="str">
        <f>$F$6</f>
        <v>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177</v>
      </c>
      <c r="M451" s="538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247</v>
      </c>
      <c r="M452" s="538"/>
      <c r="N452" s="543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248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249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250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251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252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246</v>
      </c>
      <c r="M461" s="538"/>
      <c r="N461" s="540" t="str">
        <f>$F$6</f>
        <v>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177</v>
      </c>
      <c r="M462" s="538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247</v>
      </c>
      <c r="M463" s="538"/>
      <c r="N463" s="543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248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249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250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251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252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246</v>
      </c>
      <c r="M472" s="538"/>
      <c r="N472" s="540" t="str">
        <f>$F$6</f>
        <v>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177</v>
      </c>
      <c r="M473" s="538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247</v>
      </c>
      <c r="M474" s="538"/>
      <c r="N474" s="543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248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249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250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251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252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246</v>
      </c>
      <c r="M483" s="538"/>
      <c r="N483" s="540" t="str">
        <f>$F$6</f>
        <v>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177</v>
      </c>
      <c r="M484" s="538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247</v>
      </c>
      <c r="M485" s="538"/>
      <c r="N485" s="543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248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249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250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251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252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246</v>
      </c>
      <c r="M494" s="538"/>
      <c r="N494" s="540" t="str">
        <f>$F$6</f>
        <v>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177</v>
      </c>
      <c r="M495" s="538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247</v>
      </c>
      <c r="M496" s="538"/>
      <c r="N496" s="543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248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249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250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251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252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246</v>
      </c>
      <c r="M505" s="538"/>
      <c r="N505" s="540" t="str">
        <f>$F$6</f>
        <v>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177</v>
      </c>
      <c r="M506" s="538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247</v>
      </c>
      <c r="M507" s="538"/>
      <c r="N507" s="543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248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249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250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251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252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246</v>
      </c>
      <c r="M516" s="538"/>
      <c r="N516" s="540" t="str">
        <f>$F$6</f>
        <v>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177</v>
      </c>
      <c r="M517" s="538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247</v>
      </c>
      <c r="M518" s="538"/>
      <c r="N518" s="543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248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249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250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251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252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246</v>
      </c>
      <c r="M527" s="538"/>
      <c r="N527" s="540" t="str">
        <f>$F$6</f>
        <v>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177</v>
      </c>
      <c r="M528" s="538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247</v>
      </c>
      <c r="M529" s="538"/>
      <c r="N529" s="543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248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249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250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251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252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246</v>
      </c>
      <c r="M538" s="538"/>
      <c r="N538" s="540" t="str">
        <f>$F$6</f>
        <v>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177</v>
      </c>
      <c r="M539" s="538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247</v>
      </c>
      <c r="M540" s="538"/>
      <c r="N540" s="543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248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249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250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251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252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246</v>
      </c>
      <c r="M549" s="538"/>
      <c r="N549" s="540" t="str">
        <f>$F$6</f>
        <v>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177</v>
      </c>
      <c r="M550" s="538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247</v>
      </c>
      <c r="M551" s="538"/>
      <c r="N551" s="543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248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249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250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251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252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246</v>
      </c>
      <c r="M560" s="538"/>
      <c r="N560" s="540" t="str">
        <f>$F$6</f>
        <v>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177</v>
      </c>
      <c r="M561" s="538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247</v>
      </c>
      <c r="M562" s="538"/>
      <c r="N562" s="543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248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249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250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251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252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246</v>
      </c>
      <c r="M571" s="538"/>
      <c r="N571" s="540" t="str">
        <f>$F$6</f>
        <v>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177</v>
      </c>
      <c r="M572" s="538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247</v>
      </c>
      <c r="M573" s="538"/>
      <c r="N573" s="543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248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249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250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251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252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246</v>
      </c>
      <c r="M582" s="538"/>
      <c r="N582" s="540" t="str">
        <f>$F$6</f>
        <v>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177</v>
      </c>
      <c r="M583" s="538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247</v>
      </c>
      <c r="M584" s="538"/>
      <c r="N584" s="543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248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249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250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251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252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246</v>
      </c>
      <c r="M593" s="538"/>
      <c r="N593" s="540" t="str">
        <f>$F$6</f>
        <v>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177</v>
      </c>
      <c r="M594" s="538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247</v>
      </c>
      <c r="M595" s="538"/>
      <c r="N595" s="543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248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249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250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251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252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246</v>
      </c>
      <c r="M604" s="538"/>
      <c r="N604" s="540" t="str">
        <f>$F$6</f>
        <v>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177</v>
      </c>
      <c r="M605" s="538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247</v>
      </c>
      <c r="M606" s="538"/>
      <c r="N606" s="543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248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249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250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251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252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246</v>
      </c>
      <c r="M615" s="538"/>
      <c r="N615" s="540" t="str">
        <f>$F$6</f>
        <v>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177</v>
      </c>
      <c r="M616" s="538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247</v>
      </c>
      <c r="M617" s="538"/>
      <c r="N617" s="543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248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249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250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251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252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246</v>
      </c>
      <c r="M626" s="538"/>
      <c r="N626" s="540" t="str">
        <f>$F$6</f>
        <v>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177</v>
      </c>
      <c r="M627" s="538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247</v>
      </c>
      <c r="M628" s="538"/>
      <c r="N628" s="543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248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249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250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251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252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246</v>
      </c>
      <c r="M637" s="538"/>
      <c r="N637" s="540" t="str">
        <f>$F$6</f>
        <v>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177</v>
      </c>
      <c r="M638" s="538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247</v>
      </c>
      <c r="M639" s="538"/>
      <c r="N639" s="543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248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249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250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251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252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246</v>
      </c>
      <c r="M648" s="538"/>
      <c r="N648" s="540" t="str">
        <f>$F$6</f>
        <v>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177</v>
      </c>
      <c r="M649" s="538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247</v>
      </c>
      <c r="M650" s="538"/>
      <c r="N650" s="543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248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249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250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251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252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246</v>
      </c>
      <c r="M659" s="538"/>
      <c r="N659" s="540" t="str">
        <f>$F$6</f>
        <v>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177</v>
      </c>
      <c r="M660" s="538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247</v>
      </c>
      <c r="M661" s="538"/>
      <c r="N661" s="543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248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249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250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251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252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246</v>
      </c>
      <c r="M670" s="538"/>
      <c r="N670" s="540" t="str">
        <f>$F$6</f>
        <v>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177</v>
      </c>
      <c r="M671" s="538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247</v>
      </c>
      <c r="M672" s="538"/>
      <c r="N672" s="543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248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249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250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251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252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246</v>
      </c>
      <c r="M681" s="538"/>
      <c r="N681" s="540" t="str">
        <f>$F$6</f>
        <v>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177</v>
      </c>
      <c r="M682" s="538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247</v>
      </c>
      <c r="M683" s="538"/>
      <c r="N683" s="543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248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249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250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251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252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246</v>
      </c>
      <c r="M692" s="538"/>
      <c r="N692" s="540" t="str">
        <f>$F$6</f>
        <v>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177</v>
      </c>
      <c r="M693" s="538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247</v>
      </c>
      <c r="M694" s="538"/>
      <c r="N694" s="543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248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249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250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251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252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246</v>
      </c>
      <c r="M703" s="538"/>
      <c r="N703" s="540" t="str">
        <f>$F$6</f>
        <v>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177</v>
      </c>
      <c r="M704" s="538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247</v>
      </c>
      <c r="M705" s="538"/>
      <c r="N705" s="543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248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249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250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251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252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246</v>
      </c>
      <c r="M714" s="538"/>
      <c r="N714" s="540" t="str">
        <f>$F$6</f>
        <v>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177</v>
      </c>
      <c r="M715" s="538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247</v>
      </c>
      <c r="M716" s="538"/>
      <c r="N716" s="543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248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249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250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251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252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246</v>
      </c>
      <c r="M725" s="538"/>
      <c r="N725" s="540" t="str">
        <f>$F$6</f>
        <v>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177</v>
      </c>
      <c r="M726" s="538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247</v>
      </c>
      <c r="M727" s="538"/>
      <c r="N727" s="543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248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249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250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251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252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246</v>
      </c>
      <c r="M736" s="538"/>
      <c r="N736" s="540" t="str">
        <f>$F$6</f>
        <v>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177</v>
      </c>
      <c r="M737" s="538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247</v>
      </c>
      <c r="M738" s="538"/>
      <c r="N738" s="543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248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249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250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251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252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246</v>
      </c>
      <c r="M747" s="538"/>
      <c r="N747" s="540" t="str">
        <f>$F$6</f>
        <v>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177</v>
      </c>
      <c r="M748" s="538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247</v>
      </c>
      <c r="M749" s="538"/>
      <c r="N749" s="543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248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249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250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251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252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246</v>
      </c>
      <c r="M758" s="538"/>
      <c r="N758" s="540" t="str">
        <f>$F$6</f>
        <v>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177</v>
      </c>
      <c r="M759" s="538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247</v>
      </c>
      <c r="M760" s="538"/>
      <c r="N760" s="543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248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249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250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251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252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246</v>
      </c>
      <c r="M769" s="538"/>
      <c r="N769" s="540" t="str">
        <f>$F$6</f>
        <v>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177</v>
      </c>
      <c r="M770" s="538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247</v>
      </c>
      <c r="M771" s="538"/>
      <c r="N771" s="543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248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249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250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251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252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246</v>
      </c>
      <c r="M780" s="538"/>
      <c r="N780" s="540" t="str">
        <f>$F$6</f>
        <v>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177</v>
      </c>
      <c r="M781" s="538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247</v>
      </c>
      <c r="M782" s="538"/>
      <c r="N782" s="543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248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249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250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251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252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246</v>
      </c>
      <c r="M791" s="538"/>
      <c r="N791" s="540" t="str">
        <f>$F$6</f>
        <v>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177</v>
      </c>
      <c r="M792" s="538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247</v>
      </c>
      <c r="M793" s="538"/>
      <c r="N793" s="543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248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249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250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251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252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246</v>
      </c>
      <c r="M802" s="538"/>
      <c r="N802" s="540" t="str">
        <f>$F$6</f>
        <v>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177</v>
      </c>
      <c r="M803" s="538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247</v>
      </c>
      <c r="M804" s="538"/>
      <c r="N804" s="543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248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249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250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251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252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246</v>
      </c>
      <c r="M813" s="538"/>
      <c r="N813" s="540" t="str">
        <f>$F$6</f>
        <v>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177</v>
      </c>
      <c r="M814" s="538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247</v>
      </c>
      <c r="M815" s="538"/>
      <c r="N815" s="543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248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249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250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251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252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246</v>
      </c>
      <c r="M824" s="538"/>
      <c r="N824" s="540" t="str">
        <f>$F$6</f>
        <v>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177</v>
      </c>
      <c r="M825" s="538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247</v>
      </c>
      <c r="M826" s="538"/>
      <c r="N826" s="543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248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249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250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251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252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246</v>
      </c>
      <c r="M835" s="538"/>
      <c r="N835" s="540" t="str">
        <f>$F$6</f>
        <v>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177</v>
      </c>
      <c r="M836" s="538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247</v>
      </c>
      <c r="M837" s="538"/>
      <c r="N837" s="543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248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249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250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251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252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246</v>
      </c>
      <c r="M846" s="538"/>
      <c r="N846" s="540" t="str">
        <f>$F$6</f>
        <v>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177</v>
      </c>
      <c r="M847" s="538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247</v>
      </c>
      <c r="M848" s="538"/>
      <c r="N848" s="543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248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249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250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251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252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246</v>
      </c>
      <c r="M857" s="538"/>
      <c r="N857" s="540" t="str">
        <f>$F$6</f>
        <v>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177</v>
      </c>
      <c r="M858" s="538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247</v>
      </c>
      <c r="M859" s="538"/>
      <c r="N859" s="543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248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249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250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251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252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246</v>
      </c>
      <c r="M868" s="538"/>
      <c r="N868" s="540" t="str">
        <f>$F$6</f>
        <v>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177</v>
      </c>
      <c r="M869" s="538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247</v>
      </c>
      <c r="M870" s="538"/>
      <c r="N870" s="543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248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249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250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251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252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246</v>
      </c>
      <c r="M879" s="538"/>
      <c r="N879" s="540" t="str">
        <f>$F$6</f>
        <v>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177</v>
      </c>
      <c r="M880" s="538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247</v>
      </c>
      <c r="M881" s="538"/>
      <c r="N881" s="543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248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249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250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251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252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246</v>
      </c>
      <c r="M890" s="538"/>
      <c r="N890" s="540" t="str">
        <f>$F$6</f>
        <v>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177</v>
      </c>
      <c r="M891" s="538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247</v>
      </c>
      <c r="M892" s="538"/>
      <c r="N892" s="543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248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249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250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251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252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246</v>
      </c>
      <c r="M901" s="538"/>
      <c r="N901" s="540" t="str">
        <f>$F$6</f>
        <v>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177</v>
      </c>
      <c r="M902" s="538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247</v>
      </c>
      <c r="M903" s="538"/>
      <c r="N903" s="543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248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249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250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251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252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246</v>
      </c>
      <c r="M912" s="538"/>
      <c r="N912" s="540" t="str">
        <f>$F$6</f>
        <v>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177</v>
      </c>
      <c r="M913" s="538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247</v>
      </c>
      <c r="M914" s="538"/>
      <c r="N914" s="543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248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249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250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251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252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246</v>
      </c>
      <c r="M923" s="538"/>
      <c r="N923" s="540" t="str">
        <f>$F$6</f>
        <v>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177</v>
      </c>
      <c r="M924" s="538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247</v>
      </c>
      <c r="M925" s="538"/>
      <c r="N925" s="543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248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249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250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251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252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246</v>
      </c>
      <c r="M934" s="538"/>
      <c r="N934" s="540" t="str">
        <f>$F$6</f>
        <v>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177</v>
      </c>
      <c r="M935" s="538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247</v>
      </c>
      <c r="M936" s="538"/>
      <c r="N936" s="543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248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249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250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251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252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246</v>
      </c>
      <c r="M945" s="538"/>
      <c r="N945" s="540" t="str">
        <f>$F$6</f>
        <v>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177</v>
      </c>
      <c r="M946" s="538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247</v>
      </c>
      <c r="M947" s="538"/>
      <c r="N947" s="543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248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249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250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251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252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246</v>
      </c>
      <c r="M956" s="538"/>
      <c r="N956" s="540" t="str">
        <f>$F$6</f>
        <v>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177</v>
      </c>
      <c r="M957" s="538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247</v>
      </c>
      <c r="M958" s="538"/>
      <c r="N958" s="543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248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249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250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251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252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246</v>
      </c>
      <c r="M967" s="538"/>
      <c r="N967" s="540" t="str">
        <f>$F$6</f>
        <v>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177</v>
      </c>
      <c r="M968" s="538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247</v>
      </c>
      <c r="M969" s="538"/>
      <c r="N969" s="543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248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249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250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251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252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246</v>
      </c>
      <c r="M978" s="538"/>
      <c r="N978" s="540" t="str">
        <f>$F$6</f>
        <v>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177</v>
      </c>
      <c r="M979" s="538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247</v>
      </c>
      <c r="M980" s="538"/>
      <c r="N980" s="543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248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249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250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251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252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246</v>
      </c>
      <c r="M989" s="538"/>
      <c r="N989" s="540" t="str">
        <f>$F$6</f>
        <v>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177</v>
      </c>
      <c r="M990" s="538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247</v>
      </c>
      <c r="M991" s="538"/>
      <c r="N991" s="543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248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249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250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251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252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246</v>
      </c>
      <c r="M1000" s="538"/>
      <c r="N1000" s="540" t="str">
        <f>$F$6</f>
        <v>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177</v>
      </c>
      <c r="M1001" s="538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247</v>
      </c>
      <c r="M1002" s="538"/>
      <c r="N1002" s="543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248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249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250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251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252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246</v>
      </c>
      <c r="M1011" s="538"/>
      <c r="N1011" s="540" t="str">
        <f>$F$6</f>
        <v>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177</v>
      </c>
      <c r="M1012" s="538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247</v>
      </c>
      <c r="M1013" s="538"/>
      <c r="N1013" s="543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248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249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250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251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252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246</v>
      </c>
      <c r="M1022" s="538"/>
      <c r="N1022" s="540" t="str">
        <f>$F$6</f>
        <v>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177</v>
      </c>
      <c r="M1023" s="538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247</v>
      </c>
      <c r="M1024" s="538"/>
      <c r="N1024" s="543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248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249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250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251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252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246</v>
      </c>
      <c r="M1033" s="538"/>
      <c r="N1033" s="540" t="str">
        <f>$F$6</f>
        <v>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177</v>
      </c>
      <c r="M1034" s="538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247</v>
      </c>
      <c r="M1035" s="538"/>
      <c r="N1035" s="543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248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249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250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251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252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246</v>
      </c>
      <c r="M1044" s="538"/>
      <c r="N1044" s="540" t="str">
        <f>$F$6</f>
        <v>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177</v>
      </c>
      <c r="M1045" s="538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247</v>
      </c>
      <c r="M1046" s="538"/>
      <c r="N1046" s="543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248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249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250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251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252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246</v>
      </c>
      <c r="M1055" s="538"/>
      <c r="N1055" s="540" t="str">
        <f>$F$6</f>
        <v>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177</v>
      </c>
      <c r="M1056" s="538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247</v>
      </c>
      <c r="M1057" s="538"/>
      <c r="N1057" s="543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248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249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250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251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252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246</v>
      </c>
      <c r="M1066" s="538"/>
      <c r="N1066" s="540" t="str">
        <f>$F$6</f>
        <v>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177</v>
      </c>
      <c r="M1067" s="538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247</v>
      </c>
      <c r="M1068" s="538"/>
      <c r="N1068" s="543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248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249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250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251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252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246</v>
      </c>
      <c r="M1077" s="538"/>
      <c r="N1077" s="540" t="str">
        <f>$F$6</f>
        <v>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177</v>
      </c>
      <c r="M1078" s="538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247</v>
      </c>
      <c r="M1079" s="538"/>
      <c r="N1079" s="543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248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249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250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251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252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246</v>
      </c>
      <c r="M1088" s="538"/>
      <c r="N1088" s="540" t="str">
        <f>$F$6</f>
        <v>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177</v>
      </c>
      <c r="M1089" s="538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247</v>
      </c>
      <c r="M1090" s="538"/>
      <c r="N1090" s="543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248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249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250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251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252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246</v>
      </c>
      <c r="M1099" s="538"/>
      <c r="N1099" s="540" t="str">
        <f>$F$6</f>
        <v>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177</v>
      </c>
      <c r="M1100" s="538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247</v>
      </c>
      <c r="M1101" s="538"/>
      <c r="N1101" s="543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248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249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250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251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252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517</v>
      </c>
    </row>
    <row r="5" spans="3:5">
      <c r="C5" s="236" t="s">
        <v>394</v>
      </c>
      <c r="D5" s="236" t="s">
        <v>392</v>
      </c>
      <c r="E5" s="309">
        <f>ROUND(Pricing!U104,0.1)/40</f>
        <v>15.5</v>
      </c>
    </row>
    <row r="6" spans="3:5">
      <c r="C6" s="236" t="s">
        <v>83</v>
      </c>
      <c r="D6" s="236" t="s">
        <v>391</v>
      </c>
      <c r="E6" s="309">
        <f>ROUND(Pricing!V104,0.1)</f>
        <v>32</v>
      </c>
    </row>
    <row r="7" spans="3:5">
      <c r="C7" s="236" t="s">
        <v>398</v>
      </c>
      <c r="D7" s="236" t="s">
        <v>390</v>
      </c>
      <c r="E7" s="309">
        <f>ROUND(Pricing!W104,0.1)</f>
        <v>517</v>
      </c>
    </row>
    <row r="8" spans="3:5">
      <c r="C8" s="236" t="s">
        <v>395</v>
      </c>
      <c r="D8" s="236" t="s">
        <v>390</v>
      </c>
      <c r="E8" s="309">
        <f>ROUND(Pricing!X104,0.1)</f>
        <v>1033</v>
      </c>
    </row>
    <row r="9" spans="3:5">
      <c r="C9" t="s">
        <v>222</v>
      </c>
      <c r="D9" s="236" t="s">
        <v>393</v>
      </c>
      <c r="E9" s="309">
        <f>ROUND(Pricing!Y104,0.1)</f>
        <v>310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5"/>
  <sheetViews>
    <sheetView topLeftCell="A2" workbookViewId="0">
      <selection activeCell="A16" sqref="A1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W</v>
      </c>
      <c r="B2" s="318" t="str">
        <f>'BD Team'!C9</f>
        <v>M900 &amp; M940</v>
      </c>
      <c r="C2" s="318" t="str">
        <f>'BD Team'!D9</f>
        <v>3 TRACK 2 SHUTTER SLIDING WINDOW WITH BOTTOM FIXED</v>
      </c>
      <c r="D2" s="318" t="str">
        <f>'BD Team'!E9</f>
        <v>6MM</v>
      </c>
      <c r="E2" s="318" t="str">
        <f>'BD Team'!G9</f>
        <v>GF - ENTRANCE FOYER</v>
      </c>
      <c r="F2" s="318" t="str">
        <f>'BD Team'!F9</f>
        <v>SS</v>
      </c>
      <c r="I2" s="318">
        <f>'BD Team'!H9</f>
        <v>1830</v>
      </c>
      <c r="J2" s="318">
        <f>'BD Team'!I9</f>
        <v>2058</v>
      </c>
      <c r="K2" s="318">
        <f>'BD Team'!J9</f>
        <v>1</v>
      </c>
      <c r="L2" s="319">
        <f>'BD Team'!K9</f>
        <v>185.29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6MM</v>
      </c>
      <c r="E3" s="318" t="str">
        <f>'BD Team'!G10</f>
        <v>GF - MB/R1 &amp; FF - KB/R</v>
      </c>
      <c r="F3" s="318" t="str">
        <f>'BD Team'!F10</f>
        <v>SS</v>
      </c>
      <c r="I3" s="318">
        <f>'BD Team'!H10</f>
        <v>1830</v>
      </c>
      <c r="J3" s="318">
        <f>'BD Team'!I10</f>
        <v>1372</v>
      </c>
      <c r="K3" s="318">
        <f>'BD Team'!J10</f>
        <v>2</v>
      </c>
      <c r="L3" s="319">
        <f>'BD Team'!K10</f>
        <v>131.29</v>
      </c>
      <c r="M3" s="318">
        <f>Pricing!O5</f>
        <v>1002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W1A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20MM</v>
      </c>
      <c r="E4" s="318" t="str">
        <f>'BD Team'!G11</f>
        <v>1F - HOME THEATER</v>
      </c>
      <c r="F4" s="318" t="str">
        <f>'BD Team'!F11</f>
        <v>SS</v>
      </c>
      <c r="I4" s="318">
        <f>'BD Team'!H11</f>
        <v>1830</v>
      </c>
      <c r="J4" s="318">
        <f>'BD Team'!I11</f>
        <v>1372</v>
      </c>
      <c r="K4" s="318">
        <f>'BD Team'!J11</f>
        <v>1</v>
      </c>
      <c r="L4" s="319">
        <f>'BD Team'!K11</f>
        <v>181.78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W2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2F - MBR &amp; 1SF</v>
      </c>
      <c r="F5" s="318" t="str">
        <f>'BD Team'!F12</f>
        <v>SS</v>
      </c>
      <c r="I5" s="318">
        <f>'BD Team'!H12</f>
        <v>1524</v>
      </c>
      <c r="J5" s="318">
        <f>'BD Team'!I12</f>
        <v>1372</v>
      </c>
      <c r="K5" s="318">
        <f>'BD Team'!J12</f>
        <v>3</v>
      </c>
      <c r="L5" s="319">
        <f>'BD Team'!K12</f>
        <v>126.1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W3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1F - BR</v>
      </c>
      <c r="F6" s="318" t="str">
        <f>'BD Team'!F13</f>
        <v>SS</v>
      </c>
      <c r="I6" s="318">
        <f>'BD Team'!H13</f>
        <v>1524</v>
      </c>
      <c r="J6" s="318">
        <f>'BD Team'!I13</f>
        <v>1372</v>
      </c>
      <c r="K6" s="318">
        <f>'BD Team'!J13</f>
        <v>1</v>
      </c>
      <c r="L6" s="319">
        <f>'BD Team'!K13</f>
        <v>126.1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W4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6MM</v>
      </c>
      <c r="E7" s="318" t="str">
        <f>'BD Team'!G14</f>
        <v>GF - DGR, 1FF-STAIR / 1SF</v>
      </c>
      <c r="F7" s="318" t="str">
        <f>'BD Team'!F14</f>
        <v>SS</v>
      </c>
      <c r="I7" s="318">
        <f>'BD Team'!H14</f>
        <v>916</v>
      </c>
      <c r="J7" s="318">
        <f>'BD Team'!I14</f>
        <v>1372</v>
      </c>
      <c r="K7" s="318">
        <f>'BD Team'!J14</f>
        <v>3</v>
      </c>
      <c r="L7" s="319">
        <f>'BD Team'!K14</f>
        <v>109.19999999999999</v>
      </c>
      <c r="M7" s="318">
        <f>Pricing!O9</f>
        <v>1002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V1</v>
      </c>
      <c r="B8" s="318" t="str">
        <f>'BD Team'!C15</f>
        <v>M940</v>
      </c>
      <c r="C8" s="318" t="str">
        <f>'BD Team'!D15</f>
        <v>FIXED GLASS</v>
      </c>
      <c r="D8" s="318" t="str">
        <f>'BD Team'!E15</f>
        <v>6MM (F)</v>
      </c>
      <c r="E8" s="318" t="str">
        <f>'BD Team'!G15</f>
        <v>TOILET</v>
      </c>
      <c r="F8" s="318" t="str">
        <f>'BD Team'!F15</f>
        <v>NO</v>
      </c>
      <c r="I8" s="318">
        <f>'BD Team'!H15</f>
        <v>610</v>
      </c>
      <c r="J8" s="318">
        <f>'BD Team'!I15</f>
        <v>916</v>
      </c>
      <c r="K8" s="318">
        <f>'BD Team'!J15</f>
        <v>6</v>
      </c>
      <c r="L8" s="319">
        <f>'BD Team'!K15</f>
        <v>26.68</v>
      </c>
      <c r="M8" s="318">
        <f>Pricing!O10</f>
        <v>2003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FG1</v>
      </c>
      <c r="B9" s="318" t="str">
        <f>'BD Team'!C16</f>
        <v>M940</v>
      </c>
      <c r="C9" s="318" t="str">
        <f>'BD Team'!D16</f>
        <v>FIXED GLASS 3 NO'S</v>
      </c>
      <c r="D9" s="318" t="str">
        <f>'BD Team'!E16</f>
        <v>6MM</v>
      </c>
      <c r="E9" s="318" t="str">
        <f>'BD Team'!G16</f>
        <v>GF</v>
      </c>
      <c r="F9" s="318" t="str">
        <f>'BD Team'!F16</f>
        <v>NO</v>
      </c>
      <c r="I9" s="318">
        <f>'BD Team'!H16</f>
        <v>3048</v>
      </c>
      <c r="J9" s="318">
        <f>'BD Team'!I16</f>
        <v>2058</v>
      </c>
      <c r="K9" s="318">
        <f>'BD Team'!J16</f>
        <v>1</v>
      </c>
      <c r="L9" s="319">
        <f>'BD Team'!K16</f>
        <v>201.26</v>
      </c>
      <c r="M9" s="318">
        <f>Pricing!O11</f>
        <v>1002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KW1</v>
      </c>
      <c r="B10" s="318" t="str">
        <f>'BD Team'!C17</f>
        <v>M900</v>
      </c>
      <c r="C10" s="318" t="str">
        <f>'BD Team'!D17</f>
        <v>3 TRACK 2 SHUTTER SLIDING WINDOW</v>
      </c>
      <c r="D10" s="318" t="str">
        <f>'BD Team'!E17</f>
        <v>6MM</v>
      </c>
      <c r="E10" s="318" t="str">
        <f>'BD Team'!G17</f>
        <v>GF - KITCHEN</v>
      </c>
      <c r="F10" s="318" t="str">
        <f>'BD Team'!F17</f>
        <v>SS</v>
      </c>
      <c r="I10" s="318">
        <f>'BD Team'!H17</f>
        <v>1220</v>
      </c>
      <c r="J10" s="318">
        <f>'BD Team'!I17</f>
        <v>916</v>
      </c>
      <c r="K10" s="318">
        <f>'BD Team'!J17</f>
        <v>1</v>
      </c>
      <c r="L10" s="319">
        <f>'BD Team'!K17</f>
        <v>97.58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KW2</v>
      </c>
      <c r="B11" s="318" t="str">
        <f>'BD Team'!C18</f>
        <v>M940</v>
      </c>
      <c r="C11" s="318" t="str">
        <f>'BD Team'!D18</f>
        <v>FIXED GLASS</v>
      </c>
      <c r="D11" s="318" t="str">
        <f>'BD Team'!E18</f>
        <v>6MM</v>
      </c>
      <c r="E11" s="318" t="str">
        <f>'BD Team'!G18</f>
        <v>GF - KITCHEN</v>
      </c>
      <c r="F11" s="318" t="str">
        <f>'BD Team'!F18</f>
        <v>NO</v>
      </c>
      <c r="I11" s="318">
        <f>'BD Team'!H18</f>
        <v>1830</v>
      </c>
      <c r="J11" s="318">
        <f>'BD Team'!I18</f>
        <v>610</v>
      </c>
      <c r="K11" s="318">
        <f>'BD Team'!J18</f>
        <v>1</v>
      </c>
      <c r="L11" s="319">
        <f>'BD Team'!K18</f>
        <v>42.07</v>
      </c>
      <c r="M11" s="318">
        <f>Pricing!O13</f>
        <v>1002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KW3</v>
      </c>
      <c r="B12" s="318" t="str">
        <f>'BD Team'!C19</f>
        <v>M940</v>
      </c>
      <c r="C12" s="318" t="str">
        <f>'BD Team'!D19</f>
        <v>FIXED GLASS</v>
      </c>
      <c r="D12" s="318" t="str">
        <f>'BD Team'!E19</f>
        <v>6MM</v>
      </c>
      <c r="E12" s="318" t="str">
        <f>'BD Team'!G19</f>
        <v>GF - KITCHEN</v>
      </c>
      <c r="F12" s="318" t="str">
        <f>'BD Team'!F19</f>
        <v>NO</v>
      </c>
      <c r="I12" s="318">
        <f>'BD Team'!H19</f>
        <v>610</v>
      </c>
      <c r="J12" s="318">
        <f>'BD Team'!I19</f>
        <v>916</v>
      </c>
      <c r="K12" s="318">
        <f>'BD Team'!J19</f>
        <v>1</v>
      </c>
      <c r="L12" s="319">
        <f>'BD Team'!K19</f>
        <v>26.68</v>
      </c>
      <c r="M12" s="318">
        <f>Pricing!O14</f>
        <v>1002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SLD1</v>
      </c>
      <c r="B13" s="318" t="str">
        <f>'BD Team'!C20</f>
        <v>M14600</v>
      </c>
      <c r="C13" s="318" t="str">
        <f>'BD Team'!D20</f>
        <v>3 TRACK 2 SHUTTER SLIDING DOOR</v>
      </c>
      <c r="D13" s="318" t="str">
        <f>'BD Team'!E20</f>
        <v>24MM</v>
      </c>
      <c r="E13" s="318" t="str">
        <f>'BD Team'!G20</f>
        <v>FF - HOME THEATER</v>
      </c>
      <c r="F13" s="318" t="str">
        <f>'BD Team'!F20</f>
        <v>SS</v>
      </c>
      <c r="I13" s="318">
        <f>'BD Team'!H20</f>
        <v>3556</v>
      </c>
      <c r="J13" s="318">
        <f>'BD Team'!I20</f>
        <v>2134</v>
      </c>
      <c r="K13" s="318">
        <f>'BD Team'!J20</f>
        <v>1</v>
      </c>
      <c r="L13" s="319">
        <f>'BD Team'!K20</f>
        <v>498.3</v>
      </c>
      <c r="M13" s="318">
        <f>Pricing!O15</f>
        <v>2938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SLD2</v>
      </c>
      <c r="B14" s="318" t="str">
        <f>'BD Team'!C21</f>
        <v>M14600</v>
      </c>
      <c r="C14" s="318" t="str">
        <f>'BD Team'!D21</f>
        <v>3 TRACK 2 SHUTTER SLIDING DOOR</v>
      </c>
      <c r="D14" s="318" t="str">
        <f>'BD Team'!E21</f>
        <v>24MM</v>
      </c>
      <c r="E14" s="318" t="str">
        <f>'BD Team'!G21</f>
        <v>GF - LIVING HALL &amp; 1F - HOME THEATER</v>
      </c>
      <c r="F14" s="318" t="str">
        <f>'BD Team'!F21</f>
        <v>SS</v>
      </c>
      <c r="I14" s="318">
        <f>'BD Team'!H21</f>
        <v>3354</v>
      </c>
      <c r="J14" s="318">
        <f>'BD Team'!I21</f>
        <v>2134</v>
      </c>
      <c r="K14" s="318">
        <f>'BD Team'!J21</f>
        <v>2</v>
      </c>
      <c r="L14" s="319">
        <f>'BD Team'!K21</f>
        <v>486.72</v>
      </c>
      <c r="M14" s="318">
        <f>Pricing!O16</f>
        <v>2938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SLD3</v>
      </c>
      <c r="B15" s="318" t="str">
        <f>'BD Team'!C22</f>
        <v>M14600</v>
      </c>
      <c r="C15" s="318" t="str">
        <f>'BD Team'!D22</f>
        <v>3 TRACK 2 SHUTTER SLIDING DOOR</v>
      </c>
      <c r="D15" s="318" t="str">
        <f>'BD Team'!E22</f>
        <v>24MM</v>
      </c>
      <c r="E15" s="318" t="str">
        <f>'BD Team'!G22</f>
        <v>SF</v>
      </c>
      <c r="F15" s="318" t="str">
        <f>'BD Team'!F22</f>
        <v>SS</v>
      </c>
      <c r="I15" s="318">
        <f>'BD Team'!H22</f>
        <v>2134</v>
      </c>
      <c r="J15" s="318">
        <f>'BD Team'!I22</f>
        <v>2134</v>
      </c>
      <c r="K15" s="318">
        <f>'BD Team'!J22</f>
        <v>2</v>
      </c>
      <c r="L15" s="319">
        <f>'BD Team'!K22</f>
        <v>416.74</v>
      </c>
      <c r="M15" s="318">
        <f>Pricing!O17</f>
        <v>2938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4" zoomScale="75" zoomScaleNormal="75" zoomScaleSheetLayoutView="75" workbookViewId="0">
      <selection activeCell="J15" sqref="J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423</v>
      </c>
      <c r="F2" s="137"/>
      <c r="G2" s="163"/>
      <c r="H2" s="331" t="s">
        <v>184</v>
      </c>
      <c r="I2" s="332"/>
      <c r="J2" s="165" t="s">
        <v>425</v>
      </c>
      <c r="K2" s="167"/>
      <c r="L2" s="104" t="s">
        <v>207</v>
      </c>
      <c r="M2" s="104" t="s">
        <v>379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182</v>
      </c>
      <c r="G3" s="162" t="s">
        <v>424</v>
      </c>
      <c r="H3" s="331" t="s">
        <v>185</v>
      </c>
      <c r="I3" s="332"/>
      <c r="J3" s="166">
        <v>43732</v>
      </c>
      <c r="K3" s="167"/>
      <c r="L3" s="104" t="s">
        <v>257</v>
      </c>
      <c r="M3" s="104" t="s">
        <v>380</v>
      </c>
    </row>
    <row r="4" spans="1:13" s="104" customFormat="1" ht="18">
      <c r="A4" s="330" t="s">
        <v>168</v>
      </c>
      <c r="B4" s="330"/>
      <c r="C4" s="330"/>
      <c r="D4" s="330"/>
      <c r="E4" s="162" t="s">
        <v>414</v>
      </c>
      <c r="F4" s="135"/>
      <c r="G4" s="164"/>
      <c r="H4" s="331" t="s">
        <v>186</v>
      </c>
      <c r="I4" s="332"/>
      <c r="J4" s="165" t="s">
        <v>400</v>
      </c>
      <c r="K4" s="167"/>
      <c r="L4" s="104" t="s">
        <v>258</v>
      </c>
      <c r="M4" s="104" t="s">
        <v>381</v>
      </c>
    </row>
    <row r="5" spans="1:13" s="104" customFormat="1">
      <c r="A5" s="330" t="s">
        <v>176</v>
      </c>
      <c r="B5" s="330"/>
      <c r="C5" s="330"/>
      <c r="D5" s="330"/>
      <c r="E5" s="162" t="s">
        <v>422</v>
      </c>
      <c r="F5" s="136" t="s">
        <v>183</v>
      </c>
      <c r="G5" s="162" t="s">
        <v>260</v>
      </c>
      <c r="H5" s="331" t="s">
        <v>373</v>
      </c>
      <c r="I5" s="332"/>
      <c r="J5" s="165"/>
      <c r="K5" s="167"/>
      <c r="L5" s="104" t="s">
        <v>259</v>
      </c>
      <c r="M5" s="104" t="s">
        <v>382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383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400</v>
      </c>
    </row>
    <row r="9" spans="1:13" ht="20.100000000000001" customHeight="1">
      <c r="A9" s="113">
        <v>1</v>
      </c>
      <c r="B9" s="113" t="s">
        <v>32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1830</v>
      </c>
      <c r="I9" s="113">
        <v>2058</v>
      </c>
      <c r="J9" s="113">
        <v>1</v>
      </c>
      <c r="K9" s="123">
        <f>151.85+33.44</f>
        <v>185.29</v>
      </c>
    </row>
    <row r="10" spans="1:13" ht="20.100000000000001" customHeight="1">
      <c r="A10" s="113">
        <v>2</v>
      </c>
      <c r="B10" s="113" t="s">
        <v>426</v>
      </c>
      <c r="C10" s="113" t="s">
        <v>432</v>
      </c>
      <c r="D10" s="113" t="s">
        <v>433</v>
      </c>
      <c r="E10" s="113" t="s">
        <v>429</v>
      </c>
      <c r="F10" s="113" t="s">
        <v>430</v>
      </c>
      <c r="G10" s="113" t="s">
        <v>448</v>
      </c>
      <c r="H10" s="113">
        <v>1830</v>
      </c>
      <c r="I10" s="113">
        <v>1372</v>
      </c>
      <c r="J10" s="113">
        <v>2</v>
      </c>
      <c r="K10" s="123">
        <f>97.89+33.4</f>
        <v>131.29</v>
      </c>
      <c r="L10" s="47" t="s">
        <v>282</v>
      </c>
    </row>
    <row r="11" spans="1:13" ht="20.100000000000001" customHeight="1">
      <c r="A11" s="113">
        <v>3</v>
      </c>
      <c r="B11" s="113" t="s">
        <v>449</v>
      </c>
      <c r="C11" s="113" t="s">
        <v>432</v>
      </c>
      <c r="D11" s="113" t="s">
        <v>433</v>
      </c>
      <c r="E11" s="113" t="s">
        <v>450</v>
      </c>
      <c r="F11" s="113" t="s">
        <v>430</v>
      </c>
      <c r="G11" s="113" t="s">
        <v>451</v>
      </c>
      <c r="H11" s="113">
        <v>1830</v>
      </c>
      <c r="I11" s="113">
        <v>1372</v>
      </c>
      <c r="J11" s="113">
        <v>1</v>
      </c>
      <c r="K11" s="123">
        <f>148.38+33.4</f>
        <v>181.78</v>
      </c>
      <c r="L11" s="47" t="s">
        <v>281</v>
      </c>
    </row>
    <row r="12" spans="1:13" ht="20.100000000000001" customHeight="1">
      <c r="A12" s="113">
        <v>4</v>
      </c>
      <c r="B12" s="113" t="s">
        <v>434</v>
      </c>
      <c r="C12" s="113" t="s">
        <v>432</v>
      </c>
      <c r="D12" s="113" t="s">
        <v>433</v>
      </c>
      <c r="E12" s="113" t="s">
        <v>429</v>
      </c>
      <c r="F12" s="113" t="s">
        <v>430</v>
      </c>
      <c r="G12" s="113" t="s">
        <v>452</v>
      </c>
      <c r="H12" s="113">
        <v>1524</v>
      </c>
      <c r="I12" s="113">
        <v>1372</v>
      </c>
      <c r="J12" s="113">
        <v>3</v>
      </c>
      <c r="K12" s="123">
        <f>92.7+33.4</f>
        <v>126.1</v>
      </c>
      <c r="L12" s="47" t="s">
        <v>364</v>
      </c>
    </row>
    <row r="13" spans="1:13" ht="20.100000000000001" customHeight="1">
      <c r="A13" s="113">
        <v>5</v>
      </c>
      <c r="B13" s="113" t="s">
        <v>435</v>
      </c>
      <c r="C13" s="113" t="s">
        <v>432</v>
      </c>
      <c r="D13" s="113" t="s">
        <v>433</v>
      </c>
      <c r="E13" s="113" t="s">
        <v>429</v>
      </c>
      <c r="F13" s="113" t="s">
        <v>430</v>
      </c>
      <c r="G13" s="113" t="s">
        <v>436</v>
      </c>
      <c r="H13" s="113">
        <v>1524</v>
      </c>
      <c r="I13" s="113">
        <v>1372</v>
      </c>
      <c r="J13" s="113">
        <v>1</v>
      </c>
      <c r="K13" s="123">
        <f>92.7+33.4</f>
        <v>126.1</v>
      </c>
      <c r="L13" s="47" t="s">
        <v>365</v>
      </c>
    </row>
    <row r="14" spans="1:13">
      <c r="A14" s="113">
        <v>6</v>
      </c>
      <c r="B14" s="113" t="s">
        <v>437</v>
      </c>
      <c r="C14" s="113" t="s">
        <v>432</v>
      </c>
      <c r="D14" s="113" t="s">
        <v>433</v>
      </c>
      <c r="E14" s="113" t="s">
        <v>429</v>
      </c>
      <c r="F14" s="113" t="s">
        <v>430</v>
      </c>
      <c r="G14" s="113" t="s">
        <v>453</v>
      </c>
      <c r="H14" s="113">
        <v>916</v>
      </c>
      <c r="I14" s="113">
        <v>1372</v>
      </c>
      <c r="J14" s="113">
        <v>3</v>
      </c>
      <c r="K14" s="123">
        <f>82.38+26.82</f>
        <v>109.19999999999999</v>
      </c>
      <c r="L14" s="47" t="s">
        <v>366</v>
      </c>
    </row>
    <row r="15" spans="1:13" ht="20.100000000000001" customHeight="1">
      <c r="A15" s="113">
        <v>7</v>
      </c>
      <c r="B15" s="113" t="s">
        <v>438</v>
      </c>
      <c r="C15" s="113" t="s">
        <v>439</v>
      </c>
      <c r="D15" s="113" t="s">
        <v>440</v>
      </c>
      <c r="E15" s="113" t="s">
        <v>441</v>
      </c>
      <c r="F15" s="113" t="s">
        <v>442</v>
      </c>
      <c r="G15" s="113" t="s">
        <v>443</v>
      </c>
      <c r="H15" s="113">
        <v>610</v>
      </c>
      <c r="I15" s="113">
        <v>916</v>
      </c>
      <c r="J15" s="113">
        <v>6</v>
      </c>
      <c r="K15" s="123">
        <v>26.68</v>
      </c>
      <c r="L15" s="47" t="s">
        <v>367</v>
      </c>
    </row>
    <row r="16" spans="1:13" ht="20.100000000000001" customHeight="1">
      <c r="A16" s="113">
        <v>8</v>
      </c>
      <c r="B16" s="113" t="s">
        <v>444</v>
      </c>
      <c r="C16" s="113" t="s">
        <v>439</v>
      </c>
      <c r="D16" s="113" t="s">
        <v>445</v>
      </c>
      <c r="E16" s="113" t="s">
        <v>429</v>
      </c>
      <c r="F16" s="113" t="s">
        <v>442</v>
      </c>
      <c r="G16" s="113" t="s">
        <v>454</v>
      </c>
      <c r="H16" s="113">
        <v>3048</v>
      </c>
      <c r="I16" s="113">
        <v>2058</v>
      </c>
      <c r="J16" s="113">
        <v>1</v>
      </c>
      <c r="K16" s="123">
        <v>201.26</v>
      </c>
      <c r="L16" s="47" t="s">
        <v>368</v>
      </c>
    </row>
    <row r="17" spans="1:13" ht="20.100000000000001" customHeight="1">
      <c r="A17" s="113">
        <v>9</v>
      </c>
      <c r="B17" s="113" t="s">
        <v>455</v>
      </c>
      <c r="C17" s="113" t="s">
        <v>432</v>
      </c>
      <c r="D17" s="113" t="s">
        <v>433</v>
      </c>
      <c r="E17" s="113" t="s">
        <v>429</v>
      </c>
      <c r="F17" s="113" t="s">
        <v>430</v>
      </c>
      <c r="G17" s="113" t="s">
        <v>456</v>
      </c>
      <c r="H17" s="113">
        <v>1220</v>
      </c>
      <c r="I17" s="113">
        <v>916</v>
      </c>
      <c r="J17" s="113">
        <v>1</v>
      </c>
      <c r="K17" s="123">
        <f>73.83+23.75</f>
        <v>97.58</v>
      </c>
      <c r="L17" s="47" t="s">
        <v>369</v>
      </c>
    </row>
    <row r="18" spans="1:13" ht="20.100000000000001" customHeight="1">
      <c r="A18" s="113">
        <v>10</v>
      </c>
      <c r="B18" s="113" t="s">
        <v>457</v>
      </c>
      <c r="C18" s="113" t="s">
        <v>439</v>
      </c>
      <c r="D18" s="113" t="s">
        <v>440</v>
      </c>
      <c r="E18" s="113" t="s">
        <v>429</v>
      </c>
      <c r="F18" s="113" t="s">
        <v>442</v>
      </c>
      <c r="G18" s="113" t="s">
        <v>456</v>
      </c>
      <c r="H18" s="113">
        <v>1830</v>
      </c>
      <c r="I18" s="113">
        <v>610</v>
      </c>
      <c r="J18" s="113">
        <v>1</v>
      </c>
      <c r="K18" s="123">
        <v>42.07</v>
      </c>
      <c r="L18" s="47" t="s">
        <v>370</v>
      </c>
    </row>
    <row r="19" spans="1:13" ht="20.100000000000001" customHeight="1">
      <c r="A19" s="113">
        <v>11</v>
      </c>
      <c r="B19" s="113" t="s">
        <v>458</v>
      </c>
      <c r="C19" s="113" t="s">
        <v>439</v>
      </c>
      <c r="D19" s="113" t="s">
        <v>440</v>
      </c>
      <c r="E19" s="113" t="s">
        <v>429</v>
      </c>
      <c r="F19" s="113" t="s">
        <v>442</v>
      </c>
      <c r="G19" s="113" t="s">
        <v>456</v>
      </c>
      <c r="H19" s="113">
        <v>610</v>
      </c>
      <c r="I19" s="113">
        <v>916</v>
      </c>
      <c r="J19" s="113">
        <v>1</v>
      </c>
      <c r="K19" s="123">
        <v>26.68</v>
      </c>
      <c r="L19" s="47" t="s">
        <v>371</v>
      </c>
    </row>
    <row r="20" spans="1:13">
      <c r="A20" s="113">
        <v>12</v>
      </c>
      <c r="B20" s="113" t="s">
        <v>459</v>
      </c>
      <c r="C20" s="113" t="s">
        <v>460</v>
      </c>
      <c r="D20" s="113" t="s">
        <v>461</v>
      </c>
      <c r="E20" s="113" t="s">
        <v>263</v>
      </c>
      <c r="F20" s="113" t="s">
        <v>430</v>
      </c>
      <c r="G20" s="113" t="s">
        <v>462</v>
      </c>
      <c r="H20" s="113">
        <v>3556</v>
      </c>
      <c r="I20" s="113">
        <v>2134</v>
      </c>
      <c r="J20" s="113">
        <v>1</v>
      </c>
      <c r="K20" s="123">
        <v>498.3</v>
      </c>
      <c r="L20" s="47" t="s">
        <v>384</v>
      </c>
    </row>
    <row r="21" spans="1:13" ht="20.100000000000001" customHeight="1">
      <c r="A21" s="113">
        <v>13</v>
      </c>
      <c r="B21" s="113" t="s">
        <v>463</v>
      </c>
      <c r="C21" s="113" t="s">
        <v>460</v>
      </c>
      <c r="D21" s="113" t="s">
        <v>461</v>
      </c>
      <c r="E21" s="113" t="s">
        <v>263</v>
      </c>
      <c r="F21" s="113" t="s">
        <v>430</v>
      </c>
      <c r="G21" s="113" t="s">
        <v>464</v>
      </c>
      <c r="H21" s="113">
        <v>3354</v>
      </c>
      <c r="I21" s="113">
        <v>2134</v>
      </c>
      <c r="J21" s="113">
        <v>2</v>
      </c>
      <c r="K21" s="123">
        <v>486.72</v>
      </c>
      <c r="L21" s="47" t="s">
        <v>385</v>
      </c>
    </row>
    <row r="22" spans="1:13" ht="20.100000000000001" customHeight="1">
      <c r="A22" s="113">
        <v>14</v>
      </c>
      <c r="B22" s="113" t="s">
        <v>465</v>
      </c>
      <c r="C22" s="113" t="s">
        <v>460</v>
      </c>
      <c r="D22" s="113" t="s">
        <v>461</v>
      </c>
      <c r="E22" s="113" t="s">
        <v>263</v>
      </c>
      <c r="F22" s="113" t="s">
        <v>430</v>
      </c>
      <c r="G22" s="113" t="s">
        <v>466</v>
      </c>
      <c r="H22" s="113">
        <v>2134</v>
      </c>
      <c r="I22" s="113">
        <v>2134</v>
      </c>
      <c r="J22" s="113">
        <v>2</v>
      </c>
      <c r="K22" s="123">
        <v>416.74</v>
      </c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401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414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415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416</v>
      </c>
      <c r="M26" s="47" t="s">
        <v>417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14" sqref="Q11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M900 &amp; M940</v>
      </c>
      <c r="D4" s="118" t="str">
        <f>'BD Team'!D9</f>
        <v>3 TRACK 2 SHUTTER SLIDING WINDOW WITH BOTTOM FIXED</v>
      </c>
      <c r="E4" s="118" t="str">
        <f>'BD Team'!F9</f>
        <v>SS</v>
      </c>
      <c r="F4" s="121" t="str">
        <f>'BD Team'!G9</f>
        <v>GF - ENTRANCE FOYER</v>
      </c>
      <c r="G4" s="118">
        <f>'BD Team'!H9</f>
        <v>1830</v>
      </c>
      <c r="H4" s="118">
        <f>'BD Team'!I9</f>
        <v>2058</v>
      </c>
      <c r="I4" s="118">
        <f>'BD Team'!J9</f>
        <v>1</v>
      </c>
      <c r="J4" s="103">
        <f t="shared" ref="J4:J53" si="0">G4*H4*I4*10.764/1000000</f>
        <v>40.538730960000002</v>
      </c>
      <c r="K4" s="172">
        <f>'BD Team'!K9</f>
        <v>185.29</v>
      </c>
      <c r="L4" s="171">
        <f>K4*I4</f>
        <v>185.29</v>
      </c>
      <c r="M4" s="170">
        <f>L4*'Changable Values'!$D$4</f>
        <v>15379.07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25.92</v>
      </c>
      <c r="U4" s="313">
        <f>SUM(G4:H4)*I4*2*4/1000</f>
        <v>31.103999999999999</v>
      </c>
      <c r="V4" s="313">
        <f>SUM(G4:H4)*I4*5*5*4/(1000*240)</f>
        <v>1.62</v>
      </c>
      <c r="W4" s="313">
        <f>T4</f>
        <v>25.92</v>
      </c>
      <c r="X4" s="313">
        <f>W4*2</f>
        <v>51.84</v>
      </c>
      <c r="Y4" s="313">
        <f>SUM(G4:H4)*I4*4/1000</f>
        <v>15.552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MB/R1 &amp; FF - KB/R</v>
      </c>
      <c r="G5" s="118">
        <f>'BD Team'!H10</f>
        <v>1830</v>
      </c>
      <c r="H5" s="118">
        <f>'BD Team'!I10</f>
        <v>1372</v>
      </c>
      <c r="I5" s="118">
        <f>'BD Team'!J10</f>
        <v>2</v>
      </c>
      <c r="J5" s="103">
        <f t="shared" si="0"/>
        <v>54.051641279999991</v>
      </c>
      <c r="K5" s="172">
        <f>'BD Team'!K10</f>
        <v>131.29</v>
      </c>
      <c r="L5" s="171">
        <f t="shared" ref="L5:L53" si="1">K5*I5</f>
        <v>262.58</v>
      </c>
      <c r="M5" s="170">
        <f>L5*'Changable Values'!$D$4</f>
        <v>21794.14</v>
      </c>
      <c r="N5" s="170" t="str">
        <f>'BD Team'!E10</f>
        <v>6MM</v>
      </c>
      <c r="O5" s="172">
        <v>1002</v>
      </c>
      <c r="P5" s="241"/>
      <c r="Q5" s="173">
        <f t="shared" ref="Q5:Q9" si="2">50*10.764</f>
        <v>538.19999999999993</v>
      </c>
      <c r="R5" s="185"/>
      <c r="S5" s="312"/>
      <c r="T5" s="313">
        <f t="shared" ref="T5:T68" si="3">(G5+H5)*I5*2/300</f>
        <v>42.693333333333335</v>
      </c>
      <c r="U5" s="313">
        <f t="shared" ref="U5:U68" si="4">SUM(G5:H5)*I5*2*4/1000</f>
        <v>51.231999999999999</v>
      </c>
      <c r="V5" s="313">
        <f t="shared" ref="V5:V68" si="5">SUM(G5:H5)*I5*5*5*4/(1000*240)</f>
        <v>2.6683333333333334</v>
      </c>
      <c r="W5" s="313">
        <f t="shared" ref="W5:W68" si="6">T5</f>
        <v>42.693333333333335</v>
      </c>
      <c r="X5" s="313">
        <f t="shared" ref="X5:X68" si="7">W5*2</f>
        <v>85.38666666666667</v>
      </c>
      <c r="Y5" s="313">
        <f t="shared" ref="Y5:Y68" si="8">SUM(G5:H5)*I5*4/1000</f>
        <v>25.616</v>
      </c>
    </row>
    <row r="6" spans="1:25">
      <c r="A6" s="118">
        <f>'BD Team'!A11</f>
        <v>3</v>
      </c>
      <c r="B6" s="118" t="str">
        <f>'BD Team'!B11</f>
        <v>W1A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1F - HOME THEATER</v>
      </c>
      <c r="G6" s="118">
        <f>'BD Team'!H11</f>
        <v>1830</v>
      </c>
      <c r="H6" s="118">
        <f>'BD Team'!I11</f>
        <v>1372</v>
      </c>
      <c r="I6" s="118">
        <f>'BD Team'!J11</f>
        <v>1</v>
      </c>
      <c r="J6" s="103">
        <f t="shared" si="0"/>
        <v>27.025820639999996</v>
      </c>
      <c r="K6" s="172">
        <f>'BD Team'!K11</f>
        <v>181.78</v>
      </c>
      <c r="L6" s="171">
        <f t="shared" si="1"/>
        <v>181.78</v>
      </c>
      <c r="M6" s="170">
        <f>L6*'Changable Values'!$D$4</f>
        <v>15087.74</v>
      </c>
      <c r="N6" s="170" t="str">
        <f>'BD Team'!E11</f>
        <v>20MM</v>
      </c>
      <c r="O6" s="172">
        <v>2805</v>
      </c>
      <c r="P6" s="241"/>
      <c r="Q6" s="173">
        <f t="shared" si="2"/>
        <v>538.19999999999993</v>
      </c>
      <c r="R6" s="185"/>
      <c r="S6" s="312"/>
      <c r="T6" s="313">
        <f t="shared" si="3"/>
        <v>21.346666666666668</v>
      </c>
      <c r="U6" s="313">
        <f t="shared" si="4"/>
        <v>25.616</v>
      </c>
      <c r="V6" s="313">
        <f t="shared" si="5"/>
        <v>1.3341666666666667</v>
      </c>
      <c r="W6" s="313">
        <f t="shared" si="6"/>
        <v>21.346666666666668</v>
      </c>
      <c r="X6" s="313">
        <f t="shared" si="7"/>
        <v>42.693333333333335</v>
      </c>
      <c r="Y6" s="313">
        <f t="shared" si="8"/>
        <v>12.808</v>
      </c>
    </row>
    <row r="7" spans="1:25">
      <c r="A7" s="118">
        <f>'BD Team'!A12</f>
        <v>4</v>
      </c>
      <c r="B7" s="118" t="str">
        <f>'BD Team'!B12</f>
        <v>W2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2F - MBR &amp; 1SF</v>
      </c>
      <c r="G7" s="118">
        <f>'BD Team'!H12</f>
        <v>1524</v>
      </c>
      <c r="H7" s="118">
        <f>'BD Team'!I12</f>
        <v>1372</v>
      </c>
      <c r="I7" s="118">
        <f>'BD Team'!J12</f>
        <v>3</v>
      </c>
      <c r="J7" s="103">
        <f t="shared" si="0"/>
        <v>67.520246975999996</v>
      </c>
      <c r="K7" s="172">
        <f>'BD Team'!K12</f>
        <v>126.1</v>
      </c>
      <c r="L7" s="171">
        <f t="shared" si="1"/>
        <v>378.29999999999995</v>
      </c>
      <c r="M7" s="170">
        <f>L7*'Changable Values'!$D$4</f>
        <v>31398.899999999998</v>
      </c>
      <c r="N7" s="170" t="str">
        <f>'BD Team'!E12</f>
        <v>6MM</v>
      </c>
      <c r="O7" s="172">
        <v>1002</v>
      </c>
      <c r="P7" s="241"/>
      <c r="Q7" s="173">
        <f t="shared" si="2"/>
        <v>538.19999999999993</v>
      </c>
      <c r="R7" s="185"/>
      <c r="S7" s="312"/>
      <c r="T7" s="313">
        <f t="shared" si="3"/>
        <v>57.92</v>
      </c>
      <c r="U7" s="313">
        <f t="shared" si="4"/>
        <v>69.504000000000005</v>
      </c>
      <c r="V7" s="313">
        <f t="shared" si="5"/>
        <v>3.62</v>
      </c>
      <c r="W7" s="313">
        <f t="shared" si="6"/>
        <v>57.92</v>
      </c>
      <c r="X7" s="313">
        <f t="shared" si="7"/>
        <v>115.84</v>
      </c>
      <c r="Y7" s="313">
        <f t="shared" si="8"/>
        <v>34.752000000000002</v>
      </c>
    </row>
    <row r="8" spans="1:25">
      <c r="A8" s="118">
        <f>'BD Team'!A13</f>
        <v>5</v>
      </c>
      <c r="B8" s="118" t="str">
        <f>'BD Team'!B13</f>
        <v>W3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1F - BR</v>
      </c>
      <c r="G8" s="118">
        <f>'BD Team'!H13</f>
        <v>1524</v>
      </c>
      <c r="H8" s="118">
        <f>'BD Team'!I13</f>
        <v>1372</v>
      </c>
      <c r="I8" s="118">
        <f>'BD Team'!J13</f>
        <v>1</v>
      </c>
      <c r="J8" s="103">
        <f t="shared" si="0"/>
        <v>22.506748991999999</v>
      </c>
      <c r="K8" s="172">
        <f>'BD Team'!K13</f>
        <v>126.1</v>
      </c>
      <c r="L8" s="171">
        <f t="shared" si="1"/>
        <v>126.1</v>
      </c>
      <c r="M8" s="170">
        <f>L8*'Changable Values'!$D$4</f>
        <v>10466.299999999999</v>
      </c>
      <c r="N8" s="170" t="str">
        <f>'BD Team'!E13</f>
        <v>6MM</v>
      </c>
      <c r="O8" s="172">
        <v>1002</v>
      </c>
      <c r="P8" s="241"/>
      <c r="Q8" s="173">
        <f t="shared" si="2"/>
        <v>538.19999999999993</v>
      </c>
      <c r="R8" s="185"/>
      <c r="S8" s="312"/>
      <c r="T8" s="313">
        <f t="shared" si="3"/>
        <v>19.306666666666668</v>
      </c>
      <c r="U8" s="313">
        <f t="shared" si="4"/>
        <v>23.167999999999999</v>
      </c>
      <c r="V8" s="313">
        <f t="shared" si="5"/>
        <v>1.2066666666666668</v>
      </c>
      <c r="W8" s="313">
        <f t="shared" si="6"/>
        <v>19.306666666666668</v>
      </c>
      <c r="X8" s="313">
        <f t="shared" si="7"/>
        <v>38.613333333333337</v>
      </c>
      <c r="Y8" s="313">
        <f t="shared" si="8"/>
        <v>11.584</v>
      </c>
    </row>
    <row r="9" spans="1:25">
      <c r="A9" s="118">
        <f>'BD Team'!A14</f>
        <v>6</v>
      </c>
      <c r="B9" s="118" t="str">
        <f>'BD Team'!B14</f>
        <v>W4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GF - DGR, 1FF-STAIR / 1SF</v>
      </c>
      <c r="G9" s="118">
        <f>'BD Team'!H14</f>
        <v>916</v>
      </c>
      <c r="H9" s="118">
        <f>'BD Team'!I14</f>
        <v>1372</v>
      </c>
      <c r="I9" s="118">
        <f>'BD Team'!J14</f>
        <v>3</v>
      </c>
      <c r="J9" s="103">
        <f t="shared" si="0"/>
        <v>40.583035584000001</v>
      </c>
      <c r="K9" s="172">
        <f>'BD Team'!K14</f>
        <v>109.19999999999999</v>
      </c>
      <c r="L9" s="171">
        <f t="shared" si="1"/>
        <v>327.59999999999997</v>
      </c>
      <c r="M9" s="170">
        <f>L9*'Changable Values'!$D$4</f>
        <v>27190.799999999996</v>
      </c>
      <c r="N9" s="170" t="str">
        <f>'BD Team'!E14</f>
        <v>6MM</v>
      </c>
      <c r="O9" s="172">
        <v>1002</v>
      </c>
      <c r="P9" s="241"/>
      <c r="Q9" s="173">
        <f t="shared" si="2"/>
        <v>538.19999999999993</v>
      </c>
      <c r="R9" s="185"/>
      <c r="S9" s="312"/>
      <c r="T9" s="313">
        <f t="shared" si="3"/>
        <v>45.76</v>
      </c>
      <c r="U9" s="313">
        <f t="shared" si="4"/>
        <v>54.911999999999999</v>
      </c>
      <c r="V9" s="313">
        <f t="shared" si="5"/>
        <v>2.86</v>
      </c>
      <c r="W9" s="313">
        <f t="shared" si="6"/>
        <v>45.76</v>
      </c>
      <c r="X9" s="313">
        <f t="shared" si="7"/>
        <v>91.52</v>
      </c>
      <c r="Y9" s="313">
        <f t="shared" si="8"/>
        <v>27.456</v>
      </c>
    </row>
    <row r="10" spans="1:25">
      <c r="A10" s="118">
        <f>'BD Team'!A15</f>
        <v>7</v>
      </c>
      <c r="B10" s="118" t="str">
        <f>'BD Team'!B15</f>
        <v>V1</v>
      </c>
      <c r="C10" s="118" t="str">
        <f>'BD Team'!C15</f>
        <v>M940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TOILET</v>
      </c>
      <c r="G10" s="118">
        <f>'BD Team'!H15</f>
        <v>610</v>
      </c>
      <c r="H10" s="118">
        <f>'BD Team'!I15</f>
        <v>916</v>
      </c>
      <c r="I10" s="118">
        <f>'BD Team'!J15</f>
        <v>6</v>
      </c>
      <c r="J10" s="103">
        <f t="shared" si="0"/>
        <v>36.086955839999995</v>
      </c>
      <c r="K10" s="172">
        <f>'BD Team'!K15</f>
        <v>26.68</v>
      </c>
      <c r="L10" s="171">
        <f t="shared" si="1"/>
        <v>160.07999999999998</v>
      </c>
      <c r="M10" s="170">
        <f>L10*'Changable Values'!$D$4</f>
        <v>13286.64</v>
      </c>
      <c r="N10" s="170" t="str">
        <f>'BD Team'!E15</f>
        <v>6MM (F)</v>
      </c>
      <c r="O10" s="172">
        <v>2003</v>
      </c>
      <c r="P10" s="241"/>
      <c r="Q10" s="173"/>
      <c r="R10" s="185"/>
      <c r="S10" s="312"/>
      <c r="T10" s="313">
        <f t="shared" si="3"/>
        <v>61.04</v>
      </c>
      <c r="U10" s="313">
        <f t="shared" si="4"/>
        <v>73.248000000000005</v>
      </c>
      <c r="V10" s="313">
        <f t="shared" si="5"/>
        <v>3.8149999999999999</v>
      </c>
      <c r="W10" s="313">
        <f t="shared" si="6"/>
        <v>61.04</v>
      </c>
      <c r="X10" s="313">
        <f t="shared" si="7"/>
        <v>122.08</v>
      </c>
      <c r="Y10" s="313">
        <f t="shared" si="8"/>
        <v>36.624000000000002</v>
      </c>
    </row>
    <row r="11" spans="1:25">
      <c r="A11" s="118">
        <f>'BD Team'!A16</f>
        <v>8</v>
      </c>
      <c r="B11" s="118" t="str">
        <f>'BD Team'!B16</f>
        <v>FG1</v>
      </c>
      <c r="C11" s="118" t="str">
        <f>'BD Team'!C16</f>
        <v>M940</v>
      </c>
      <c r="D11" s="118" t="str">
        <f>'BD Team'!D16</f>
        <v>FIXED GLASS 3 NO'S</v>
      </c>
      <c r="E11" s="118" t="str">
        <f>'BD Team'!F16</f>
        <v>NO</v>
      </c>
      <c r="F11" s="121" t="str">
        <f>'BD Team'!G16</f>
        <v>GF</v>
      </c>
      <c r="G11" s="118">
        <f>'BD Team'!H16</f>
        <v>3048</v>
      </c>
      <c r="H11" s="118">
        <f>'BD Team'!I16</f>
        <v>2058</v>
      </c>
      <c r="I11" s="118">
        <f>'BD Team'!J16</f>
        <v>1</v>
      </c>
      <c r="J11" s="103">
        <f t="shared" si="0"/>
        <v>67.520246975999996</v>
      </c>
      <c r="K11" s="172">
        <f>'BD Team'!K16</f>
        <v>201.26</v>
      </c>
      <c r="L11" s="171">
        <f t="shared" si="1"/>
        <v>201.26</v>
      </c>
      <c r="M11" s="170">
        <f>L11*'Changable Values'!$D$4</f>
        <v>16704.579999999998</v>
      </c>
      <c r="N11" s="170" t="str">
        <f>'BD Team'!E16</f>
        <v>6MM</v>
      </c>
      <c r="O11" s="172">
        <v>1002</v>
      </c>
      <c r="P11" s="241"/>
      <c r="Q11" s="173"/>
      <c r="R11" s="185"/>
      <c r="S11" s="312"/>
      <c r="T11" s="313">
        <f t="shared" si="3"/>
        <v>34.04</v>
      </c>
      <c r="U11" s="313">
        <f t="shared" si="4"/>
        <v>40.847999999999999</v>
      </c>
      <c r="V11" s="313">
        <f t="shared" si="5"/>
        <v>2.1274999999999999</v>
      </c>
      <c r="W11" s="313">
        <f t="shared" si="6"/>
        <v>34.04</v>
      </c>
      <c r="X11" s="313">
        <f t="shared" si="7"/>
        <v>68.08</v>
      </c>
      <c r="Y11" s="313">
        <f t="shared" si="8"/>
        <v>20.423999999999999</v>
      </c>
    </row>
    <row r="12" spans="1:25">
      <c r="A12" s="118">
        <f>'BD Team'!A17</f>
        <v>9</v>
      </c>
      <c r="B12" s="118" t="str">
        <f>'BD Team'!B17</f>
        <v>KW1</v>
      </c>
      <c r="C12" s="118" t="str">
        <f>'BD Team'!C17</f>
        <v>M900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GF - KITCHEN</v>
      </c>
      <c r="G12" s="118">
        <f>'BD Team'!H17</f>
        <v>1220</v>
      </c>
      <c r="H12" s="118">
        <f>'BD Team'!I17</f>
        <v>916</v>
      </c>
      <c r="I12" s="118">
        <f>'BD Team'!J17</f>
        <v>1</v>
      </c>
      <c r="J12" s="103">
        <f t="shared" si="0"/>
        <v>12.028985279999999</v>
      </c>
      <c r="K12" s="172">
        <f>'BD Team'!K17</f>
        <v>97.58</v>
      </c>
      <c r="L12" s="171">
        <f t="shared" si="1"/>
        <v>97.58</v>
      </c>
      <c r="M12" s="170">
        <f>L12*'Changable Values'!$D$4</f>
        <v>8099.1399999999994</v>
      </c>
      <c r="N12" s="170" t="str">
        <f>'BD Team'!E17</f>
        <v>6MM</v>
      </c>
      <c r="O12" s="172">
        <v>1002</v>
      </c>
      <c r="P12" s="241"/>
      <c r="Q12" s="173">
        <f>50*10.764</f>
        <v>538.19999999999993</v>
      </c>
      <c r="R12" s="185"/>
      <c r="S12" s="312"/>
      <c r="T12" s="313">
        <f t="shared" si="3"/>
        <v>14.24</v>
      </c>
      <c r="U12" s="313">
        <f t="shared" si="4"/>
        <v>17.088000000000001</v>
      </c>
      <c r="V12" s="313">
        <f t="shared" si="5"/>
        <v>0.89</v>
      </c>
      <c r="W12" s="313">
        <f t="shared" si="6"/>
        <v>14.24</v>
      </c>
      <c r="X12" s="313">
        <f t="shared" si="7"/>
        <v>28.48</v>
      </c>
      <c r="Y12" s="313">
        <f t="shared" si="8"/>
        <v>8.5440000000000005</v>
      </c>
    </row>
    <row r="13" spans="1:25">
      <c r="A13" s="118">
        <f>'BD Team'!A18</f>
        <v>10</v>
      </c>
      <c r="B13" s="118" t="str">
        <f>'BD Team'!B18</f>
        <v>KW2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GF - KITCHEN</v>
      </c>
      <c r="G13" s="118">
        <f>'BD Team'!H18</f>
        <v>1830</v>
      </c>
      <c r="H13" s="118">
        <f>'BD Team'!I18</f>
        <v>610</v>
      </c>
      <c r="I13" s="118">
        <f>'BD Team'!J18</f>
        <v>1</v>
      </c>
      <c r="J13" s="103">
        <f t="shared" si="0"/>
        <v>12.015853199999999</v>
      </c>
      <c r="K13" s="172">
        <f>'BD Team'!K18</f>
        <v>42.07</v>
      </c>
      <c r="L13" s="171">
        <f t="shared" si="1"/>
        <v>42.07</v>
      </c>
      <c r="M13" s="170">
        <f>L13*'Changable Values'!$D$4</f>
        <v>3491.81</v>
      </c>
      <c r="N13" s="170" t="str">
        <f>'BD Team'!E18</f>
        <v>6MM</v>
      </c>
      <c r="O13" s="172">
        <v>1002</v>
      </c>
      <c r="P13" s="241"/>
      <c r="Q13" s="173"/>
      <c r="R13" s="185"/>
      <c r="S13" s="312"/>
      <c r="T13" s="313">
        <f t="shared" si="3"/>
        <v>16.266666666666666</v>
      </c>
      <c r="U13" s="313">
        <f t="shared" si="4"/>
        <v>19.52</v>
      </c>
      <c r="V13" s="313">
        <f t="shared" si="5"/>
        <v>1.0166666666666666</v>
      </c>
      <c r="W13" s="313">
        <f t="shared" si="6"/>
        <v>16.266666666666666</v>
      </c>
      <c r="X13" s="313">
        <f t="shared" si="7"/>
        <v>32.533333333333331</v>
      </c>
      <c r="Y13" s="313">
        <f t="shared" si="8"/>
        <v>9.76</v>
      </c>
    </row>
    <row r="14" spans="1:25">
      <c r="A14" s="118">
        <f>'BD Team'!A19</f>
        <v>11</v>
      </c>
      <c r="B14" s="118" t="str">
        <f>'BD Team'!B19</f>
        <v>KW3</v>
      </c>
      <c r="C14" s="118" t="str">
        <f>'BD Team'!C19</f>
        <v>M940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GF - KITCHEN</v>
      </c>
      <c r="G14" s="118">
        <f>'BD Team'!H19</f>
        <v>610</v>
      </c>
      <c r="H14" s="118">
        <f>'BD Team'!I19</f>
        <v>916</v>
      </c>
      <c r="I14" s="118">
        <f>'BD Team'!J19</f>
        <v>1</v>
      </c>
      <c r="J14" s="103">
        <f t="shared" si="0"/>
        <v>6.0144926399999994</v>
      </c>
      <c r="K14" s="172">
        <f>'BD Team'!K19</f>
        <v>26.68</v>
      </c>
      <c r="L14" s="171">
        <f t="shared" si="1"/>
        <v>26.68</v>
      </c>
      <c r="M14" s="170">
        <f>L14*'Changable Values'!$D$4</f>
        <v>2214.44</v>
      </c>
      <c r="N14" s="170" t="str">
        <f>'BD Team'!E19</f>
        <v>6MM</v>
      </c>
      <c r="O14" s="172">
        <v>1002</v>
      </c>
      <c r="P14" s="241"/>
      <c r="Q14" s="173"/>
      <c r="R14" s="185"/>
      <c r="S14" s="312"/>
      <c r="T14" s="313">
        <f t="shared" si="3"/>
        <v>10.173333333333334</v>
      </c>
      <c r="U14" s="313">
        <f t="shared" si="4"/>
        <v>12.208</v>
      </c>
      <c r="V14" s="313">
        <f t="shared" si="5"/>
        <v>0.63583333333333336</v>
      </c>
      <c r="W14" s="313">
        <f t="shared" si="6"/>
        <v>10.173333333333334</v>
      </c>
      <c r="X14" s="313">
        <f t="shared" si="7"/>
        <v>20.346666666666668</v>
      </c>
      <c r="Y14" s="313">
        <f t="shared" si="8"/>
        <v>6.1040000000000001</v>
      </c>
    </row>
    <row r="15" spans="1:25">
      <c r="A15" s="118">
        <f>'BD Team'!A20</f>
        <v>12</v>
      </c>
      <c r="B15" s="118" t="str">
        <f>'BD Team'!B20</f>
        <v>SLD1</v>
      </c>
      <c r="C15" s="118" t="str">
        <f>'BD Team'!C20</f>
        <v>M14600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FF - HOME THEATER</v>
      </c>
      <c r="G15" s="118">
        <f>'BD Team'!H20</f>
        <v>3556</v>
      </c>
      <c r="H15" s="118">
        <f>'BD Team'!I20</f>
        <v>2134</v>
      </c>
      <c r="I15" s="118">
        <f>'BD Team'!J20</f>
        <v>1</v>
      </c>
      <c r="J15" s="103">
        <f t="shared" si="0"/>
        <v>81.682657055999996</v>
      </c>
      <c r="K15" s="172">
        <f>'BD Team'!K20</f>
        <v>498.3</v>
      </c>
      <c r="L15" s="171">
        <f t="shared" si="1"/>
        <v>498.3</v>
      </c>
      <c r="M15" s="170">
        <f>L15*'Changable Values'!$D$4</f>
        <v>41358.9</v>
      </c>
      <c r="N15" s="170" t="str">
        <f>'BD Team'!E20</f>
        <v>24MM</v>
      </c>
      <c r="O15" s="172">
        <v>2938</v>
      </c>
      <c r="P15" s="241"/>
      <c r="Q15" s="173">
        <f t="shared" ref="Q15:Q17" si="9">50*10.764</f>
        <v>538.19999999999993</v>
      </c>
      <c r="R15" s="185"/>
      <c r="S15" s="312"/>
      <c r="T15" s="313">
        <f t="shared" si="3"/>
        <v>37.93333333333333</v>
      </c>
      <c r="U15" s="313">
        <f t="shared" si="4"/>
        <v>45.52</v>
      </c>
      <c r="V15" s="313">
        <f t="shared" si="5"/>
        <v>2.3708333333333331</v>
      </c>
      <c r="W15" s="313">
        <f t="shared" si="6"/>
        <v>37.93333333333333</v>
      </c>
      <c r="X15" s="313">
        <f t="shared" si="7"/>
        <v>75.86666666666666</v>
      </c>
      <c r="Y15" s="313">
        <f t="shared" si="8"/>
        <v>22.76</v>
      </c>
    </row>
    <row r="16" spans="1:25" ht="28.5">
      <c r="A16" s="118">
        <f>'BD Team'!A21</f>
        <v>13</v>
      </c>
      <c r="B16" s="118" t="str">
        <f>'BD Team'!B21</f>
        <v>SLD2</v>
      </c>
      <c r="C16" s="118" t="str">
        <f>'BD Team'!C21</f>
        <v>M14600</v>
      </c>
      <c r="D16" s="118" t="str">
        <f>'BD Team'!D21</f>
        <v>3 TRACK 2 SHUTTER SLIDING DOOR</v>
      </c>
      <c r="E16" s="118" t="str">
        <f>'BD Team'!F21</f>
        <v>SS</v>
      </c>
      <c r="F16" s="121" t="str">
        <f>'BD Team'!G21</f>
        <v>GF - LIVING HALL &amp; 1F - HOME THEATER</v>
      </c>
      <c r="G16" s="118">
        <f>'BD Team'!H21</f>
        <v>3354</v>
      </c>
      <c r="H16" s="118">
        <f>'BD Team'!I21</f>
        <v>2134</v>
      </c>
      <c r="I16" s="118">
        <f>'BD Team'!J21</f>
        <v>2</v>
      </c>
      <c r="J16" s="103">
        <f t="shared" si="0"/>
        <v>154.085282208</v>
      </c>
      <c r="K16" s="172">
        <f>'BD Team'!K21</f>
        <v>486.72</v>
      </c>
      <c r="L16" s="171">
        <f t="shared" si="1"/>
        <v>973.44</v>
      </c>
      <c r="M16" s="170">
        <f>L16*'Changable Values'!$D$4</f>
        <v>80795.520000000004</v>
      </c>
      <c r="N16" s="170" t="str">
        <f>'BD Team'!E21</f>
        <v>24MM</v>
      </c>
      <c r="O16" s="172">
        <v>2938</v>
      </c>
      <c r="P16" s="241"/>
      <c r="Q16" s="173">
        <f t="shared" si="9"/>
        <v>538.19999999999993</v>
      </c>
      <c r="R16" s="185"/>
      <c r="S16" s="312"/>
      <c r="T16" s="313">
        <f t="shared" si="3"/>
        <v>73.173333333333332</v>
      </c>
      <c r="U16" s="313">
        <f t="shared" si="4"/>
        <v>87.808000000000007</v>
      </c>
      <c r="V16" s="313">
        <f t="shared" si="5"/>
        <v>4.5733333333333333</v>
      </c>
      <c r="W16" s="313">
        <f t="shared" si="6"/>
        <v>73.173333333333332</v>
      </c>
      <c r="X16" s="313">
        <f t="shared" si="7"/>
        <v>146.34666666666666</v>
      </c>
      <c r="Y16" s="313">
        <f t="shared" si="8"/>
        <v>43.904000000000003</v>
      </c>
    </row>
    <row r="17" spans="1:25">
      <c r="A17" s="118">
        <f>'BD Team'!A22</f>
        <v>14</v>
      </c>
      <c r="B17" s="118" t="str">
        <f>'BD Team'!B22</f>
        <v>SLD3</v>
      </c>
      <c r="C17" s="118" t="str">
        <f>'BD Team'!C22</f>
        <v>M14600</v>
      </c>
      <c r="D17" s="118" t="str">
        <f>'BD Team'!D22</f>
        <v>3 TRACK 2 SHUTTER SLIDING DOOR</v>
      </c>
      <c r="E17" s="118" t="str">
        <f>'BD Team'!F22</f>
        <v>SS</v>
      </c>
      <c r="F17" s="121" t="str">
        <f>'BD Team'!G22</f>
        <v>SF</v>
      </c>
      <c r="G17" s="118">
        <f>'BD Team'!H22</f>
        <v>2134</v>
      </c>
      <c r="H17" s="118">
        <f>'BD Team'!I22</f>
        <v>2134</v>
      </c>
      <c r="I17" s="118">
        <f>'BD Team'!J22</f>
        <v>2</v>
      </c>
      <c r="J17" s="103">
        <f t="shared" si="0"/>
        <v>98.037564767999996</v>
      </c>
      <c r="K17" s="172">
        <f>'BD Team'!K22</f>
        <v>416.74</v>
      </c>
      <c r="L17" s="171">
        <f t="shared" si="1"/>
        <v>833.48</v>
      </c>
      <c r="M17" s="170">
        <f>L17*'Changable Values'!$D$4</f>
        <v>69178.84</v>
      </c>
      <c r="N17" s="170" t="str">
        <f>'BD Team'!E22</f>
        <v>24MM</v>
      </c>
      <c r="O17" s="172">
        <v>2938</v>
      </c>
      <c r="P17" s="241"/>
      <c r="Q17" s="173">
        <f t="shared" si="9"/>
        <v>538.19999999999993</v>
      </c>
      <c r="R17" s="185"/>
      <c r="S17" s="312"/>
      <c r="T17" s="313">
        <f t="shared" si="3"/>
        <v>56.906666666666666</v>
      </c>
      <c r="U17" s="313">
        <f t="shared" si="4"/>
        <v>68.287999999999997</v>
      </c>
      <c r="V17" s="313">
        <f t="shared" si="5"/>
        <v>3.5566666666666666</v>
      </c>
      <c r="W17" s="313">
        <f t="shared" si="6"/>
        <v>56.906666666666666</v>
      </c>
      <c r="X17" s="313">
        <f t="shared" si="7"/>
        <v>113.81333333333333</v>
      </c>
      <c r="Y17" s="313">
        <f t="shared" si="8"/>
        <v>34.143999999999998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2655.79</v>
      </c>
      <c r="L104" s="168">
        <f>SUM(L4:L103)</f>
        <v>4294.54</v>
      </c>
      <c r="M104" s="168">
        <f>SUM(M4:M103)</f>
        <v>356446.81999999995</v>
      </c>
      <c r="T104" s="314">
        <f t="shared" ref="T104:Y104" si="18">SUM(T4:T103)</f>
        <v>516.72</v>
      </c>
      <c r="U104" s="314">
        <f t="shared" si="18"/>
        <v>620.06400000000008</v>
      </c>
      <c r="V104" s="314">
        <f t="shared" si="18"/>
        <v>32.295000000000002</v>
      </c>
      <c r="W104" s="314">
        <f t="shared" si="18"/>
        <v>516.72</v>
      </c>
      <c r="X104" s="314">
        <f t="shared" si="18"/>
        <v>1033.44</v>
      </c>
      <c r="Y104" s="314">
        <f t="shared" si="18"/>
        <v>310.03200000000004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I91" sqref="I9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2938.3199999999997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2200</v>
      </c>
      <c r="D4" s="255">
        <f>C4*D3</f>
        <v>50.6</v>
      </c>
      <c r="E4" s="255">
        <f>C4*E3</f>
        <v>88</v>
      </c>
      <c r="F4" s="255">
        <f>C4*F3</f>
        <v>110</v>
      </c>
      <c r="G4" s="255">
        <f>C4+D4+E4+F4</f>
        <v>2448.6</v>
      </c>
      <c r="H4" s="255">
        <f>G4*H3</f>
        <v>489.72</v>
      </c>
      <c r="I4" s="255">
        <f>G4+H4</f>
        <v>2938.3199999999997</v>
      </c>
      <c r="J4" s="255">
        <f>I4*J3</f>
        <v>0</v>
      </c>
      <c r="K4" s="255">
        <f>I4+J4</f>
        <v>2938.3199999999997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2200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 WITH BOTTOM FIXED</v>
      </c>
      <c r="D8" s="131" t="str">
        <f>Pricing!B4</f>
        <v>W</v>
      </c>
      <c r="E8" s="132" t="str">
        <f>Pricing!N4</f>
        <v>6MM</v>
      </c>
      <c r="F8" s="68">
        <f>Pricing!G4</f>
        <v>1830</v>
      </c>
      <c r="G8" s="68">
        <f>Pricing!H4</f>
        <v>2058</v>
      </c>
      <c r="H8" s="100">
        <f t="shared" ref="H8:H57" si="0">(F8*G8)/1000000</f>
        <v>3.76614</v>
      </c>
      <c r="I8" s="70">
        <f>Pricing!I4</f>
        <v>1</v>
      </c>
      <c r="J8" s="69">
        <f t="shared" ref="J8" si="1">H8*I8</f>
        <v>3.76614</v>
      </c>
      <c r="K8" s="71">
        <f t="shared" ref="K8" si="2">J8*10.764</f>
        <v>40.538730959999995</v>
      </c>
      <c r="L8" s="69"/>
      <c r="M8" s="72"/>
      <c r="N8" s="72"/>
      <c r="O8" s="72">
        <f t="shared" ref="O8:O35" si="3">N8*M8*L8/1000000</f>
        <v>0</v>
      </c>
      <c r="P8" s="73">
        <f>Pricing!M4</f>
        <v>15379.07</v>
      </c>
      <c r="Q8" s="74">
        <f t="shared" ref="Q8:Q56" si="4">P8*$Q$6</f>
        <v>1537.9070000000002</v>
      </c>
      <c r="R8" s="74">
        <f t="shared" ref="R8:R56" si="5">(P8+Q8)*$R$6</f>
        <v>1860.8674699999999</v>
      </c>
      <c r="S8" s="74">
        <f t="shared" ref="S8:S56" si="6">(P8+Q8+R8)*$S$6</f>
        <v>93.889222349999997</v>
      </c>
      <c r="T8" s="74">
        <f t="shared" ref="T8:T56" si="7">(P8+Q8+R8+S8)*$T$6</f>
        <v>188.7173369235</v>
      </c>
      <c r="U8" s="72">
        <f t="shared" ref="U8:U56" si="8">SUM(P8:T8)</f>
        <v>19060.451029273499</v>
      </c>
      <c r="V8" s="74">
        <f t="shared" ref="V8:V56" si="9">U8*$V$6</f>
        <v>285.90676543910246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3773.6722800000002</v>
      </c>
      <c r="AE8" s="76">
        <f>((((F8+G8)*2)/305)*I8*$AE$7)</f>
        <v>637.37704918032784</v>
      </c>
      <c r="AF8" s="342">
        <f>(((((F8*4)+(G8*4))/1000)*$AF$6*$AG$6)/300)*I8*$AF$7</f>
        <v>653.18399999999997</v>
      </c>
      <c r="AG8" s="343"/>
      <c r="AH8" s="76">
        <f>(((F8+G8))*I8/1000)*8*$AH$7</f>
        <v>23.327999999999999</v>
      </c>
      <c r="AI8" s="76">
        <f t="shared" ref="AI8:AI57" si="15">(((F8+G8)*2*I8)/1000)*2*$AI$7</f>
        <v>77.759999999999991</v>
      </c>
      <c r="AJ8" s="76">
        <f>J8*Pricing!Q4</f>
        <v>2026.9365479999997</v>
      </c>
      <c r="AK8" s="76">
        <f>J8*Pricing!R4</f>
        <v>0</v>
      </c>
      <c r="AL8" s="76">
        <f t="shared" ref="AL8:AL39" si="16">J8*$AL$6</f>
        <v>4053.8730959999994</v>
      </c>
      <c r="AM8" s="77">
        <f t="shared" ref="AM8:AM39" si="17">$AM$6*J8</f>
        <v>0</v>
      </c>
      <c r="AN8" s="76">
        <f t="shared" ref="AN8:AN39" si="18">$AN$6*J8</f>
        <v>4053.8730959999994</v>
      </c>
      <c r="AO8" s="72">
        <f t="shared" ref="AO8:AO39" si="19">SUM(U8:V8)+SUM(AC8:AI8)-AD8</f>
        <v>20738.006843892934</v>
      </c>
      <c r="AP8" s="74">
        <f t="shared" ref="AP8:AP39" si="20">AO8*$AP$6</f>
        <v>25922.508554866166</v>
      </c>
      <c r="AQ8" s="74">
        <f t="shared" ref="AQ8:AQ56" si="21">(AO8+AP8)*$AQ$6</f>
        <v>0</v>
      </c>
      <c r="AR8" s="74">
        <f t="shared" ref="AR8:AR39" si="22">SUM(AO8:AQ8)/J8</f>
        <v>12389.479785339659</v>
      </c>
      <c r="AS8" s="72">
        <f t="shared" ref="AS8:AS39" si="23">SUM(AJ8:AQ8)+AD8+AB8</f>
        <v>60568.870418759099</v>
      </c>
      <c r="AT8" s="72">
        <f t="shared" ref="AT8:AT39" si="24">AS8/J8</f>
        <v>16082.479785339658</v>
      </c>
      <c r="AU8" s="78">
        <f t="shared" ref="AU8:AU56" si="25">AT8/10.764</f>
        <v>1494.0988280694592</v>
      </c>
      <c r="AV8" s="79">
        <f t="shared" ref="AV8:AV39" si="26">K8/$K$109</f>
        <v>5.6327398686241426E-2</v>
      </c>
      <c r="AW8" s="80">
        <f t="shared" ref="AW8:AW39" si="27">(U8+V8)/(J8*10.764)</f>
        <v>477.23146079244225</v>
      </c>
      <c r="AX8" s="81">
        <f t="shared" ref="AX8:AX39" si="28">SUM(W8:AN8,AP8)/(J8*10.764)</f>
        <v>1016.8673672770168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W1</v>
      </c>
      <c r="E9" s="132" t="str">
        <f>Pricing!N5</f>
        <v>6MM</v>
      </c>
      <c r="F9" s="68">
        <f>Pricing!G5</f>
        <v>1830</v>
      </c>
      <c r="G9" s="68">
        <f>Pricing!H5</f>
        <v>1372</v>
      </c>
      <c r="H9" s="100">
        <f t="shared" si="0"/>
        <v>2.5107599999999999</v>
      </c>
      <c r="I9" s="70">
        <f>Pricing!I5</f>
        <v>2</v>
      </c>
      <c r="J9" s="69">
        <f t="shared" ref="J9:J58" si="30">H9*I9</f>
        <v>5.0215199999999998</v>
      </c>
      <c r="K9" s="71">
        <f t="shared" ref="K9:K58" si="31">J9*10.764</f>
        <v>54.051641279999991</v>
      </c>
      <c r="L9" s="69"/>
      <c r="M9" s="72"/>
      <c r="N9" s="72"/>
      <c r="O9" s="72">
        <f t="shared" si="3"/>
        <v>0</v>
      </c>
      <c r="P9" s="73">
        <f>Pricing!M5</f>
        <v>21794.14</v>
      </c>
      <c r="Q9" s="74">
        <f t="shared" ref="Q9:Q14" si="32">P9*$Q$6</f>
        <v>2179.4140000000002</v>
      </c>
      <c r="R9" s="74">
        <f t="shared" ref="R9:R14" si="33">(P9+Q9)*$R$6</f>
        <v>2637.09094</v>
      </c>
      <c r="S9" s="74">
        <f t="shared" ref="S9:S14" si="34">(P9+Q9+R9)*$S$6</f>
        <v>133.05322469999999</v>
      </c>
      <c r="T9" s="74">
        <f t="shared" ref="T9:T14" si="35">(P9+Q9+R9+S9)*$T$6</f>
        <v>267.43698164699998</v>
      </c>
      <c r="U9" s="72">
        <f t="shared" ref="U9:U14" si="36">SUM(P9:T9)</f>
        <v>27011.135146346998</v>
      </c>
      <c r="V9" s="74">
        <f t="shared" ref="V9:V14" si="37">U9*$V$6</f>
        <v>405.16702719520498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5031.56304</v>
      </c>
      <c r="AE9" s="76">
        <f t="shared" ref="AE9:AE57" si="43">((((F9+G9)*2)/305)*I9*$AE$7)</f>
        <v>1049.8360655737704</v>
      </c>
      <c r="AF9" s="342">
        <f t="shared" ref="AF9:AF57" si="44">(((((F9*4)+(G9*4))/1000)*$AF$6*$AG$6)/300)*I9*$AF$7</f>
        <v>1075.8719999999998</v>
      </c>
      <c r="AG9" s="343"/>
      <c r="AH9" s="76">
        <f t="shared" ref="AH9:AH72" si="45">(((F9+G9))*I9/1000)*8*$AH$7</f>
        <v>38.423999999999999</v>
      </c>
      <c r="AI9" s="76">
        <f t="shared" si="15"/>
        <v>128.07999999999998</v>
      </c>
      <c r="AJ9" s="76">
        <f>J9*Pricing!Q5</f>
        <v>2702.5820639999997</v>
      </c>
      <c r="AK9" s="76">
        <f>J9*Pricing!R5</f>
        <v>0</v>
      </c>
      <c r="AL9" s="76">
        <f t="shared" si="16"/>
        <v>5405.1641279999994</v>
      </c>
      <c r="AM9" s="77">
        <f t="shared" si="17"/>
        <v>0</v>
      </c>
      <c r="AN9" s="76">
        <f t="shared" si="18"/>
        <v>5405.1641279999994</v>
      </c>
      <c r="AO9" s="72">
        <f t="shared" si="19"/>
        <v>29708.514239115975</v>
      </c>
      <c r="AP9" s="74">
        <f t="shared" si="20"/>
        <v>37135.642798894973</v>
      </c>
      <c r="AQ9" s="74">
        <f t="shared" ref="AQ9:AQ14" si="46">(AO9+AP9)*$AQ$6</f>
        <v>0</v>
      </c>
      <c r="AR9" s="74">
        <f t="shared" si="22"/>
        <v>13311.538545701491</v>
      </c>
      <c r="AS9" s="72">
        <f t="shared" si="23"/>
        <v>85388.630398010937</v>
      </c>
      <c r="AT9" s="72">
        <f t="shared" si="24"/>
        <v>17004.538545701489</v>
      </c>
      <c r="AU9" s="78">
        <f t="shared" ref="AU9:AU14" si="47">AT9/10.764</f>
        <v>1579.7601770439883</v>
      </c>
      <c r="AV9" s="79">
        <f t="shared" si="26"/>
        <v>7.5103198248321901E-2</v>
      </c>
      <c r="AW9" s="80">
        <f t="shared" si="27"/>
        <v>507.22423083361008</v>
      </c>
      <c r="AX9" s="81">
        <f t="shared" si="28"/>
        <v>1072.5359462103784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W1A</v>
      </c>
      <c r="E10" s="132" t="str">
        <f>Pricing!N6</f>
        <v>20MM</v>
      </c>
      <c r="F10" s="68">
        <f>Pricing!G6</f>
        <v>1830</v>
      </c>
      <c r="G10" s="68">
        <f>Pricing!H6</f>
        <v>1372</v>
      </c>
      <c r="H10" s="100">
        <f t="shared" si="0"/>
        <v>2.5107599999999999</v>
      </c>
      <c r="I10" s="70">
        <f>Pricing!I6</f>
        <v>1</v>
      </c>
      <c r="J10" s="69">
        <f t="shared" si="30"/>
        <v>2.5107599999999999</v>
      </c>
      <c r="K10" s="71">
        <f t="shared" si="31"/>
        <v>27.025820639999996</v>
      </c>
      <c r="L10" s="69"/>
      <c r="M10" s="72"/>
      <c r="N10" s="72"/>
      <c r="O10" s="72">
        <f t="shared" si="3"/>
        <v>0</v>
      </c>
      <c r="P10" s="73">
        <f>Pricing!M6</f>
        <v>15087.74</v>
      </c>
      <c r="Q10" s="74">
        <f t="shared" si="32"/>
        <v>1508.7740000000001</v>
      </c>
      <c r="R10" s="74">
        <f t="shared" si="33"/>
        <v>1825.61654</v>
      </c>
      <c r="S10" s="74">
        <f t="shared" si="34"/>
        <v>92.110652699999989</v>
      </c>
      <c r="T10" s="74">
        <f t="shared" si="35"/>
        <v>185.14241192699998</v>
      </c>
      <c r="U10" s="72">
        <f t="shared" si="36"/>
        <v>18699.383604627001</v>
      </c>
      <c r="V10" s="74">
        <f t="shared" si="37"/>
        <v>280.490754069405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7042.6817999999994</v>
      </c>
      <c r="AE10" s="76">
        <f t="shared" si="43"/>
        <v>524.91803278688519</v>
      </c>
      <c r="AF10" s="342">
        <f t="shared" si="44"/>
        <v>537.93599999999992</v>
      </c>
      <c r="AG10" s="343"/>
      <c r="AH10" s="76">
        <f t="shared" si="45"/>
        <v>19.212</v>
      </c>
      <c r="AI10" s="76">
        <f t="shared" si="15"/>
        <v>64.039999999999992</v>
      </c>
      <c r="AJ10" s="76">
        <f>J10*Pricing!Q6</f>
        <v>1351.2910319999999</v>
      </c>
      <c r="AK10" s="76">
        <f>J10*Pricing!R6</f>
        <v>0</v>
      </c>
      <c r="AL10" s="76">
        <f t="shared" si="16"/>
        <v>2702.5820639999997</v>
      </c>
      <c r="AM10" s="77">
        <f t="shared" si="17"/>
        <v>0</v>
      </c>
      <c r="AN10" s="76">
        <f t="shared" si="18"/>
        <v>2702.5820639999997</v>
      </c>
      <c r="AO10" s="72">
        <f t="shared" si="19"/>
        <v>20125.980391483292</v>
      </c>
      <c r="AP10" s="74">
        <f t="shared" si="20"/>
        <v>25157.475489354114</v>
      </c>
      <c r="AQ10" s="74">
        <f t="shared" si="46"/>
        <v>0</v>
      </c>
      <c r="AR10" s="74">
        <f t="shared" si="22"/>
        <v>18035.756456545991</v>
      </c>
      <c r="AS10" s="72">
        <f t="shared" si="23"/>
        <v>59082.592840837409</v>
      </c>
      <c r="AT10" s="72">
        <f t="shared" si="24"/>
        <v>23531.756456545991</v>
      </c>
      <c r="AU10" s="78">
        <f t="shared" si="47"/>
        <v>2186.1535169589365</v>
      </c>
      <c r="AV10" s="79">
        <f t="shared" si="26"/>
        <v>3.755159912416095E-2</v>
      </c>
      <c r="AW10" s="80">
        <f t="shared" si="27"/>
        <v>702.2866987655849</v>
      </c>
      <c r="AX10" s="81">
        <f t="shared" si="28"/>
        <v>1483.8668181933515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W2</v>
      </c>
      <c r="E11" s="132" t="str">
        <f>Pricing!N7</f>
        <v>6MM</v>
      </c>
      <c r="F11" s="68">
        <f>Pricing!G7</f>
        <v>1524</v>
      </c>
      <c r="G11" s="68">
        <f>Pricing!H7</f>
        <v>1372</v>
      </c>
      <c r="H11" s="100">
        <f t="shared" si="0"/>
        <v>2.0909279999999999</v>
      </c>
      <c r="I11" s="70">
        <f>Pricing!I7</f>
        <v>3</v>
      </c>
      <c r="J11" s="69">
        <f t="shared" si="30"/>
        <v>6.2727839999999997</v>
      </c>
      <c r="K11" s="71">
        <f t="shared" si="31"/>
        <v>67.520246975999996</v>
      </c>
      <c r="L11" s="69"/>
      <c r="M11" s="72"/>
      <c r="N11" s="72"/>
      <c r="O11" s="72">
        <f t="shared" si="3"/>
        <v>0</v>
      </c>
      <c r="P11" s="73">
        <f>Pricing!M7</f>
        <v>31398.899999999998</v>
      </c>
      <c r="Q11" s="74">
        <f t="shared" si="32"/>
        <v>3139.89</v>
      </c>
      <c r="R11" s="74">
        <f t="shared" si="33"/>
        <v>3799.2669000000001</v>
      </c>
      <c r="S11" s="74">
        <f t="shared" si="34"/>
        <v>191.69028450000002</v>
      </c>
      <c r="T11" s="74">
        <f t="shared" si="35"/>
        <v>385.29747184500002</v>
      </c>
      <c r="U11" s="72">
        <f t="shared" si="36"/>
        <v>38915.044656345002</v>
      </c>
      <c r="V11" s="74">
        <f t="shared" si="37"/>
        <v>583.72566984517505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6285.3295680000001</v>
      </c>
      <c r="AE11" s="76">
        <f t="shared" si="43"/>
        <v>1424.2622950819671</v>
      </c>
      <c r="AF11" s="342">
        <f t="shared" si="44"/>
        <v>1459.5839999999998</v>
      </c>
      <c r="AG11" s="343"/>
      <c r="AH11" s="76">
        <f t="shared" si="45"/>
        <v>52.128</v>
      </c>
      <c r="AI11" s="76">
        <f t="shared" si="15"/>
        <v>173.76000000000002</v>
      </c>
      <c r="AJ11" s="76">
        <f>J11*Pricing!Q7</f>
        <v>3376.0123487999995</v>
      </c>
      <c r="AK11" s="76">
        <f>J11*Pricing!R7</f>
        <v>0</v>
      </c>
      <c r="AL11" s="76">
        <f t="shared" si="16"/>
        <v>6752.0246975999989</v>
      </c>
      <c r="AM11" s="77">
        <f t="shared" si="17"/>
        <v>0</v>
      </c>
      <c r="AN11" s="76">
        <f t="shared" si="18"/>
        <v>6752.0246975999989</v>
      </c>
      <c r="AO11" s="72">
        <f t="shared" si="19"/>
        <v>42608.504621272143</v>
      </c>
      <c r="AP11" s="74">
        <f t="shared" si="20"/>
        <v>53260.63077659018</v>
      </c>
      <c r="AQ11" s="74">
        <f t="shared" si="46"/>
        <v>0</v>
      </c>
      <c r="AR11" s="74">
        <f t="shared" si="22"/>
        <v>15283.347138664798</v>
      </c>
      <c r="AS11" s="72">
        <f t="shared" si="23"/>
        <v>119034.52670986233</v>
      </c>
      <c r="AT11" s="72">
        <f t="shared" si="24"/>
        <v>18976.347138664798</v>
      </c>
      <c r="AU11" s="78">
        <f t="shared" si="47"/>
        <v>1762.9456650561872</v>
      </c>
      <c r="AV11" s="79">
        <f t="shared" si="26"/>
        <v>9.3817437811838184E-2</v>
      </c>
      <c r="AW11" s="80">
        <f t="shared" si="27"/>
        <v>584.99149655406291</v>
      </c>
      <c r="AX11" s="81">
        <f t="shared" si="28"/>
        <v>1177.9541685021243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W3</v>
      </c>
      <c r="E12" s="132" t="str">
        <f>Pricing!N8</f>
        <v>6MM</v>
      </c>
      <c r="F12" s="68">
        <f>Pricing!G8</f>
        <v>1524</v>
      </c>
      <c r="G12" s="68">
        <f>Pricing!H8</f>
        <v>1372</v>
      </c>
      <c r="H12" s="100">
        <f t="shared" si="0"/>
        <v>2.0909279999999999</v>
      </c>
      <c r="I12" s="70">
        <f>Pricing!I8</f>
        <v>1</v>
      </c>
      <c r="J12" s="69">
        <f t="shared" si="30"/>
        <v>2.0909279999999999</v>
      </c>
      <c r="K12" s="71">
        <f t="shared" si="31"/>
        <v>22.506748991999999</v>
      </c>
      <c r="L12" s="69"/>
      <c r="M12" s="72"/>
      <c r="N12" s="72"/>
      <c r="O12" s="72">
        <f t="shared" si="3"/>
        <v>0</v>
      </c>
      <c r="P12" s="73">
        <f>Pricing!M8</f>
        <v>10466.299999999999</v>
      </c>
      <c r="Q12" s="74">
        <f t="shared" si="32"/>
        <v>1046.6299999999999</v>
      </c>
      <c r="R12" s="74">
        <f t="shared" si="33"/>
        <v>1266.4223</v>
      </c>
      <c r="S12" s="74">
        <f t="shared" si="34"/>
        <v>63.896761499999997</v>
      </c>
      <c r="T12" s="74">
        <f t="shared" si="35"/>
        <v>128.43249061499998</v>
      </c>
      <c r="U12" s="72">
        <f t="shared" si="36"/>
        <v>12971.681552114998</v>
      </c>
      <c r="V12" s="74">
        <f t="shared" si="37"/>
        <v>194.57522328172496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2095.109856</v>
      </c>
      <c r="AE12" s="76">
        <f t="shared" si="43"/>
        <v>474.75409836065569</v>
      </c>
      <c r="AF12" s="342">
        <f t="shared" si="44"/>
        <v>486.52799999999991</v>
      </c>
      <c r="AG12" s="343"/>
      <c r="AH12" s="76">
        <f t="shared" si="45"/>
        <v>17.375999999999998</v>
      </c>
      <c r="AI12" s="76">
        <f t="shared" si="15"/>
        <v>57.92</v>
      </c>
      <c r="AJ12" s="76">
        <f>J12*Pricing!Q8</f>
        <v>1125.3374495999999</v>
      </c>
      <c r="AK12" s="76">
        <f>J12*Pricing!R8</f>
        <v>0</v>
      </c>
      <c r="AL12" s="76">
        <f t="shared" si="16"/>
        <v>2250.6748991999998</v>
      </c>
      <c r="AM12" s="77">
        <f t="shared" si="17"/>
        <v>0</v>
      </c>
      <c r="AN12" s="76">
        <f t="shared" si="18"/>
        <v>2250.6748991999998</v>
      </c>
      <c r="AO12" s="72">
        <f t="shared" si="19"/>
        <v>14202.83487375738</v>
      </c>
      <c r="AP12" s="74">
        <f t="shared" si="20"/>
        <v>17753.543592196726</v>
      </c>
      <c r="AQ12" s="74">
        <f t="shared" si="46"/>
        <v>0</v>
      </c>
      <c r="AR12" s="74">
        <f t="shared" si="22"/>
        <v>15283.347138664796</v>
      </c>
      <c r="AS12" s="72">
        <f t="shared" si="23"/>
        <v>39678.175569954103</v>
      </c>
      <c r="AT12" s="72">
        <f t="shared" si="24"/>
        <v>18976.347138664794</v>
      </c>
      <c r="AU12" s="78">
        <f t="shared" si="47"/>
        <v>1762.945665056187</v>
      </c>
      <c r="AV12" s="79">
        <f t="shared" si="26"/>
        <v>3.1272479270612726E-2</v>
      </c>
      <c r="AW12" s="80">
        <f t="shared" si="27"/>
        <v>584.99149655406279</v>
      </c>
      <c r="AX12" s="81">
        <f t="shared" si="28"/>
        <v>1177.954168502124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W4</v>
      </c>
      <c r="E13" s="132" t="str">
        <f>Pricing!N9</f>
        <v>6MM</v>
      </c>
      <c r="F13" s="68">
        <f>Pricing!G9</f>
        <v>916</v>
      </c>
      <c r="G13" s="68">
        <f>Pricing!H9</f>
        <v>1372</v>
      </c>
      <c r="H13" s="100">
        <f t="shared" si="0"/>
        <v>1.2567520000000001</v>
      </c>
      <c r="I13" s="70">
        <f>Pricing!I9</f>
        <v>3</v>
      </c>
      <c r="J13" s="69">
        <f t="shared" si="30"/>
        <v>3.7702560000000003</v>
      </c>
      <c r="K13" s="71">
        <f t="shared" si="31"/>
        <v>40.583035584000001</v>
      </c>
      <c r="L13" s="69"/>
      <c r="M13" s="72"/>
      <c r="N13" s="72"/>
      <c r="O13" s="72">
        <f t="shared" si="3"/>
        <v>0</v>
      </c>
      <c r="P13" s="73">
        <f>Pricing!M9</f>
        <v>27190.799999999996</v>
      </c>
      <c r="Q13" s="74">
        <f t="shared" si="32"/>
        <v>2719.08</v>
      </c>
      <c r="R13" s="74">
        <f t="shared" si="33"/>
        <v>3290.0867999999996</v>
      </c>
      <c r="S13" s="74">
        <f t="shared" si="34"/>
        <v>165.99983399999996</v>
      </c>
      <c r="T13" s="74">
        <f t="shared" si="35"/>
        <v>333.65966634</v>
      </c>
      <c r="U13" s="72">
        <f t="shared" si="36"/>
        <v>33699.626300339994</v>
      </c>
      <c r="V13" s="74">
        <f t="shared" si="37"/>
        <v>505.49439450509988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3777.7965120000003</v>
      </c>
      <c r="AE13" s="76">
        <f t="shared" si="43"/>
        <v>1125.2459016393443</v>
      </c>
      <c r="AF13" s="342">
        <f t="shared" si="44"/>
        <v>1153.152</v>
      </c>
      <c r="AG13" s="343"/>
      <c r="AH13" s="76">
        <f t="shared" si="45"/>
        <v>41.183999999999997</v>
      </c>
      <c r="AI13" s="76">
        <f t="shared" si="15"/>
        <v>137.28</v>
      </c>
      <c r="AJ13" s="76">
        <f>J13*Pricing!Q9</f>
        <v>2029.1517792</v>
      </c>
      <c r="AK13" s="76">
        <f>J13*Pricing!R9</f>
        <v>0</v>
      </c>
      <c r="AL13" s="76">
        <f t="shared" si="16"/>
        <v>4058.3035583999999</v>
      </c>
      <c r="AM13" s="77">
        <f t="shared" si="17"/>
        <v>0</v>
      </c>
      <c r="AN13" s="76">
        <f t="shared" si="18"/>
        <v>4058.3035583999999</v>
      </c>
      <c r="AO13" s="72">
        <f t="shared" si="19"/>
        <v>36661.982596484435</v>
      </c>
      <c r="AP13" s="74">
        <f t="shared" si="20"/>
        <v>45827.47824560554</v>
      </c>
      <c r="AQ13" s="74">
        <f t="shared" si="46"/>
        <v>0</v>
      </c>
      <c r="AR13" s="74">
        <f t="shared" si="22"/>
        <v>21879.007908770644</v>
      </c>
      <c r="AS13" s="72">
        <f t="shared" si="23"/>
        <v>96413.016250089975</v>
      </c>
      <c r="AT13" s="72">
        <f t="shared" si="24"/>
        <v>25572.007908770644</v>
      </c>
      <c r="AU13" s="78">
        <f t="shared" si="47"/>
        <v>2375.6975017438353</v>
      </c>
      <c r="AV13" s="79">
        <f t="shared" si="26"/>
        <v>5.6388958684805632E-2</v>
      </c>
      <c r="AW13" s="80">
        <f t="shared" si="27"/>
        <v>842.84283328304241</v>
      </c>
      <c r="AX13" s="81">
        <f t="shared" si="28"/>
        <v>1532.8546684607929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V1</v>
      </c>
      <c r="E14" s="132" t="str">
        <f>Pricing!N10</f>
        <v>6MM (F)</v>
      </c>
      <c r="F14" s="68">
        <f>Pricing!G10</f>
        <v>610</v>
      </c>
      <c r="G14" s="68">
        <f>Pricing!H10</f>
        <v>916</v>
      </c>
      <c r="H14" s="100">
        <f t="shared" si="0"/>
        <v>0.55876000000000003</v>
      </c>
      <c r="I14" s="70">
        <f>Pricing!I10</f>
        <v>6</v>
      </c>
      <c r="J14" s="69">
        <f t="shared" si="30"/>
        <v>3.3525600000000004</v>
      </c>
      <c r="K14" s="71">
        <f t="shared" si="31"/>
        <v>36.086955840000002</v>
      </c>
      <c r="L14" s="69"/>
      <c r="M14" s="72"/>
      <c r="N14" s="72"/>
      <c r="O14" s="72">
        <f t="shared" si="3"/>
        <v>0</v>
      </c>
      <c r="P14" s="73">
        <f>Pricing!M10</f>
        <v>13286.64</v>
      </c>
      <c r="Q14" s="74">
        <f t="shared" si="32"/>
        <v>1328.664</v>
      </c>
      <c r="R14" s="74">
        <f t="shared" si="33"/>
        <v>1607.68344</v>
      </c>
      <c r="S14" s="74">
        <f t="shared" si="34"/>
        <v>81.1149372</v>
      </c>
      <c r="T14" s="74">
        <f t="shared" si="35"/>
        <v>163.04102377200002</v>
      </c>
      <c r="U14" s="72">
        <f t="shared" si="36"/>
        <v>16467.143400972</v>
      </c>
      <c r="V14" s="74">
        <f t="shared" si="37"/>
        <v>247.00715101457999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6715.1776800000007</v>
      </c>
      <c r="AE14" s="76">
        <f t="shared" si="43"/>
        <v>1500.983606557377</v>
      </c>
      <c r="AF14" s="342">
        <f t="shared" si="44"/>
        <v>1538.2080000000001</v>
      </c>
      <c r="AG14" s="343"/>
      <c r="AH14" s="76">
        <f t="shared" si="45"/>
        <v>54.936000000000007</v>
      </c>
      <c r="AI14" s="76">
        <f t="shared" si="15"/>
        <v>183.12</v>
      </c>
      <c r="AJ14" s="76">
        <f>J14*Pricing!Q10</f>
        <v>0</v>
      </c>
      <c r="AK14" s="76">
        <f>J14*Pricing!R10</f>
        <v>0</v>
      </c>
      <c r="AL14" s="76">
        <f t="shared" si="16"/>
        <v>3608.6955840000001</v>
      </c>
      <c r="AM14" s="77">
        <f t="shared" si="17"/>
        <v>0</v>
      </c>
      <c r="AN14" s="76">
        <f t="shared" si="18"/>
        <v>3608.6955840000001</v>
      </c>
      <c r="AO14" s="72">
        <f t="shared" si="19"/>
        <v>19991.398158543954</v>
      </c>
      <c r="AP14" s="74">
        <f t="shared" si="20"/>
        <v>24989.247698179941</v>
      </c>
      <c r="AQ14" s="74">
        <f t="shared" si="46"/>
        <v>0</v>
      </c>
      <c r="AR14" s="74">
        <f t="shared" si="22"/>
        <v>13416.805622188383</v>
      </c>
      <c r="AS14" s="72">
        <f t="shared" si="23"/>
        <v>58913.214704723898</v>
      </c>
      <c r="AT14" s="72">
        <f t="shared" si="24"/>
        <v>17572.605622188385</v>
      </c>
      <c r="AU14" s="78">
        <f t="shared" si="47"/>
        <v>1632.5348961527673</v>
      </c>
      <c r="AV14" s="79">
        <f t="shared" si="26"/>
        <v>5.0141785419433579E-2</v>
      </c>
      <c r="AW14" s="80">
        <f t="shared" si="27"/>
        <v>463.16321681697656</v>
      </c>
      <c r="AX14" s="81">
        <f t="shared" si="28"/>
        <v>1169.3716793357908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3 NO'S</v>
      </c>
      <c r="D15" s="131" t="str">
        <f>Pricing!B11</f>
        <v>FG1</v>
      </c>
      <c r="E15" s="132" t="str">
        <f>Pricing!N11</f>
        <v>6MM</v>
      </c>
      <c r="F15" s="68">
        <f>Pricing!G11</f>
        <v>3048</v>
      </c>
      <c r="G15" s="68">
        <f>Pricing!H11</f>
        <v>2058</v>
      </c>
      <c r="H15" s="100">
        <f t="shared" si="0"/>
        <v>6.2727839999999997</v>
      </c>
      <c r="I15" s="70">
        <f>Pricing!I11</f>
        <v>1</v>
      </c>
      <c r="J15" s="69">
        <f t="shared" si="30"/>
        <v>6.2727839999999997</v>
      </c>
      <c r="K15" s="71">
        <f t="shared" si="31"/>
        <v>67.520246975999996</v>
      </c>
      <c r="L15" s="69"/>
      <c r="M15" s="72"/>
      <c r="N15" s="72"/>
      <c r="O15" s="72">
        <f t="shared" si="3"/>
        <v>0</v>
      </c>
      <c r="P15" s="73">
        <f>Pricing!M11</f>
        <v>16704.579999999998</v>
      </c>
      <c r="Q15" s="74">
        <f t="shared" si="4"/>
        <v>1670.4579999999999</v>
      </c>
      <c r="R15" s="74">
        <f t="shared" si="5"/>
        <v>2021.2541799999997</v>
      </c>
      <c r="S15" s="74">
        <f t="shared" si="6"/>
        <v>101.98146089999999</v>
      </c>
      <c r="T15" s="74">
        <f t="shared" si="7"/>
        <v>204.98273640899995</v>
      </c>
      <c r="U15" s="72">
        <f t="shared" si="8"/>
        <v>20703.256377308997</v>
      </c>
      <c r="V15" s="74">
        <f t="shared" si="9"/>
        <v>310.54884565963494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6285.3295680000001</v>
      </c>
      <c r="AE15" s="76">
        <f t="shared" si="43"/>
        <v>837.04918032786895</v>
      </c>
      <c r="AF15" s="342">
        <f t="shared" si="44"/>
        <v>857.80800000000011</v>
      </c>
      <c r="AG15" s="343"/>
      <c r="AH15" s="76">
        <f t="shared" si="45"/>
        <v>30.635999999999999</v>
      </c>
      <c r="AI15" s="76">
        <f t="shared" ref="AI15:AI20" si="49">(((F15+G15)*2*I15)/1000)*2*$AI$7</f>
        <v>102.12</v>
      </c>
      <c r="AJ15" s="76">
        <f>J15*Pricing!Q11</f>
        <v>0</v>
      </c>
      <c r="AK15" s="76">
        <f>J15*Pricing!R11</f>
        <v>0</v>
      </c>
      <c r="AL15" s="76">
        <f t="shared" si="16"/>
        <v>6752.0246975999989</v>
      </c>
      <c r="AM15" s="77">
        <f t="shared" si="17"/>
        <v>0</v>
      </c>
      <c r="AN15" s="76">
        <f t="shared" si="18"/>
        <v>6752.0246975999989</v>
      </c>
      <c r="AO15" s="72">
        <f t="shared" si="19"/>
        <v>22841.418403296502</v>
      </c>
      <c r="AP15" s="74">
        <f t="shared" si="20"/>
        <v>28551.773004120627</v>
      </c>
      <c r="AQ15" s="74">
        <f t="shared" si="21"/>
        <v>0</v>
      </c>
      <c r="AR15" s="74">
        <f t="shared" si="22"/>
        <v>8193.0433771379867</v>
      </c>
      <c r="AS15" s="72">
        <f t="shared" si="23"/>
        <v>71182.570370617133</v>
      </c>
      <c r="AT15" s="72">
        <f t="shared" si="24"/>
        <v>11347.843377137988</v>
      </c>
      <c r="AU15" s="78">
        <f t="shared" si="25"/>
        <v>1054.2403732012253</v>
      </c>
      <c r="AV15" s="79">
        <f t="shared" si="26"/>
        <v>9.3817437811838184E-2</v>
      </c>
      <c r="AW15" s="80">
        <f t="shared" si="27"/>
        <v>311.22228019156933</v>
      </c>
      <c r="AX15" s="81">
        <f t="shared" si="28"/>
        <v>743.01809300965567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KW1</v>
      </c>
      <c r="E16" s="132" t="str">
        <f>Pricing!N12</f>
        <v>6MM</v>
      </c>
      <c r="F16" s="68">
        <f>Pricing!G12</f>
        <v>1220</v>
      </c>
      <c r="G16" s="68">
        <f>Pricing!H12</f>
        <v>916</v>
      </c>
      <c r="H16" s="100">
        <f t="shared" si="0"/>
        <v>1.1175200000000001</v>
      </c>
      <c r="I16" s="70">
        <f>Pricing!I12</f>
        <v>1</v>
      </c>
      <c r="J16" s="69">
        <f t="shared" si="30"/>
        <v>1.1175200000000001</v>
      </c>
      <c r="K16" s="71">
        <f t="shared" si="31"/>
        <v>12.028985280000001</v>
      </c>
      <c r="L16" s="69"/>
      <c r="M16" s="72"/>
      <c r="N16" s="72"/>
      <c r="O16" s="72">
        <f t="shared" si="3"/>
        <v>0</v>
      </c>
      <c r="P16" s="73">
        <f>Pricing!M12</f>
        <v>8099.1399999999994</v>
      </c>
      <c r="Q16" s="74">
        <f t="shared" si="4"/>
        <v>809.91399999999999</v>
      </c>
      <c r="R16" s="74">
        <f t="shared" si="5"/>
        <v>979.99594000000002</v>
      </c>
      <c r="S16" s="74">
        <f t="shared" si="6"/>
        <v>49.445249700000005</v>
      </c>
      <c r="T16" s="74">
        <f t="shared" si="7"/>
        <v>99.384951897000008</v>
      </c>
      <c r="U16" s="72">
        <f t="shared" si="8"/>
        <v>10037.880141597001</v>
      </c>
      <c r="V16" s="74">
        <f t="shared" si="9"/>
        <v>150.56820212395502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1119.75504</v>
      </c>
      <c r="AE16" s="76">
        <f t="shared" si="43"/>
        <v>350.1639344262295</v>
      </c>
      <c r="AF16" s="342">
        <f t="shared" si="44"/>
        <v>358.84800000000001</v>
      </c>
      <c r="AG16" s="343"/>
      <c r="AH16" s="76">
        <f t="shared" si="45"/>
        <v>12.816000000000001</v>
      </c>
      <c r="AI16" s="76">
        <f t="shared" si="49"/>
        <v>42.72</v>
      </c>
      <c r="AJ16" s="76">
        <f>J16*Pricing!Q12</f>
        <v>601.44926399999997</v>
      </c>
      <c r="AK16" s="76">
        <f>J16*Pricing!R12</f>
        <v>0</v>
      </c>
      <c r="AL16" s="76">
        <f t="shared" si="16"/>
        <v>1202.8985279999999</v>
      </c>
      <c r="AM16" s="77">
        <f t="shared" si="17"/>
        <v>0</v>
      </c>
      <c r="AN16" s="76">
        <f t="shared" si="18"/>
        <v>1202.8985279999999</v>
      </c>
      <c r="AO16" s="72">
        <f t="shared" si="19"/>
        <v>10952.996278147186</v>
      </c>
      <c r="AP16" s="74">
        <f t="shared" si="20"/>
        <v>13691.245347683982</v>
      </c>
      <c r="AQ16" s="74">
        <f t="shared" si="21"/>
        <v>0</v>
      </c>
      <c r="AR16" s="74">
        <f t="shared" si="22"/>
        <v>22052.617962838398</v>
      </c>
      <c r="AS16" s="72">
        <f t="shared" si="23"/>
        <v>28771.24298583117</v>
      </c>
      <c r="AT16" s="72">
        <f t="shared" si="24"/>
        <v>25745.617962838398</v>
      </c>
      <c r="AU16" s="78">
        <f t="shared" si="25"/>
        <v>2391.8262693086585</v>
      </c>
      <c r="AV16" s="79">
        <f t="shared" si="26"/>
        <v>1.6713928473144526E-2</v>
      </c>
      <c r="AW16" s="80">
        <f t="shared" si="27"/>
        <v>846.99150481635274</v>
      </c>
      <c r="AX16" s="81">
        <f t="shared" si="28"/>
        <v>1544.8347644923053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KW2</v>
      </c>
      <c r="E17" s="132" t="str">
        <f>Pricing!N13</f>
        <v>6MM</v>
      </c>
      <c r="F17" s="68">
        <f>Pricing!G13</f>
        <v>1830</v>
      </c>
      <c r="G17" s="68">
        <f>Pricing!H13</f>
        <v>610</v>
      </c>
      <c r="H17" s="100">
        <f t="shared" si="0"/>
        <v>1.1163000000000001</v>
      </c>
      <c r="I17" s="70">
        <f>Pricing!I13</f>
        <v>1</v>
      </c>
      <c r="J17" s="69">
        <f t="shared" si="30"/>
        <v>1.1163000000000001</v>
      </c>
      <c r="K17" s="71">
        <f t="shared" si="31"/>
        <v>12.0158532</v>
      </c>
      <c r="L17" s="69"/>
      <c r="M17" s="72"/>
      <c r="N17" s="72"/>
      <c r="O17" s="72">
        <f t="shared" si="3"/>
        <v>0</v>
      </c>
      <c r="P17" s="73">
        <f>Pricing!M13</f>
        <v>3491.81</v>
      </c>
      <c r="Q17" s="74">
        <f t="shared" si="4"/>
        <v>349.18100000000004</v>
      </c>
      <c r="R17" s="74">
        <f t="shared" si="5"/>
        <v>422.50900999999999</v>
      </c>
      <c r="S17" s="74">
        <f t="shared" si="6"/>
        <v>21.31750005</v>
      </c>
      <c r="T17" s="74">
        <f t="shared" si="7"/>
        <v>42.848175100499994</v>
      </c>
      <c r="U17" s="72">
        <f t="shared" si="8"/>
        <v>4327.6656851504995</v>
      </c>
      <c r="V17" s="74">
        <f t="shared" si="9"/>
        <v>64.914985277257486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1118.5326</v>
      </c>
      <c r="AE17" s="76">
        <f t="shared" si="43"/>
        <v>400</v>
      </c>
      <c r="AF17" s="342">
        <f t="shared" si="44"/>
        <v>409.92</v>
      </c>
      <c r="AG17" s="343"/>
      <c r="AH17" s="76">
        <f t="shared" si="45"/>
        <v>14.64</v>
      </c>
      <c r="AI17" s="76">
        <f t="shared" si="49"/>
        <v>48.8</v>
      </c>
      <c r="AJ17" s="76">
        <f>J17*Pricing!Q13</f>
        <v>0</v>
      </c>
      <c r="AK17" s="76">
        <f>J17*Pricing!R13</f>
        <v>0</v>
      </c>
      <c r="AL17" s="76">
        <f t="shared" si="16"/>
        <v>1201.5853199999999</v>
      </c>
      <c r="AM17" s="77">
        <f t="shared" si="17"/>
        <v>0</v>
      </c>
      <c r="AN17" s="76">
        <f t="shared" si="18"/>
        <v>1201.5853199999999</v>
      </c>
      <c r="AO17" s="72">
        <f t="shared" si="19"/>
        <v>5265.9406704277571</v>
      </c>
      <c r="AP17" s="74">
        <f t="shared" si="20"/>
        <v>6582.4258380346964</v>
      </c>
      <c r="AQ17" s="74">
        <f t="shared" si="21"/>
        <v>0</v>
      </c>
      <c r="AR17" s="74">
        <f t="shared" si="22"/>
        <v>10613.962652031221</v>
      </c>
      <c r="AS17" s="72">
        <f t="shared" si="23"/>
        <v>15370.069748462454</v>
      </c>
      <c r="AT17" s="72">
        <f t="shared" si="24"/>
        <v>13768.762652031222</v>
      </c>
      <c r="AU17" s="78">
        <f t="shared" si="25"/>
        <v>1279.1492616156841</v>
      </c>
      <c r="AV17" s="79">
        <f t="shared" si="26"/>
        <v>1.6695681826339785E-2</v>
      </c>
      <c r="AW17" s="80">
        <f t="shared" si="27"/>
        <v>365.5654406986061</v>
      </c>
      <c r="AX17" s="81">
        <f t="shared" si="28"/>
        <v>913.5838209170779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KW3</v>
      </c>
      <c r="E18" s="132" t="str">
        <f>Pricing!N14</f>
        <v>6MM</v>
      </c>
      <c r="F18" s="68">
        <f>Pricing!G14</f>
        <v>610</v>
      </c>
      <c r="G18" s="68">
        <f>Pricing!H14</f>
        <v>916</v>
      </c>
      <c r="H18" s="100">
        <f t="shared" si="0"/>
        <v>0.55876000000000003</v>
      </c>
      <c r="I18" s="70">
        <f>Pricing!I14</f>
        <v>1</v>
      </c>
      <c r="J18" s="69">
        <f t="shared" si="30"/>
        <v>0.55876000000000003</v>
      </c>
      <c r="K18" s="71">
        <f t="shared" si="31"/>
        <v>6.0144926400000003</v>
      </c>
      <c r="L18" s="69"/>
      <c r="M18" s="72"/>
      <c r="N18" s="72"/>
      <c r="O18" s="72">
        <f t="shared" si="3"/>
        <v>0</v>
      </c>
      <c r="P18" s="73">
        <f>Pricing!M14</f>
        <v>2214.44</v>
      </c>
      <c r="Q18" s="74">
        <f t="shared" si="4"/>
        <v>221.44400000000002</v>
      </c>
      <c r="R18" s="74">
        <f t="shared" si="5"/>
        <v>267.94724000000002</v>
      </c>
      <c r="S18" s="74">
        <f t="shared" si="6"/>
        <v>13.519156199999999</v>
      </c>
      <c r="T18" s="74">
        <f t="shared" si="7"/>
        <v>27.173503962000002</v>
      </c>
      <c r="U18" s="72">
        <f t="shared" si="8"/>
        <v>2744.5239001619998</v>
      </c>
      <c r="V18" s="74">
        <f t="shared" si="9"/>
        <v>41.167858502429993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559.87752</v>
      </c>
      <c r="AE18" s="76">
        <f t="shared" si="43"/>
        <v>250.1639344262295</v>
      </c>
      <c r="AF18" s="342">
        <f t="shared" si="44"/>
        <v>256.36800000000005</v>
      </c>
      <c r="AG18" s="343"/>
      <c r="AH18" s="76">
        <f t="shared" si="45"/>
        <v>9.1560000000000006</v>
      </c>
      <c r="AI18" s="76">
        <f t="shared" si="49"/>
        <v>30.52</v>
      </c>
      <c r="AJ18" s="76">
        <f>J18*Pricing!Q14</f>
        <v>0</v>
      </c>
      <c r="AK18" s="76">
        <f>J18*Pricing!R14</f>
        <v>0</v>
      </c>
      <c r="AL18" s="76">
        <f t="shared" si="16"/>
        <v>601.44926399999997</v>
      </c>
      <c r="AM18" s="77">
        <f t="shared" si="17"/>
        <v>0</v>
      </c>
      <c r="AN18" s="76">
        <f t="shared" si="18"/>
        <v>601.44926399999997</v>
      </c>
      <c r="AO18" s="72">
        <f t="shared" si="19"/>
        <v>3331.8996930906596</v>
      </c>
      <c r="AP18" s="74">
        <f t="shared" si="20"/>
        <v>4164.8746163633241</v>
      </c>
      <c r="AQ18" s="74">
        <f t="shared" si="21"/>
        <v>0</v>
      </c>
      <c r="AR18" s="74">
        <f t="shared" si="22"/>
        <v>13416.805622188387</v>
      </c>
      <c r="AS18" s="72">
        <f t="shared" si="23"/>
        <v>9259.5503574539835</v>
      </c>
      <c r="AT18" s="72">
        <f t="shared" si="24"/>
        <v>16571.605622188388</v>
      </c>
      <c r="AU18" s="78">
        <f t="shared" si="25"/>
        <v>1539.5397270706419</v>
      </c>
      <c r="AV18" s="79">
        <f t="shared" si="26"/>
        <v>8.3569642365722632E-3</v>
      </c>
      <c r="AW18" s="80">
        <f t="shared" si="27"/>
        <v>463.16321681697656</v>
      </c>
      <c r="AX18" s="81">
        <f t="shared" si="28"/>
        <v>1076.3765102536649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SLD1</v>
      </c>
      <c r="E19" s="132" t="str">
        <f>Pricing!N15</f>
        <v>24MM</v>
      </c>
      <c r="F19" s="68">
        <f>Pricing!G15</f>
        <v>3556</v>
      </c>
      <c r="G19" s="68">
        <f>Pricing!H15</f>
        <v>2134</v>
      </c>
      <c r="H19" s="100">
        <f t="shared" si="0"/>
        <v>7.5885040000000004</v>
      </c>
      <c r="I19" s="70">
        <f>Pricing!I15</f>
        <v>1</v>
      </c>
      <c r="J19" s="69">
        <f t="shared" si="30"/>
        <v>7.5885040000000004</v>
      </c>
      <c r="K19" s="71">
        <f t="shared" si="31"/>
        <v>81.682657055999996</v>
      </c>
      <c r="L19" s="69"/>
      <c r="M19" s="72"/>
      <c r="N19" s="72"/>
      <c r="O19" s="72">
        <f t="shared" si="3"/>
        <v>0</v>
      </c>
      <c r="P19" s="73">
        <f>Pricing!M15</f>
        <v>41358.9</v>
      </c>
      <c r="Q19" s="74">
        <f t="shared" si="4"/>
        <v>4135.8900000000003</v>
      </c>
      <c r="R19" s="74">
        <f t="shared" si="5"/>
        <v>5004.4269000000004</v>
      </c>
      <c r="S19" s="74">
        <f t="shared" si="6"/>
        <v>252.49608449999999</v>
      </c>
      <c r="T19" s="74">
        <f t="shared" si="7"/>
        <v>507.51712984500006</v>
      </c>
      <c r="U19" s="72">
        <f t="shared" si="8"/>
        <v>51259.230114345002</v>
      </c>
      <c r="V19" s="74">
        <f t="shared" si="9"/>
        <v>768.88845171517505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22295.024752000001</v>
      </c>
      <c r="AE19" s="76">
        <f t="shared" si="43"/>
        <v>932.78688524590154</v>
      </c>
      <c r="AF19" s="342">
        <f t="shared" si="44"/>
        <v>955.92</v>
      </c>
      <c r="AG19" s="343"/>
      <c r="AH19" s="76">
        <f t="shared" si="45"/>
        <v>34.14</v>
      </c>
      <c r="AI19" s="76">
        <f t="shared" si="49"/>
        <v>113.80000000000001</v>
      </c>
      <c r="AJ19" s="76">
        <f>J19*Pricing!Q15</f>
        <v>4084.1328527999995</v>
      </c>
      <c r="AK19" s="76">
        <f>J19*Pricing!R15</f>
        <v>0</v>
      </c>
      <c r="AL19" s="76">
        <f t="shared" si="16"/>
        <v>8168.2657055999989</v>
      </c>
      <c r="AM19" s="77">
        <f t="shared" si="17"/>
        <v>0</v>
      </c>
      <c r="AN19" s="76">
        <f t="shared" si="18"/>
        <v>8168.2657055999989</v>
      </c>
      <c r="AO19" s="72">
        <f t="shared" si="19"/>
        <v>54064.765451306084</v>
      </c>
      <c r="AP19" s="74">
        <f t="shared" si="20"/>
        <v>67580.956814132602</v>
      </c>
      <c r="AQ19" s="74">
        <f t="shared" si="21"/>
        <v>0</v>
      </c>
      <c r="AR19" s="74">
        <f t="shared" si="22"/>
        <v>16030.263971059207</v>
      </c>
      <c r="AS19" s="72">
        <f t="shared" si="23"/>
        <v>164361.41128143869</v>
      </c>
      <c r="AT19" s="72">
        <f t="shared" si="24"/>
        <v>21659.263971059208</v>
      </c>
      <c r="AU19" s="78">
        <f t="shared" si="25"/>
        <v>2012.1947204625799</v>
      </c>
      <c r="AV19" s="79">
        <f t="shared" si="26"/>
        <v>0.1134956985773598</v>
      </c>
      <c r="AW19" s="80">
        <f t="shared" si="27"/>
        <v>636.9542867635995</v>
      </c>
      <c r="AX19" s="81">
        <f t="shared" si="28"/>
        <v>1375.2404336989803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DOOR</v>
      </c>
      <c r="D20" s="131" t="str">
        <f>Pricing!B16</f>
        <v>SLD2</v>
      </c>
      <c r="E20" s="132" t="str">
        <f>Pricing!N16</f>
        <v>24MM</v>
      </c>
      <c r="F20" s="68">
        <f>Pricing!G16</f>
        <v>3354</v>
      </c>
      <c r="G20" s="68">
        <f>Pricing!H16</f>
        <v>2134</v>
      </c>
      <c r="H20" s="100">
        <f t="shared" si="0"/>
        <v>7.1574359999999997</v>
      </c>
      <c r="I20" s="70">
        <f>Pricing!I16</f>
        <v>2</v>
      </c>
      <c r="J20" s="69">
        <f t="shared" si="30"/>
        <v>14.314871999999999</v>
      </c>
      <c r="K20" s="71">
        <f t="shared" si="31"/>
        <v>154.085282208</v>
      </c>
      <c r="L20" s="69"/>
      <c r="M20" s="72"/>
      <c r="N20" s="72"/>
      <c r="O20" s="72">
        <f t="shared" si="3"/>
        <v>0</v>
      </c>
      <c r="P20" s="73">
        <f>Pricing!M16</f>
        <v>80795.520000000004</v>
      </c>
      <c r="Q20" s="74">
        <f t="shared" si="4"/>
        <v>8079.5520000000006</v>
      </c>
      <c r="R20" s="74">
        <f t="shared" si="5"/>
        <v>9776.25792</v>
      </c>
      <c r="S20" s="74">
        <f t="shared" si="6"/>
        <v>493.2566496</v>
      </c>
      <c r="T20" s="74">
        <f t="shared" si="7"/>
        <v>991.44586569600017</v>
      </c>
      <c r="U20" s="72">
        <f t="shared" si="8"/>
        <v>100136.03243529602</v>
      </c>
      <c r="V20" s="74">
        <f t="shared" si="9"/>
        <v>1502.0404865294402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42057.093935999997</v>
      </c>
      <c r="AE20" s="76">
        <f t="shared" si="43"/>
        <v>1799.344262295082</v>
      </c>
      <c r="AF20" s="342">
        <f t="shared" si="44"/>
        <v>1843.9680000000003</v>
      </c>
      <c r="AG20" s="343"/>
      <c r="AH20" s="76">
        <f t="shared" si="45"/>
        <v>65.856000000000009</v>
      </c>
      <c r="AI20" s="76">
        <f t="shared" si="49"/>
        <v>219.52</v>
      </c>
      <c r="AJ20" s="76">
        <f>J20*Pricing!Q16</f>
        <v>7704.2641103999986</v>
      </c>
      <c r="AK20" s="76">
        <f>J20*Pricing!R16</f>
        <v>0</v>
      </c>
      <c r="AL20" s="76">
        <f t="shared" si="16"/>
        <v>15408.528220799997</v>
      </c>
      <c r="AM20" s="77">
        <f t="shared" si="17"/>
        <v>0</v>
      </c>
      <c r="AN20" s="76">
        <f t="shared" si="18"/>
        <v>15408.528220799997</v>
      </c>
      <c r="AO20" s="72">
        <f t="shared" si="19"/>
        <v>105566.76118412055</v>
      </c>
      <c r="AP20" s="74">
        <f t="shared" si="20"/>
        <v>131958.45148015069</v>
      </c>
      <c r="AQ20" s="74">
        <f t="shared" si="21"/>
        <v>0</v>
      </c>
      <c r="AR20" s="74">
        <f t="shared" si="22"/>
        <v>16592.898117724788</v>
      </c>
      <c r="AS20" s="72">
        <f t="shared" si="23"/>
        <v>318103.62715227122</v>
      </c>
      <c r="AT20" s="72">
        <f t="shared" si="24"/>
        <v>22221.898117724784</v>
      </c>
      <c r="AU20" s="78">
        <f t="shared" si="25"/>
        <v>2064.4647080755094</v>
      </c>
      <c r="AV20" s="79">
        <f t="shared" si="26"/>
        <v>0.21409706019598693</v>
      </c>
      <c r="AW20" s="80">
        <f t="shared" si="27"/>
        <v>659.62220054621469</v>
      </c>
      <c r="AX20" s="81">
        <f t="shared" si="28"/>
        <v>1404.8425075292948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DOOR</v>
      </c>
      <c r="D21" s="131" t="str">
        <f>Pricing!B17</f>
        <v>SLD3</v>
      </c>
      <c r="E21" s="132" t="str">
        <f>Pricing!N17</f>
        <v>24MM</v>
      </c>
      <c r="F21" s="68">
        <f>Pricing!G17</f>
        <v>2134</v>
      </c>
      <c r="G21" s="68">
        <f>Pricing!H17</f>
        <v>2134</v>
      </c>
      <c r="H21" s="100">
        <f t="shared" si="0"/>
        <v>4.5539560000000003</v>
      </c>
      <c r="I21" s="70">
        <f>Pricing!I17</f>
        <v>2</v>
      </c>
      <c r="J21" s="69">
        <f t="shared" si="30"/>
        <v>9.1079120000000007</v>
      </c>
      <c r="K21" s="71">
        <f t="shared" si="31"/>
        <v>98.037564767999996</v>
      </c>
      <c r="L21" s="69"/>
      <c r="M21" s="72"/>
      <c r="N21" s="72"/>
      <c r="O21" s="72">
        <f t="shared" si="3"/>
        <v>0</v>
      </c>
      <c r="P21" s="73">
        <f>Pricing!M17</f>
        <v>69178.84</v>
      </c>
      <c r="Q21" s="74">
        <f t="shared" ref="Q21:Q26" si="50">P21*$Q$6</f>
        <v>6917.884</v>
      </c>
      <c r="R21" s="74">
        <f t="shared" ref="R21:R26" si="51">(P21+Q21)*$R$6</f>
        <v>8370.6396399999994</v>
      </c>
      <c r="S21" s="74">
        <f t="shared" ref="S21:S26" si="52">(P21+Q21+R21)*$S$6</f>
        <v>422.33681819999998</v>
      </c>
      <c r="T21" s="74">
        <f t="shared" ref="T21:T26" si="53">(P21+Q21+R21+S21)*$T$6</f>
        <v>848.89700458199991</v>
      </c>
      <c r="U21" s="72">
        <f t="shared" ref="U21:U26" si="54">SUM(P21:T21)</f>
        <v>85738.597462781996</v>
      </c>
      <c r="V21" s="74">
        <f t="shared" ref="V21:V26" si="55">U21*$V$6</f>
        <v>1286.0789619417299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26759.045456000003</v>
      </c>
      <c r="AE21" s="76">
        <f t="shared" si="43"/>
        <v>1399.344262295082</v>
      </c>
      <c r="AF21" s="342">
        <f t="shared" si="44"/>
        <v>1434.0479999999995</v>
      </c>
      <c r="AG21" s="343"/>
      <c r="AH21" s="76">
        <f t="shared" si="45"/>
        <v>51.215999999999994</v>
      </c>
      <c r="AI21" s="76">
        <f t="shared" si="15"/>
        <v>170.72</v>
      </c>
      <c r="AJ21" s="76">
        <f>J21*Pricing!Q17</f>
        <v>4901.8782383999996</v>
      </c>
      <c r="AK21" s="76">
        <f>J21*Pricing!R17</f>
        <v>0</v>
      </c>
      <c r="AL21" s="76">
        <f t="shared" si="16"/>
        <v>9803.7564767999993</v>
      </c>
      <c r="AM21" s="77">
        <f t="shared" si="17"/>
        <v>0</v>
      </c>
      <c r="AN21" s="76">
        <f t="shared" si="18"/>
        <v>9803.7564767999993</v>
      </c>
      <c r="AO21" s="72">
        <f t="shared" si="19"/>
        <v>90080.004687018809</v>
      </c>
      <c r="AP21" s="74">
        <f t="shared" si="20"/>
        <v>112600.00585877351</v>
      </c>
      <c r="AQ21" s="74">
        <f t="shared" ref="AQ21:AQ26" si="61">(AO21+AP21)*$AQ$6</f>
        <v>0</v>
      </c>
      <c r="AR21" s="74">
        <f t="shared" si="22"/>
        <v>22253.180591313609</v>
      </c>
      <c r="AS21" s="72">
        <f t="shared" si="23"/>
        <v>253948.44719379229</v>
      </c>
      <c r="AT21" s="72">
        <f t="shared" si="24"/>
        <v>27882.180591313605</v>
      </c>
      <c r="AU21" s="78">
        <f t="shared" ref="AU21:AU26" si="62">AT21/10.764</f>
        <v>2590.317780686883</v>
      </c>
      <c r="AV21" s="79">
        <f t="shared" si="26"/>
        <v>0.13622037163334411</v>
      </c>
      <c r="AW21" s="80">
        <f t="shared" si="27"/>
        <v>887.66664727609657</v>
      </c>
      <c r="AX21" s="81">
        <f t="shared" si="28"/>
        <v>1702.6511334107865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43.150287999999996</v>
      </c>
      <c r="I109" s="87">
        <f>SUM(I8:I108)</f>
        <v>26</v>
      </c>
      <c r="J109" s="88">
        <f>SUM(J8:J108)</f>
        <v>66.86160000000001</v>
      </c>
      <c r="K109" s="89">
        <f>SUM(K8:K108)</f>
        <v>719.69826239999998</v>
      </c>
      <c r="L109" s="88">
        <f>SUM(L8:L8)</f>
        <v>0</v>
      </c>
      <c r="M109" s="88"/>
      <c r="N109" s="88"/>
      <c r="O109" s="88"/>
      <c r="P109" s="87">
        <f>SUM(P8:P108)</f>
        <v>356446.81999999995</v>
      </c>
      <c r="Q109" s="88">
        <f t="shared" ref="Q109:AE109" si="156">SUM(Q8:Q108)</f>
        <v>35644.682000000001</v>
      </c>
      <c r="R109" s="88">
        <f t="shared" si="156"/>
        <v>43130.065220000011</v>
      </c>
      <c r="S109" s="88">
        <f t="shared" si="156"/>
        <v>2176.1078361</v>
      </c>
      <c r="T109" s="88">
        <f t="shared" si="156"/>
        <v>4373.9767505609998</v>
      </c>
      <c r="U109" s="88">
        <f t="shared" si="156"/>
        <v>441771.65180666099</v>
      </c>
      <c r="V109" s="88">
        <f t="shared" si="156"/>
        <v>6626.5747770999151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134915.989608</v>
      </c>
      <c r="AE109" s="88">
        <f t="shared" si="156"/>
        <v>12706.229508196722</v>
      </c>
      <c r="AF109" s="353">
        <f>SUM(AF8:AG108)</f>
        <v>13021.343999999999</v>
      </c>
      <c r="AG109" s="354"/>
      <c r="AH109" s="88">
        <f t="shared" ref="AH109:AQ109" si="157">SUM(AH8:AH108)</f>
        <v>465.04799999999994</v>
      </c>
      <c r="AI109" s="88">
        <f t="shared" si="157"/>
        <v>1550.16</v>
      </c>
      <c r="AJ109" s="88">
        <f t="shared" ref="AJ109" si="158">SUM(AJ8:AJ108)</f>
        <v>29903.035687199997</v>
      </c>
      <c r="AK109" s="88">
        <f t="shared" si="157"/>
        <v>0</v>
      </c>
      <c r="AL109" s="88">
        <f t="shared" si="157"/>
        <v>71969.826239999995</v>
      </c>
      <c r="AM109" s="88">
        <f t="shared" si="157"/>
        <v>0</v>
      </c>
      <c r="AN109" s="88">
        <f t="shared" si="157"/>
        <v>71969.826239999995</v>
      </c>
      <c r="AO109" s="88">
        <f t="shared" si="157"/>
        <v>476141.00809195766</v>
      </c>
      <c r="AP109" s="88">
        <f t="shared" si="157"/>
        <v>595176.26011494698</v>
      </c>
      <c r="AQ109" s="88">
        <f t="shared" si="157"/>
        <v>0</v>
      </c>
      <c r="AR109" s="88"/>
      <c r="AS109" s="87">
        <f>SUM(AS8:AS108)</f>
        <v>1380075.9459821049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13021.343999999999</v>
      </c>
      <c r="AW110" s="84"/>
    </row>
    <row r="111" spans="2:54">
      <c r="AF111" s="174"/>
      <c r="AG111" s="174"/>
      <c r="AH111" s="174">
        <f>SUM(AE109:AI109,AC109)</f>
        <v>27742.78150819672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6"/>
  <sheetViews>
    <sheetView tabSelected="1" view="pageBreakPreview" topLeftCell="A19" zoomScale="55" zoomScaleNormal="60" zoomScaleSheetLayoutView="55" workbookViewId="0">
      <selection activeCell="O22" sqref="O2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5"/>
      <c r="C6" s="466"/>
      <c r="D6" s="466"/>
      <c r="E6" s="466"/>
      <c r="F6" s="466"/>
      <c r="G6" s="466"/>
      <c r="H6" s="466"/>
      <c r="I6" s="466"/>
      <c r="J6" s="467"/>
      <c r="K6" s="472" t="s">
        <v>103</v>
      </c>
      <c r="L6" s="473"/>
      <c r="M6" s="468" t="str">
        <f>'BD Team'!J2</f>
        <v>ABPL-DE-19.20-2204</v>
      </c>
      <c r="N6" s="469"/>
    </row>
    <row r="7" spans="2:15" ht="24.95" customHeight="1">
      <c r="B7" s="488" t="s">
        <v>126</v>
      </c>
      <c r="C7" s="489"/>
      <c r="D7" s="489"/>
      <c r="E7" s="489"/>
      <c r="F7" s="428" t="str">
        <f>'BD Team'!E2</f>
        <v>Mr. P. Sathish Indu</v>
      </c>
      <c r="G7" s="428"/>
      <c r="H7" s="428"/>
      <c r="I7" s="428"/>
      <c r="J7" s="429"/>
      <c r="K7" s="496" t="s">
        <v>104</v>
      </c>
      <c r="L7" s="489"/>
      <c r="M7" s="494">
        <f>'BD Team'!J3</f>
        <v>43732</v>
      </c>
      <c r="N7" s="495"/>
    </row>
    <row r="8" spans="2:15" ht="24.95" customHeight="1">
      <c r="B8" s="488" t="s">
        <v>127</v>
      </c>
      <c r="C8" s="489"/>
      <c r="D8" s="489"/>
      <c r="E8" s="489"/>
      <c r="F8" s="215" t="str">
        <f>'BD Team'!E3</f>
        <v>Hyderabad</v>
      </c>
      <c r="G8" s="480" t="s">
        <v>179</v>
      </c>
      <c r="H8" s="481"/>
      <c r="I8" s="428" t="str">
        <f>'BD Team'!G3</f>
        <v>1.2Kpa</v>
      </c>
      <c r="J8" s="429"/>
      <c r="K8" s="496" t="s">
        <v>105</v>
      </c>
      <c r="L8" s="489"/>
      <c r="M8" s="178" t="s">
        <v>469</v>
      </c>
      <c r="N8" s="179">
        <v>43735</v>
      </c>
    </row>
    <row r="9" spans="2:15" ht="24.95" customHeight="1">
      <c r="B9" s="488" t="s">
        <v>168</v>
      </c>
      <c r="C9" s="489"/>
      <c r="D9" s="489"/>
      <c r="E9" s="489"/>
      <c r="F9" s="428" t="str">
        <f>'BD Team'!E4</f>
        <v>Ms. Prathyusha : 8008103067</v>
      </c>
      <c r="G9" s="428"/>
      <c r="H9" s="428"/>
      <c r="I9" s="428"/>
      <c r="J9" s="429"/>
      <c r="K9" s="496" t="s">
        <v>178</v>
      </c>
      <c r="L9" s="489"/>
      <c r="M9" s="470" t="str">
        <f>'BD Team'!J4</f>
        <v>Bal Kumari</v>
      </c>
      <c r="N9" s="471"/>
    </row>
    <row r="10" spans="2:15" ht="27.75" customHeight="1" thickBot="1">
      <c r="B10" s="490" t="s">
        <v>176</v>
      </c>
      <c r="C10" s="491"/>
      <c r="D10" s="491"/>
      <c r="E10" s="491"/>
      <c r="F10" s="217" t="str">
        <f>'BD Team'!E5</f>
        <v>Powder coating</v>
      </c>
      <c r="G10" s="501" t="s">
        <v>177</v>
      </c>
      <c r="H10" s="502"/>
      <c r="I10" s="499" t="str">
        <f>'BD Team'!G5</f>
        <v>Black</v>
      </c>
      <c r="J10" s="500"/>
      <c r="K10" s="497" t="s">
        <v>372</v>
      </c>
      <c r="L10" s="498"/>
      <c r="M10" s="492">
        <f>'BD Team'!J5</f>
        <v>0</v>
      </c>
      <c r="N10" s="493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2" t="s">
        <v>169</v>
      </c>
      <c r="C13" s="483"/>
      <c r="D13" s="486" t="s">
        <v>170</v>
      </c>
      <c r="E13" s="486" t="s">
        <v>171</v>
      </c>
      <c r="F13" s="486" t="s">
        <v>37</v>
      </c>
      <c r="G13" s="484" t="s">
        <v>63</v>
      </c>
      <c r="H13" s="484" t="s">
        <v>209</v>
      </c>
      <c r="I13" s="484" t="s">
        <v>208</v>
      </c>
      <c r="J13" s="485" t="s">
        <v>172</v>
      </c>
      <c r="K13" s="485" t="s">
        <v>173</v>
      </c>
      <c r="L13" s="483" t="s">
        <v>210</v>
      </c>
      <c r="M13" s="485" t="s">
        <v>174</v>
      </c>
      <c r="N13" s="487" t="s">
        <v>175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</v>
      </c>
      <c r="E16" s="187" t="str">
        <f>Pricing!C4</f>
        <v>M900 &amp; M940</v>
      </c>
      <c r="F16" s="187" t="str">
        <f>Pricing!D4</f>
        <v>3 TRACK 2 SHUTTER SLIDING WINDOW WITH BOTTOM FIXED</v>
      </c>
      <c r="G16" s="187" t="str">
        <f>Pricing!N4</f>
        <v>6MM</v>
      </c>
      <c r="H16" s="187" t="str">
        <f>Pricing!F4</f>
        <v>GF - ENTRANCE FOYER</v>
      </c>
      <c r="I16" s="216" t="str">
        <f>Pricing!E4</f>
        <v>SS</v>
      </c>
      <c r="J16" s="216">
        <f>Pricing!G4</f>
        <v>1830</v>
      </c>
      <c r="K16" s="216">
        <f>Pricing!H4</f>
        <v>2058</v>
      </c>
      <c r="L16" s="216">
        <f>Pricing!I4</f>
        <v>1</v>
      </c>
      <c r="M16" s="188">
        <f t="shared" ref="M16:M24" si="0">J16*K16*L16/1000000</f>
        <v>3.76614</v>
      </c>
      <c r="N16" s="189">
        <f>'Cost Calculation'!AS8</f>
        <v>60568.870418759099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W1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6MM</v>
      </c>
      <c r="H17" s="187" t="str">
        <f>Pricing!F5</f>
        <v>GF - MB/R1 &amp; FF - KB/R</v>
      </c>
      <c r="I17" s="216" t="str">
        <f>Pricing!E5</f>
        <v>SS</v>
      </c>
      <c r="J17" s="216">
        <f>Pricing!G5</f>
        <v>1830</v>
      </c>
      <c r="K17" s="216">
        <f>Pricing!H5</f>
        <v>1372</v>
      </c>
      <c r="L17" s="216">
        <f>Pricing!I5</f>
        <v>2</v>
      </c>
      <c r="M17" s="188">
        <f t="shared" si="0"/>
        <v>5.0215199999999998</v>
      </c>
      <c r="N17" s="189">
        <f>'Cost Calculation'!AS9</f>
        <v>85388.630398010937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W1A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20MM</v>
      </c>
      <c r="H18" s="187" t="str">
        <f>Pricing!F6</f>
        <v>1F - HOME THEATER</v>
      </c>
      <c r="I18" s="216" t="str">
        <f>Pricing!E6</f>
        <v>SS</v>
      </c>
      <c r="J18" s="216">
        <f>Pricing!G6</f>
        <v>1830</v>
      </c>
      <c r="K18" s="216">
        <f>Pricing!H6</f>
        <v>1372</v>
      </c>
      <c r="L18" s="216">
        <f>Pricing!I6</f>
        <v>1</v>
      </c>
      <c r="M18" s="188">
        <f t="shared" si="0"/>
        <v>2.5107599999999999</v>
      </c>
      <c r="N18" s="189">
        <f>'Cost Calculation'!AS10</f>
        <v>59082.592840837409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W2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2F - MBR &amp; 1SF</v>
      </c>
      <c r="I19" s="216" t="str">
        <f>Pricing!E7</f>
        <v>SS</v>
      </c>
      <c r="J19" s="216">
        <f>Pricing!G7</f>
        <v>1524</v>
      </c>
      <c r="K19" s="216">
        <f>Pricing!H7</f>
        <v>1372</v>
      </c>
      <c r="L19" s="216">
        <f>Pricing!I7</f>
        <v>3</v>
      </c>
      <c r="M19" s="188">
        <f t="shared" si="0"/>
        <v>6.2727839999999997</v>
      </c>
      <c r="N19" s="189">
        <f>'Cost Calculation'!AS11</f>
        <v>119034.52670986233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W3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1F - BR</v>
      </c>
      <c r="I20" s="216" t="str">
        <f>Pricing!E8</f>
        <v>SS</v>
      </c>
      <c r="J20" s="216">
        <f>Pricing!G8</f>
        <v>1524</v>
      </c>
      <c r="K20" s="216">
        <f>Pricing!H8</f>
        <v>1372</v>
      </c>
      <c r="L20" s="216">
        <f>Pricing!I8</f>
        <v>1</v>
      </c>
      <c r="M20" s="188">
        <f t="shared" si="0"/>
        <v>2.0909279999999999</v>
      </c>
      <c r="N20" s="189">
        <f>'Cost Calculation'!AS12</f>
        <v>39678.175569954103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W4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6MM</v>
      </c>
      <c r="H21" s="187" t="str">
        <f>Pricing!F9</f>
        <v>GF - DGR, 1FF-STAIR / 1SF</v>
      </c>
      <c r="I21" s="216" t="str">
        <f>Pricing!E9</f>
        <v>SS</v>
      </c>
      <c r="J21" s="216">
        <f>Pricing!G9</f>
        <v>916</v>
      </c>
      <c r="K21" s="216">
        <f>Pricing!H9</f>
        <v>1372</v>
      </c>
      <c r="L21" s="216">
        <f>Pricing!I9</f>
        <v>3</v>
      </c>
      <c r="M21" s="188">
        <f t="shared" si="0"/>
        <v>3.7702559999999998</v>
      </c>
      <c r="N21" s="189">
        <f>'Cost Calculation'!AS13</f>
        <v>96413.016250089975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V1</v>
      </c>
      <c r="E22" s="187" t="str">
        <f>Pricing!C10</f>
        <v>M940</v>
      </c>
      <c r="F22" s="187" t="str">
        <f>Pricing!D10</f>
        <v>FIXED GLASS</v>
      </c>
      <c r="G22" s="187" t="str">
        <f>Pricing!N10</f>
        <v>6MM (F)</v>
      </c>
      <c r="H22" s="187" t="str">
        <f>Pricing!F10</f>
        <v>TOILET</v>
      </c>
      <c r="I22" s="216" t="str">
        <f>Pricing!E10</f>
        <v>NO</v>
      </c>
      <c r="J22" s="216">
        <f>Pricing!G10</f>
        <v>610</v>
      </c>
      <c r="K22" s="216">
        <f>Pricing!H10</f>
        <v>916</v>
      </c>
      <c r="L22" s="216">
        <f>Pricing!I10</f>
        <v>6</v>
      </c>
      <c r="M22" s="188">
        <f t="shared" si="0"/>
        <v>3.35256</v>
      </c>
      <c r="N22" s="189">
        <f>'Cost Calculation'!AS14</f>
        <v>58913.214704723898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FG1</v>
      </c>
      <c r="E23" s="187" t="str">
        <f>Pricing!C11</f>
        <v>M940</v>
      </c>
      <c r="F23" s="187" t="str">
        <f>Pricing!D11</f>
        <v>FIXED GLASS 3 NO'S</v>
      </c>
      <c r="G23" s="187" t="str">
        <f>Pricing!N11</f>
        <v>6MM</v>
      </c>
      <c r="H23" s="187" t="str">
        <f>Pricing!F11</f>
        <v>GF</v>
      </c>
      <c r="I23" s="216" t="str">
        <f>Pricing!E11</f>
        <v>NO</v>
      </c>
      <c r="J23" s="216">
        <f>Pricing!G11</f>
        <v>3048</v>
      </c>
      <c r="K23" s="216">
        <f>Pricing!H11</f>
        <v>2058</v>
      </c>
      <c r="L23" s="216">
        <f>Pricing!I11</f>
        <v>1</v>
      </c>
      <c r="M23" s="188">
        <f t="shared" si="0"/>
        <v>6.2727839999999997</v>
      </c>
      <c r="N23" s="189">
        <f>'Cost Calculation'!AS15</f>
        <v>71182.570370617133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KW1</v>
      </c>
      <c r="E24" s="187" t="str">
        <f>Pricing!C12</f>
        <v>M900</v>
      </c>
      <c r="F24" s="187" t="str">
        <f>Pricing!D12</f>
        <v>3 TRACK 2 SHUTTER SLIDING WINDOW</v>
      </c>
      <c r="G24" s="187" t="str">
        <f>Pricing!N12</f>
        <v>6MM</v>
      </c>
      <c r="H24" s="187" t="str">
        <f>Pricing!F12</f>
        <v>GF - KITCHEN</v>
      </c>
      <c r="I24" s="216" t="str">
        <f>Pricing!E12</f>
        <v>SS</v>
      </c>
      <c r="J24" s="216">
        <f>Pricing!G12</f>
        <v>1220</v>
      </c>
      <c r="K24" s="216">
        <f>Pricing!H12</f>
        <v>916</v>
      </c>
      <c r="L24" s="216">
        <f>Pricing!I12</f>
        <v>1</v>
      </c>
      <c r="M24" s="188">
        <f t="shared" si="0"/>
        <v>1.1175200000000001</v>
      </c>
      <c r="N24" s="189">
        <f>'Cost Calculation'!AS16</f>
        <v>28771.24298583117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KW2</v>
      </c>
      <c r="E25" s="187" t="str">
        <f>Pricing!C13</f>
        <v>M940</v>
      </c>
      <c r="F25" s="187" t="str">
        <f>Pricing!D13</f>
        <v>FIXED GLASS</v>
      </c>
      <c r="G25" s="187" t="str">
        <f>Pricing!N13</f>
        <v>6MM</v>
      </c>
      <c r="H25" s="187" t="str">
        <f>Pricing!F13</f>
        <v>GF - KITCHEN</v>
      </c>
      <c r="I25" s="216" t="str">
        <f>Pricing!E13</f>
        <v>NO</v>
      </c>
      <c r="J25" s="216">
        <f>Pricing!G13</f>
        <v>1830</v>
      </c>
      <c r="K25" s="216">
        <f>Pricing!H13</f>
        <v>610</v>
      </c>
      <c r="L25" s="216">
        <f>Pricing!I13</f>
        <v>1</v>
      </c>
      <c r="M25" s="188">
        <f t="shared" ref="M25:M42" si="1">J25*K25*L25/1000000</f>
        <v>1.1163000000000001</v>
      </c>
      <c r="N25" s="189">
        <f>'Cost Calculation'!AS17</f>
        <v>15370.069748462454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KW3</v>
      </c>
      <c r="E26" s="187" t="str">
        <f>Pricing!C14</f>
        <v>M940</v>
      </c>
      <c r="F26" s="187" t="str">
        <f>Pricing!D14</f>
        <v>FIXED GLASS</v>
      </c>
      <c r="G26" s="187" t="str">
        <f>Pricing!N14</f>
        <v>6MM</v>
      </c>
      <c r="H26" s="187" t="str">
        <f>Pricing!F14</f>
        <v>GF - KITCHEN</v>
      </c>
      <c r="I26" s="216" t="str">
        <f>Pricing!E14</f>
        <v>NO</v>
      </c>
      <c r="J26" s="216">
        <f>Pricing!G14</f>
        <v>610</v>
      </c>
      <c r="K26" s="216">
        <f>Pricing!H14</f>
        <v>916</v>
      </c>
      <c r="L26" s="216">
        <f>Pricing!I14</f>
        <v>1</v>
      </c>
      <c r="M26" s="188">
        <f t="shared" si="1"/>
        <v>0.55876000000000003</v>
      </c>
      <c r="N26" s="189">
        <f>'Cost Calculation'!AS18</f>
        <v>9259.5503574539835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SLD1</v>
      </c>
      <c r="E27" s="187" t="str">
        <f>Pricing!C15</f>
        <v>M14600</v>
      </c>
      <c r="F27" s="187" t="str">
        <f>Pricing!D15</f>
        <v>3 TRACK 2 SHUTTER SLIDING DOOR</v>
      </c>
      <c r="G27" s="187" t="str">
        <f>Pricing!N15</f>
        <v>24MM</v>
      </c>
      <c r="H27" s="187" t="str">
        <f>Pricing!F15</f>
        <v>FF - HOME THEATER</v>
      </c>
      <c r="I27" s="216" t="str">
        <f>Pricing!E15</f>
        <v>SS</v>
      </c>
      <c r="J27" s="216">
        <f>Pricing!G15</f>
        <v>3556</v>
      </c>
      <c r="K27" s="216">
        <f>Pricing!H15</f>
        <v>2134</v>
      </c>
      <c r="L27" s="216">
        <f>Pricing!I15</f>
        <v>1</v>
      </c>
      <c r="M27" s="188">
        <f t="shared" si="1"/>
        <v>7.5885040000000004</v>
      </c>
      <c r="N27" s="189">
        <f>'Cost Calculation'!AS19</f>
        <v>164361.41128143869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SLD2</v>
      </c>
      <c r="E28" s="187" t="str">
        <f>Pricing!C16</f>
        <v>M14600</v>
      </c>
      <c r="F28" s="187" t="str">
        <f>Pricing!D16</f>
        <v>3 TRACK 2 SHUTTER SLIDING DOOR</v>
      </c>
      <c r="G28" s="187" t="str">
        <f>Pricing!N16</f>
        <v>24MM</v>
      </c>
      <c r="H28" s="187" t="str">
        <f>Pricing!F16</f>
        <v>GF - LIVING HALL &amp; 1F - HOME THEATER</v>
      </c>
      <c r="I28" s="216" t="str">
        <f>Pricing!E16</f>
        <v>SS</v>
      </c>
      <c r="J28" s="216">
        <f>Pricing!G16</f>
        <v>3354</v>
      </c>
      <c r="K28" s="216">
        <f>Pricing!H16</f>
        <v>2134</v>
      </c>
      <c r="L28" s="216">
        <f>Pricing!I16</f>
        <v>2</v>
      </c>
      <c r="M28" s="188">
        <f t="shared" si="1"/>
        <v>14.314871999999999</v>
      </c>
      <c r="N28" s="189">
        <f>'Cost Calculation'!AS20</f>
        <v>318103.62715227122</v>
      </c>
      <c r="O28" s="95"/>
    </row>
    <row r="29" spans="2:15" s="94" customFormat="1" ht="49.9" customHeight="1" thickTop="1" thickBot="1">
      <c r="B29" s="410">
        <f>Pricing!A17</f>
        <v>14</v>
      </c>
      <c r="C29" s="411"/>
      <c r="D29" s="187" t="str">
        <f>Pricing!B17</f>
        <v>SLD3</v>
      </c>
      <c r="E29" s="187" t="str">
        <f>Pricing!C17</f>
        <v>M14600</v>
      </c>
      <c r="F29" s="187" t="str">
        <f>Pricing!D17</f>
        <v>3 TRACK 2 SHUTTER SLIDING DOOR</v>
      </c>
      <c r="G29" s="187" t="str">
        <f>Pricing!N17</f>
        <v>24MM</v>
      </c>
      <c r="H29" s="187" t="str">
        <f>Pricing!F17</f>
        <v>SF</v>
      </c>
      <c r="I29" s="216" t="str">
        <f>Pricing!E17</f>
        <v>SS</v>
      </c>
      <c r="J29" s="216">
        <f>Pricing!G17</f>
        <v>2134</v>
      </c>
      <c r="K29" s="216">
        <f>Pricing!H17</f>
        <v>2134</v>
      </c>
      <c r="L29" s="216">
        <f>Pricing!I17</f>
        <v>2</v>
      </c>
      <c r="M29" s="188">
        <f t="shared" si="1"/>
        <v>9.1079120000000007</v>
      </c>
      <c r="N29" s="189">
        <f>'Cost Calculation'!AS21</f>
        <v>253948.44719379229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3"/>
      <c r="C116" s="504"/>
      <c r="D116" s="504"/>
      <c r="E116" s="504"/>
      <c r="F116" s="504"/>
      <c r="G116" s="504"/>
      <c r="H116" s="504"/>
      <c r="I116" s="504"/>
      <c r="J116" s="504"/>
      <c r="K116" s="505"/>
      <c r="L116" s="190">
        <f>SUM(L16:L115)</f>
        <v>26</v>
      </c>
      <c r="M116" s="191">
        <f>SUM(M16:M115)</f>
        <v>66.86160000000001</v>
      </c>
      <c r="N116" s="186"/>
      <c r="O116" s="95"/>
    </row>
    <row r="117" spans="2:15" s="94" customFormat="1" ht="30" customHeight="1" thickTop="1" thickBot="1">
      <c r="B117" s="506" t="s">
        <v>180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8"/>
      <c r="N117" s="192">
        <f>ROUND(SUM(N16:N115),0.1)</f>
        <v>1380076</v>
      </c>
      <c r="O117" s="95">
        <f>N117/SUM(M116)</f>
        <v>20640.786340739673</v>
      </c>
    </row>
    <row r="118" spans="2:15" s="94" customFormat="1" ht="30" customHeight="1" thickTop="1" thickBot="1">
      <c r="B118" s="506" t="s">
        <v>111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8"/>
      <c r="N118" s="192">
        <f>ROUND(N117*18%,0.1)</f>
        <v>248414</v>
      </c>
      <c r="O118" s="95">
        <f>N118/SUM(M116)</f>
        <v>3715.3463273388606</v>
      </c>
    </row>
    <row r="119" spans="2:15" s="94" customFormat="1" ht="30" customHeight="1" thickTop="1" thickBot="1">
      <c r="B119" s="506" t="s">
        <v>181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8"/>
      <c r="N119" s="192">
        <f>ROUND(SUM(N117:N118),0.1)</f>
        <v>1628490</v>
      </c>
      <c r="O119" s="95">
        <f>N119/SUM(M116)</f>
        <v>24356.132668078535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1917.5758399052095</v>
      </c>
    </row>
    <row r="121" spans="2:15" s="139" customFormat="1" ht="30" customHeight="1" thickTop="1">
      <c r="B121" s="474" t="s">
        <v>236</v>
      </c>
      <c r="C121" s="475"/>
      <c r="D121" s="475"/>
      <c r="E121" s="475"/>
      <c r="F121" s="475"/>
      <c r="G121" s="475"/>
      <c r="H121" s="475"/>
      <c r="I121" s="475"/>
      <c r="J121" s="475"/>
      <c r="K121" s="475"/>
      <c r="L121" s="475"/>
      <c r="M121" s="475"/>
      <c r="N121" s="476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38">
        <v>2</v>
      </c>
      <c r="C123" s="477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9"/>
    </row>
    <row r="124" spans="2:15" s="139" customFormat="1" ht="30" customHeight="1">
      <c r="B124" s="509" t="s">
        <v>206</v>
      </c>
      <c r="C124" s="510"/>
      <c r="D124" s="510"/>
      <c r="E124" s="510"/>
      <c r="F124" s="510"/>
      <c r="G124" s="510"/>
      <c r="H124" s="510"/>
      <c r="I124" s="510"/>
      <c r="J124" s="510"/>
      <c r="K124" s="510"/>
      <c r="L124" s="510"/>
      <c r="M124" s="510"/>
      <c r="N124" s="511"/>
      <c r="O124" s="138"/>
    </row>
    <row r="125" spans="2:15" s="93" customFormat="1" ht="24.95" customHeight="1">
      <c r="B125" s="412">
        <v>1</v>
      </c>
      <c r="C125" s="413"/>
      <c r="D125" s="414" t="s">
        <v>467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468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3</v>
      </c>
      <c r="C127" s="413"/>
      <c r="D127" s="414" t="s">
        <v>446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4</v>
      </c>
      <c r="C128" s="413"/>
      <c r="D128" s="414" t="s">
        <v>447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5" s="139" customFormat="1" ht="30" customHeight="1">
      <c r="B129" s="509" t="s">
        <v>140</v>
      </c>
      <c r="C129" s="510"/>
      <c r="D129" s="510"/>
      <c r="E129" s="510"/>
      <c r="F129" s="510"/>
      <c r="G129" s="510"/>
      <c r="H129" s="510"/>
      <c r="I129" s="510"/>
      <c r="J129" s="510"/>
      <c r="K129" s="510"/>
      <c r="L129" s="510"/>
      <c r="M129" s="510"/>
      <c r="N129" s="511"/>
      <c r="O129" s="138"/>
    </row>
    <row r="130" spans="2:15" s="93" customFormat="1" ht="24.95" customHeight="1">
      <c r="B130" s="412">
        <v>1</v>
      </c>
      <c r="C130" s="413"/>
      <c r="D130" s="414" t="s">
        <v>363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5" s="93" customFormat="1" ht="24.95" customHeight="1">
      <c r="B131" s="412">
        <v>2</v>
      </c>
      <c r="C131" s="413"/>
      <c r="D131" s="414" t="s">
        <v>387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5" s="93" customFormat="1" ht="24.95" customHeight="1">
      <c r="B132" s="412">
        <v>3</v>
      </c>
      <c r="C132" s="413"/>
      <c r="D132" s="414" t="s">
        <v>402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5" s="139" customFormat="1" ht="30" customHeight="1">
      <c r="B133" s="430" t="s">
        <v>141</v>
      </c>
      <c r="C133" s="431"/>
      <c r="D133" s="431"/>
      <c r="E133" s="431"/>
      <c r="F133" s="431"/>
      <c r="G133" s="431"/>
      <c r="H133" s="431"/>
      <c r="I133" s="431"/>
      <c r="J133" s="431"/>
      <c r="K133" s="431"/>
      <c r="L133" s="431"/>
      <c r="M133" s="431"/>
      <c r="N133" s="432"/>
    </row>
    <row r="134" spans="2:15" s="93" customFormat="1" ht="24.95" customHeight="1">
      <c r="B134" s="412">
        <v>1</v>
      </c>
      <c r="C134" s="413"/>
      <c r="D134" s="414" t="s">
        <v>142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5" s="93" customFormat="1" ht="24.95" customHeight="1">
      <c r="B135" s="412">
        <v>2</v>
      </c>
      <c r="C135" s="413"/>
      <c r="D135" s="414" t="s">
        <v>420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5" s="93" customFormat="1" ht="24.95" customHeight="1">
      <c r="B136" s="412">
        <v>3</v>
      </c>
      <c r="C136" s="413"/>
      <c r="D136" s="414" t="s">
        <v>143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5" s="93" customFormat="1" ht="24.95" customHeight="1">
      <c r="B137" s="412">
        <v>4</v>
      </c>
      <c r="C137" s="413"/>
      <c r="D137" s="414" t="s">
        <v>144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5" s="139" customFormat="1" ht="30" customHeight="1">
      <c r="B138" s="430" t="s">
        <v>145</v>
      </c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2"/>
    </row>
    <row r="139" spans="2:15" s="139" customFormat="1" ht="30" customHeight="1">
      <c r="B139" s="433" t="s">
        <v>146</v>
      </c>
      <c r="C139" s="434"/>
      <c r="D139" s="434"/>
      <c r="E139" s="434"/>
      <c r="F139" s="434"/>
      <c r="G139" s="434"/>
      <c r="H139" s="434"/>
      <c r="I139" s="434"/>
      <c r="J139" s="434"/>
      <c r="K139" s="434"/>
      <c r="L139" s="434"/>
      <c r="M139" s="434"/>
      <c r="N139" s="435"/>
    </row>
    <row r="140" spans="2:15" s="93" customFormat="1" ht="24.95" customHeight="1">
      <c r="B140" s="412">
        <v>1</v>
      </c>
      <c r="C140" s="413"/>
      <c r="D140" s="414" t="s">
        <v>147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5" s="93" customFormat="1" ht="24.95" customHeight="1">
      <c r="B141" s="412">
        <v>2</v>
      </c>
      <c r="C141" s="413"/>
      <c r="D141" s="414" t="s">
        <v>399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5" s="93" customFormat="1" ht="24.95" customHeight="1">
      <c r="B142" s="412">
        <v>3</v>
      </c>
      <c r="C142" s="413"/>
      <c r="D142" s="414" t="s">
        <v>148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5" s="93" customFormat="1" ht="24.95" customHeight="1">
      <c r="B143" s="412">
        <v>4</v>
      </c>
      <c r="C143" s="413"/>
      <c r="D143" s="414" t="s">
        <v>149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5" s="93" customFormat="1" ht="24.95" customHeight="1">
      <c r="B144" s="412">
        <v>5</v>
      </c>
      <c r="C144" s="413"/>
      <c r="D144" s="414" t="s">
        <v>150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24.95" customHeight="1">
      <c r="B145" s="412">
        <v>6</v>
      </c>
      <c r="C145" s="413"/>
      <c r="D145" s="414" t="s">
        <v>151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140" customFormat="1" ht="30" customHeight="1">
      <c r="B146" s="430" t="s">
        <v>152</v>
      </c>
      <c r="C146" s="431"/>
      <c r="D146" s="431"/>
      <c r="E146" s="431"/>
      <c r="F146" s="431"/>
      <c r="G146" s="431"/>
      <c r="H146" s="431"/>
      <c r="I146" s="431"/>
      <c r="J146" s="431"/>
      <c r="K146" s="431"/>
      <c r="L146" s="431"/>
      <c r="M146" s="431"/>
      <c r="N146" s="432"/>
    </row>
    <row r="147" spans="2:14" s="93" customFormat="1" ht="24.95" customHeight="1">
      <c r="B147" s="412">
        <v>1</v>
      </c>
      <c r="C147" s="413"/>
      <c r="D147" s="414" t="s">
        <v>153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135" customHeight="1">
      <c r="B148" s="412">
        <v>2</v>
      </c>
      <c r="C148" s="413"/>
      <c r="D148" s="416" t="s">
        <v>418</v>
      </c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3</v>
      </c>
      <c r="C149" s="413"/>
      <c r="D149" s="414" t="s">
        <v>154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93" customFormat="1" ht="24.95" customHeight="1">
      <c r="B150" s="412">
        <v>4</v>
      </c>
      <c r="C150" s="413"/>
      <c r="D150" s="414" t="s">
        <v>155</v>
      </c>
      <c r="E150" s="414"/>
      <c r="F150" s="414"/>
      <c r="G150" s="414"/>
      <c r="H150" s="414"/>
      <c r="I150" s="414"/>
      <c r="J150" s="414"/>
      <c r="K150" s="414"/>
      <c r="L150" s="414"/>
      <c r="M150" s="414"/>
      <c r="N150" s="415"/>
    </row>
    <row r="151" spans="2:14" s="140" customFormat="1" ht="30" customHeight="1">
      <c r="B151" s="430" t="s">
        <v>156</v>
      </c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2"/>
    </row>
    <row r="152" spans="2:14" s="93" customFormat="1" ht="24.95" customHeight="1">
      <c r="B152" s="412">
        <v>1</v>
      </c>
      <c r="C152" s="413"/>
      <c r="D152" s="414" t="s">
        <v>157</v>
      </c>
      <c r="E152" s="414"/>
      <c r="F152" s="414"/>
      <c r="G152" s="414"/>
      <c r="H152" s="414"/>
      <c r="I152" s="414"/>
      <c r="J152" s="414"/>
      <c r="K152" s="414"/>
      <c r="L152" s="414"/>
      <c r="M152" s="414"/>
      <c r="N152" s="415"/>
    </row>
    <row r="153" spans="2:14" s="93" customFormat="1" ht="55.9" customHeight="1">
      <c r="B153" s="412">
        <v>2</v>
      </c>
      <c r="C153" s="413"/>
      <c r="D153" s="416" t="s">
        <v>158</v>
      </c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140" customFormat="1" ht="30" customHeight="1">
      <c r="B154" s="430" t="s">
        <v>159</v>
      </c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2"/>
    </row>
    <row r="155" spans="2:14" s="93" customFormat="1" ht="24.95" customHeight="1">
      <c r="B155" s="412">
        <v>1</v>
      </c>
      <c r="C155" s="413"/>
      <c r="D155" s="436" t="s">
        <v>160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93" customFormat="1" ht="24.95" customHeight="1">
      <c r="B156" s="412">
        <v>2</v>
      </c>
      <c r="C156" s="413"/>
      <c r="D156" s="436" t="s">
        <v>161</v>
      </c>
      <c r="E156" s="436"/>
      <c r="F156" s="436"/>
      <c r="G156" s="436"/>
      <c r="H156" s="436"/>
      <c r="I156" s="436"/>
      <c r="J156" s="436"/>
      <c r="K156" s="436"/>
      <c r="L156" s="436"/>
      <c r="M156" s="436"/>
      <c r="N156" s="437"/>
    </row>
    <row r="157" spans="2:14" s="93" customFormat="1" ht="49.9" customHeight="1">
      <c r="B157" s="412">
        <v>3</v>
      </c>
      <c r="C157" s="413"/>
      <c r="D157" s="441" t="s">
        <v>162</v>
      </c>
      <c r="E157" s="442"/>
      <c r="F157" s="442"/>
      <c r="G157" s="442"/>
      <c r="H157" s="442"/>
      <c r="I157" s="442"/>
      <c r="J157" s="442"/>
      <c r="K157" s="442"/>
      <c r="L157" s="442"/>
      <c r="M157" s="442"/>
      <c r="N157" s="443"/>
    </row>
    <row r="158" spans="2:14" s="93" customFormat="1" ht="24.95" customHeight="1">
      <c r="B158" s="412">
        <v>4</v>
      </c>
      <c r="C158" s="413"/>
      <c r="D158" s="436" t="s">
        <v>163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140" customFormat="1" ht="30" customHeight="1">
      <c r="B159" s="430" t="s">
        <v>164</v>
      </c>
      <c r="C159" s="431"/>
      <c r="D159" s="431"/>
      <c r="E159" s="431"/>
      <c r="F159" s="431"/>
      <c r="G159" s="431"/>
      <c r="H159" s="431"/>
      <c r="I159" s="431"/>
      <c r="J159" s="431"/>
      <c r="K159" s="431"/>
      <c r="L159" s="431"/>
      <c r="M159" s="431"/>
      <c r="N159" s="432"/>
    </row>
    <row r="160" spans="2:14" s="93" customFormat="1" ht="24.95" customHeight="1">
      <c r="B160" s="412">
        <v>1</v>
      </c>
      <c r="C160" s="413"/>
      <c r="D160" s="436" t="s">
        <v>165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24.95" customHeight="1">
      <c r="B161" s="412">
        <v>2</v>
      </c>
      <c r="C161" s="413"/>
      <c r="D161" s="436" t="s">
        <v>166</v>
      </c>
      <c r="E161" s="436"/>
      <c r="F161" s="436"/>
      <c r="G161" s="436"/>
      <c r="H161" s="436"/>
      <c r="I161" s="436"/>
      <c r="J161" s="436"/>
      <c r="K161" s="436"/>
      <c r="L161" s="436"/>
      <c r="M161" s="436"/>
      <c r="N161" s="437"/>
    </row>
    <row r="162" spans="2:14" s="93" customFormat="1" ht="24.95" customHeight="1">
      <c r="B162" s="412">
        <v>3</v>
      </c>
      <c r="C162" s="413"/>
      <c r="D162" s="436" t="s">
        <v>167</v>
      </c>
      <c r="E162" s="436"/>
      <c r="F162" s="436"/>
      <c r="G162" s="436"/>
      <c r="H162" s="436"/>
      <c r="I162" s="436"/>
      <c r="J162" s="436"/>
      <c r="K162" s="436"/>
      <c r="L162" s="436"/>
      <c r="M162" s="436"/>
      <c r="N162" s="437"/>
    </row>
    <row r="163" spans="2:14" s="93" customFormat="1" ht="24.95" customHeight="1">
      <c r="B163" s="412">
        <v>4</v>
      </c>
      <c r="C163" s="413"/>
      <c r="D163" s="436" t="s">
        <v>419</v>
      </c>
      <c r="E163" s="436"/>
      <c r="F163" s="436"/>
      <c r="G163" s="436"/>
      <c r="H163" s="436"/>
      <c r="I163" s="436"/>
      <c r="J163" s="436"/>
      <c r="K163" s="436"/>
      <c r="L163" s="436"/>
      <c r="M163" s="436"/>
      <c r="N163" s="437"/>
    </row>
    <row r="164" spans="2:14" s="93" customFormat="1" ht="24.95" customHeight="1">
      <c r="B164" s="438" t="s">
        <v>239</v>
      </c>
      <c r="C164" s="439"/>
      <c r="D164" s="439"/>
      <c r="E164" s="439"/>
      <c r="F164" s="439"/>
      <c r="G164" s="439"/>
      <c r="H164" s="439"/>
      <c r="I164" s="439"/>
      <c r="J164" s="439"/>
      <c r="K164" s="439"/>
      <c r="L164" s="439"/>
      <c r="M164" s="439"/>
      <c r="N164" s="440"/>
    </row>
    <row r="165" spans="2:14" s="93" customFormat="1" ht="24.95" customHeight="1">
      <c r="B165" s="438" t="s">
        <v>240</v>
      </c>
      <c r="C165" s="439"/>
      <c r="D165" s="439"/>
      <c r="E165" s="439"/>
      <c r="F165" s="439"/>
      <c r="G165" s="439"/>
      <c r="H165" s="439"/>
      <c r="I165" s="439"/>
      <c r="J165" s="439"/>
      <c r="K165" s="439"/>
      <c r="L165" s="439"/>
      <c r="M165" s="439"/>
      <c r="N165" s="440"/>
    </row>
    <row r="166" spans="2:14" s="93" customFormat="1" ht="41.25" customHeight="1">
      <c r="B166" s="456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8"/>
    </row>
    <row r="167" spans="2:14" s="93" customFormat="1" ht="39.950000000000003" customHeight="1">
      <c r="B167" s="459"/>
      <c r="C167" s="460"/>
      <c r="D167" s="460"/>
      <c r="E167" s="460"/>
      <c r="F167" s="460"/>
      <c r="G167" s="460"/>
      <c r="H167" s="460"/>
      <c r="I167" s="460"/>
      <c r="J167" s="460"/>
      <c r="K167" s="460"/>
      <c r="L167" s="460"/>
      <c r="M167" s="460"/>
      <c r="N167" s="461"/>
    </row>
    <row r="168" spans="2:14" s="93" customFormat="1" ht="41.25" customHeight="1">
      <c r="B168" s="459"/>
      <c r="C168" s="460"/>
      <c r="D168" s="460"/>
      <c r="E168" s="460"/>
      <c r="F168" s="460"/>
      <c r="G168" s="460"/>
      <c r="H168" s="460"/>
      <c r="I168" s="460"/>
      <c r="J168" s="460"/>
      <c r="K168" s="460"/>
      <c r="L168" s="460"/>
      <c r="M168" s="460"/>
      <c r="N168" s="461"/>
    </row>
    <row r="169" spans="2:14" s="93" customFormat="1" ht="39.950000000000003" customHeight="1" thickBot="1">
      <c r="B169" s="462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</row>
    <row r="170" spans="2:14" s="93" customFormat="1" ht="30" customHeight="1" thickTop="1">
      <c r="B170" s="446" t="s">
        <v>110</v>
      </c>
      <c r="C170" s="447"/>
      <c r="D170" s="447"/>
      <c r="E170" s="450"/>
      <c r="F170" s="451"/>
      <c r="G170" s="451"/>
      <c r="H170" s="451"/>
      <c r="I170" s="451"/>
      <c r="J170" s="451"/>
      <c r="K170" s="451"/>
      <c r="L170" s="452"/>
      <c r="M170" s="447" t="s">
        <v>204</v>
      </c>
      <c r="N170" s="448"/>
    </row>
    <row r="171" spans="2:14" s="93" customFormat="1" ht="33" customHeight="1" thickBot="1">
      <c r="B171" s="449" t="s">
        <v>107</v>
      </c>
      <c r="C171" s="444"/>
      <c r="D171" s="444"/>
      <c r="E171" s="453"/>
      <c r="F171" s="454"/>
      <c r="G171" s="454"/>
      <c r="H171" s="454"/>
      <c r="I171" s="454"/>
      <c r="J171" s="454"/>
      <c r="K171" s="454"/>
      <c r="L171" s="455"/>
      <c r="M171" s="444" t="s">
        <v>108</v>
      </c>
      <c r="N171" s="445"/>
    </row>
    <row r="172" spans="2:14" s="93" customFormat="1" ht="19.5" thickTop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</sheetData>
  <mergeCells count="223">
    <mergeCell ref="D125:N125"/>
    <mergeCell ref="B135:C135"/>
    <mergeCell ref="D135:N135"/>
    <mergeCell ref="B131:C131"/>
    <mergeCell ref="D131:N131"/>
    <mergeCell ref="B20:C20"/>
    <mergeCell ref="B21:C21"/>
    <mergeCell ref="B22:C22"/>
    <mergeCell ref="B23:C23"/>
    <mergeCell ref="B41:C41"/>
    <mergeCell ref="B42:C42"/>
    <mergeCell ref="B133:N133"/>
    <mergeCell ref="B129:N129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126:C126"/>
    <mergeCell ref="D126:N126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1:N171"/>
    <mergeCell ref="B170:D170"/>
    <mergeCell ref="M170:N170"/>
    <mergeCell ref="B171:D171"/>
    <mergeCell ref="B142:C142"/>
    <mergeCell ref="D142:N142"/>
    <mergeCell ref="B149:C149"/>
    <mergeCell ref="D149:N149"/>
    <mergeCell ref="B163:C163"/>
    <mergeCell ref="D163:N163"/>
    <mergeCell ref="B161:C161"/>
    <mergeCell ref="D161:N161"/>
    <mergeCell ref="B162:C162"/>
    <mergeCell ref="D162:N162"/>
    <mergeCell ref="B150:C150"/>
    <mergeCell ref="D150:N150"/>
    <mergeCell ref="E170:L170"/>
    <mergeCell ref="E171:L171"/>
    <mergeCell ref="B166:N169"/>
    <mergeCell ref="D155:N155"/>
    <mergeCell ref="B156:C156"/>
    <mergeCell ref="D156:N156"/>
    <mergeCell ref="B157:C157"/>
    <mergeCell ref="B155:C155"/>
    <mergeCell ref="B136:C136"/>
    <mergeCell ref="D136:N136"/>
    <mergeCell ref="D160:N160"/>
    <mergeCell ref="B160:C160"/>
    <mergeCell ref="B164:N164"/>
    <mergeCell ref="B165:N165"/>
    <mergeCell ref="B148:C148"/>
    <mergeCell ref="B143:C143"/>
    <mergeCell ref="D143:N143"/>
    <mergeCell ref="B144:C144"/>
    <mergeCell ref="D144:N144"/>
    <mergeCell ref="B145:C145"/>
    <mergeCell ref="D145:N145"/>
    <mergeCell ref="D157:N157"/>
    <mergeCell ref="B151:N151"/>
    <mergeCell ref="B154:N154"/>
    <mergeCell ref="B159:N159"/>
    <mergeCell ref="B158:C158"/>
    <mergeCell ref="D158:N158"/>
    <mergeCell ref="B152:C152"/>
    <mergeCell ref="D152:N152"/>
    <mergeCell ref="B153:C153"/>
    <mergeCell ref="D153:N153"/>
    <mergeCell ref="B140:C140"/>
    <mergeCell ref="D140:N140"/>
    <mergeCell ref="D148:N148"/>
    <mergeCell ref="B141:C141"/>
    <mergeCell ref="D141:N141"/>
    <mergeCell ref="B1:N5"/>
    <mergeCell ref="B11:N12"/>
    <mergeCell ref="F7:J7"/>
    <mergeCell ref="F9:J9"/>
    <mergeCell ref="B146:N146"/>
    <mergeCell ref="B147:C147"/>
    <mergeCell ref="D147:N147"/>
    <mergeCell ref="B138:N138"/>
    <mergeCell ref="B139:N139"/>
    <mergeCell ref="B130:C130"/>
    <mergeCell ref="D130:N130"/>
    <mergeCell ref="B132:C132"/>
    <mergeCell ref="D132:N132"/>
    <mergeCell ref="B137:C137"/>
    <mergeCell ref="D137:N137"/>
    <mergeCell ref="B134:C134"/>
    <mergeCell ref="D134:N134"/>
    <mergeCell ref="B43:C43"/>
    <mergeCell ref="B44:C44"/>
    <mergeCell ref="B45:C45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5:C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J34" sqref="J3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R2</v>
      </c>
      <c r="E2" s="307">
        <f>QUOTATION!N8</f>
        <v>43735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P. Sathish Indu</v>
      </c>
      <c r="E3" s="517"/>
      <c r="F3" s="520" t="s">
        <v>245</v>
      </c>
      <c r="G3" s="521">
        <f>QUOTATION!N8</f>
        <v>43735</v>
      </c>
    </row>
    <row r="4" spans="3:13">
      <c r="C4" s="297" t="s">
        <v>242</v>
      </c>
      <c r="D4" s="518" t="str">
        <f>QUOTATION!M6</f>
        <v>ABPL-DE-19.20-2204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Ms. Prathyusha : 8008103067</v>
      </c>
      <c r="E6" s="517"/>
      <c r="F6" s="520"/>
      <c r="G6" s="522"/>
    </row>
    <row r="7" spans="3:13">
      <c r="C7" s="297" t="s">
        <v>374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177</v>
      </c>
      <c r="D9" s="517" t="str">
        <f>QUOTATION!I10</f>
        <v>Black</v>
      </c>
      <c r="E9" s="517"/>
      <c r="F9" s="520"/>
      <c r="G9" s="522"/>
    </row>
    <row r="10" spans="3:13">
      <c r="C10" s="297" t="s">
        <v>179</v>
      </c>
      <c r="D10" s="517" t="str">
        <f>QUOTATION!I8</f>
        <v>1.2Kpa</v>
      </c>
      <c r="E10" s="517"/>
      <c r="F10" s="520"/>
      <c r="G10" s="522"/>
    </row>
    <row r="11" spans="3:13">
      <c r="C11" s="297" t="s">
        <v>241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243</v>
      </c>
      <c r="D12" s="519">
        <f>QUOTATION!M7</f>
        <v>43732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4294.54</v>
      </c>
      <c r="F14" s="205"/>
      <c r="G14" s="206">
        <f>E14</f>
        <v>4294.54</v>
      </c>
    </row>
    <row r="15" spans="3:13">
      <c r="C15" s="194" t="s">
        <v>234</v>
      </c>
      <c r="D15" s="296">
        <f>'Changable Values'!D4</f>
        <v>83</v>
      </c>
      <c r="E15" s="199">
        <f>E14*D15</f>
        <v>356446.82</v>
      </c>
      <c r="F15" s="205"/>
      <c r="G15" s="207">
        <f>E15</f>
        <v>356446.82</v>
      </c>
    </row>
    <row r="16" spans="3:13">
      <c r="C16" s="195" t="s">
        <v>97</v>
      </c>
      <c r="D16" s="200">
        <f>'Changable Values'!D5</f>
        <v>0.1</v>
      </c>
      <c r="E16" s="199">
        <f>E15*D16</f>
        <v>35644.682000000001</v>
      </c>
      <c r="F16" s="208">
        <f>'Changable Values'!D5</f>
        <v>0.1</v>
      </c>
      <c r="G16" s="207">
        <f>G15*F16</f>
        <v>35644.682000000001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43130.065219999997</v>
      </c>
      <c r="F17" s="208">
        <f>'Changable Values'!D6</f>
        <v>0.11</v>
      </c>
      <c r="G17" s="207">
        <f>SUM(G15:G16)*F17</f>
        <v>43130.065219999997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2176.1078361</v>
      </c>
      <c r="F18" s="208">
        <f>'Changable Values'!D7</f>
        <v>5.0000000000000001E-3</v>
      </c>
      <c r="G18" s="207">
        <f>SUM(G15:G17)*F18</f>
        <v>2176.1078361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4373.9767505609998</v>
      </c>
      <c r="F19" s="208">
        <f>'Changable Values'!D8</f>
        <v>0.01</v>
      </c>
      <c r="G19" s="207">
        <f>SUM(G15:G18)*F19</f>
        <v>4373.9767505609998</v>
      </c>
    </row>
    <row r="20" spans="3:7">
      <c r="C20" s="195" t="s">
        <v>99</v>
      </c>
      <c r="D20" s="201"/>
      <c r="E20" s="199">
        <f>SUM(E15:E19)</f>
        <v>441771.65180666093</v>
      </c>
      <c r="F20" s="208"/>
      <c r="G20" s="207">
        <f>SUM(G15:G19)</f>
        <v>441771.65180666093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6626.5747770999133</v>
      </c>
      <c r="F21" s="208">
        <f>'Changable Values'!D9</f>
        <v>1.4999999999999999E-2</v>
      </c>
      <c r="G21" s="207">
        <f>G20*F21</f>
        <v>6626.5747770999133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134915.989608</v>
      </c>
      <c r="F23" s="209"/>
      <c r="G23" s="207">
        <f t="shared" si="0"/>
        <v>134915.989608</v>
      </c>
    </row>
    <row r="24" spans="3:7">
      <c r="C24" s="195" t="s">
        <v>229</v>
      </c>
      <c r="D24" s="198"/>
      <c r="E24" s="199">
        <f>'Cost Calculation'!AH111</f>
        <v>27742.78150819672</v>
      </c>
      <c r="F24" s="209"/>
      <c r="G24" s="207">
        <f t="shared" si="0"/>
        <v>27742.78150819672</v>
      </c>
    </row>
    <row r="25" spans="3:7">
      <c r="C25" s="196" t="s">
        <v>237</v>
      </c>
      <c r="D25" s="198"/>
      <c r="E25" s="199">
        <f>'Cost Calculation'!AJ109</f>
        <v>29903.035687199997</v>
      </c>
      <c r="F25" s="209"/>
      <c r="G25" s="207">
        <f t="shared" si="0"/>
        <v>29903.035687199997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71969.826239999995</v>
      </c>
      <c r="F27" s="209"/>
      <c r="G27" s="207">
        <f t="shared" si="0"/>
        <v>71969.826239999995</v>
      </c>
    </row>
    <row r="28" spans="3:7">
      <c r="C28" s="195" t="s">
        <v>88</v>
      </c>
      <c r="D28" s="198"/>
      <c r="E28" s="199">
        <f>'Cost Calculation'!AN109</f>
        <v>71969.826239999995</v>
      </c>
      <c r="F28" s="209"/>
      <c r="G28" s="207">
        <f t="shared" si="0"/>
        <v>71969.826239999995</v>
      </c>
    </row>
    <row r="29" spans="3:7">
      <c r="C29" s="293" t="s">
        <v>377</v>
      </c>
      <c r="D29" s="294"/>
      <c r="E29" s="295">
        <f>SUM(E20:E28)</f>
        <v>784899.68586715753</v>
      </c>
      <c r="F29" s="209"/>
      <c r="G29" s="207">
        <f>SUM(G20:G21,G24)</f>
        <v>476141.00809195754</v>
      </c>
    </row>
    <row r="30" spans="3:7">
      <c r="C30" s="293" t="s">
        <v>378</v>
      </c>
      <c r="D30" s="294"/>
      <c r="E30" s="295">
        <f>E29/E33</f>
        <v>1090.5954993551441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595176.26011494687</v>
      </c>
      <c r="F31" s="214">
        <f>'Changable Values'!D23</f>
        <v>1.25</v>
      </c>
      <c r="G31" s="207">
        <f>G29*F31</f>
        <v>595176.26011494687</v>
      </c>
    </row>
    <row r="32" spans="3:7">
      <c r="C32" s="290" t="s">
        <v>5</v>
      </c>
      <c r="D32" s="291"/>
      <c r="E32" s="292">
        <f>E31+E29</f>
        <v>1380075.9459821044</v>
      </c>
      <c r="F32" s="205"/>
      <c r="G32" s="207">
        <f>SUM(G25:G31,G22:G23)</f>
        <v>1380075.9459821044</v>
      </c>
    </row>
    <row r="33" spans="3:7">
      <c r="C33" s="300" t="s">
        <v>230</v>
      </c>
      <c r="D33" s="301"/>
      <c r="E33" s="308">
        <f>'Cost Calculation'!K109</f>
        <v>719.69826239999998</v>
      </c>
      <c r="F33" s="210"/>
      <c r="G33" s="211">
        <f>E33</f>
        <v>719.69826239999998</v>
      </c>
    </row>
    <row r="34" spans="3:7">
      <c r="C34" s="302" t="s">
        <v>9</v>
      </c>
      <c r="D34" s="303"/>
      <c r="E34" s="304">
        <f>QUOTATION!L116</f>
        <v>26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1917.5757648489002</v>
      </c>
      <c r="F35" s="212"/>
      <c r="G35" s="213">
        <f>G32/(G33)</f>
        <v>1917.5757648489002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2019-09-27T09:20:44Z</cp:lastPrinted>
  <dcterms:created xsi:type="dcterms:W3CDTF">2010-12-18T06:34:46Z</dcterms:created>
  <dcterms:modified xsi:type="dcterms:W3CDTF">2019-09-30T09:36:59Z</dcterms:modified>
</cp:coreProperties>
</file>