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Drawings!$C$2:$O$315</definedName>
    <definedName name="_xlnm.Print_Area" localSheetId="6">QUOTATION!$B$1:$N$171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31" i="158" l="1"/>
  <c r="Q29" i="158"/>
  <c r="Q28" i="158"/>
  <c r="Q27" i="158"/>
  <c r="Q19" i="158"/>
  <c r="Q11" i="158"/>
  <c r="Q10" i="158"/>
  <c r="Q5" i="158"/>
  <c r="K36" i="161"/>
  <c r="K32" i="161"/>
  <c r="K16" i="161"/>
  <c r="K15" i="161"/>
  <c r="K10" i="16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M69" i="160" l="1"/>
  <c r="I4" i="167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I16" i="160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AH50" i="159" s="1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AH40" i="159" s="1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AH24" i="159" s="1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5" i="160" l="1"/>
  <c r="M36" i="160"/>
  <c r="M40" i="160"/>
  <c r="M34" i="160"/>
  <c r="M31" i="160"/>
  <c r="M51" i="160"/>
  <c r="AH47" i="159"/>
  <c r="AH51" i="159"/>
  <c r="AH48" i="159"/>
  <c r="AH56" i="159"/>
  <c r="AH53" i="159"/>
  <c r="AH30" i="159"/>
  <c r="AH38" i="159"/>
  <c r="AH43" i="159"/>
  <c r="AH46" i="159"/>
  <c r="AH54" i="159"/>
  <c r="AH57" i="159"/>
  <c r="AH45" i="159"/>
  <c r="AH25" i="159"/>
  <c r="AH36" i="159"/>
  <c r="AH41" i="159"/>
  <c r="AH44" i="159"/>
  <c r="AH52" i="159"/>
  <c r="AH55" i="159"/>
  <c r="AH49" i="159"/>
  <c r="AH39" i="159"/>
  <c r="AH42" i="159"/>
  <c r="AH37" i="159"/>
  <c r="AH35" i="159"/>
  <c r="AH34" i="159"/>
  <c r="M42" i="160"/>
  <c r="AH33" i="159"/>
  <c r="AH32" i="159"/>
  <c r="AH31" i="159"/>
  <c r="M38" i="160"/>
  <c r="AH29" i="159"/>
  <c r="AH28" i="159"/>
  <c r="AH27" i="159"/>
  <c r="M35" i="160"/>
  <c r="AH26" i="159"/>
  <c r="AH23" i="159"/>
  <c r="AH22" i="159"/>
  <c r="M30" i="160"/>
  <c r="AH21" i="159"/>
  <c r="AH20" i="159"/>
  <c r="AH19" i="159"/>
  <c r="AH18" i="159"/>
  <c r="M26" i="160"/>
  <c r="AH17" i="159"/>
  <c r="AH16" i="159"/>
  <c r="AH15" i="159"/>
  <c r="AH14" i="159"/>
  <c r="AH13" i="159"/>
  <c r="AH12" i="159"/>
  <c r="AH11" i="159"/>
  <c r="AH10" i="159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<sst xmlns="http://schemas.openxmlformats.org/spreadsheetml/2006/main" count="2089" uniqueCount="489">
  <si>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</si>
  <si>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</si>
  <si>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</si>
  <si>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</si>
  <si>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</si>
  <si>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</si>
  <si>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</si>
  <si>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</si>
  <si>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</si>
  <si>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</si>
  <si>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</si>
  <si>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</si>
  <si>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</si>
  <si>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</si>
  <si>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</si>
  <si>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</si>
  <si>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</si>
  <si>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</si>
  <si>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</si>
  <si>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</si>
  <si>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</si>
  <si>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</si>
  <si>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</si>
  <si>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</si>
  <si>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</si>
  <si>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</si>
  <si>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</si>
  <si>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</si>
  <si>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</si>
  <si>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</si>
  <si>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</si>
  <si>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</si>
  <si>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</si>
  <si>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</si>
  <si>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</si>
  <si>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</si>
  <si>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</si>
  <si>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</si>
  <si>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</si>
  <si>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</si>
  <si>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</si>
  <si>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</si>
  <si>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</si>
  <si>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</si>
  <si>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</si>
  <si>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</si>
  <si>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</si>
  <si>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</si>
  <si>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</si>
  <si>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</si>
  <si>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</si>
  <si>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</si>
  <si>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</si>
  <si>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</si>
  <si>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</si>
  <si>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</si>
  <si>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</si>
  <si>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</si>
  <si>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</si>
  <si>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</si>
  <si>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</si>
  <si>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</si>
  <si>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</si>
  <si>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</si>
  <si>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</si>
  <si>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</si>
  <si>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</si>
  <si>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</si>
  <si>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</si>
  <si>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</si>
  <si>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</si>
  <si>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</si>
  <si>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</si>
  <si>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</si>
  <si>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</si>
  <si>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</si>
  <si>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</si>
  <si>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</si>
  <si>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</si>
  <si>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</si>
  <si>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</si>
  <si>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</si>
  <si>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</si>
  <si>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</si>
  <si>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</si>
  <si>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</si>
  <si>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</si>
  <si>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</si>
  <si>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</si>
  <si>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</si>
  <si>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</si>
  <si>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</si>
  <si>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</si>
  <si>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</si>
  <si>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</si>
  <si>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</si>
  <si>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</si>
  <si>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</si>
  <si>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</si>
  <si>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</si>
  <si>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</si>
  <si>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</si>
  <si>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</si>
  <si>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</si>
  <si>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</si>
  <si>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</si>
  <si>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</si>
  <si>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</si>
  <si>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</si>
  <si>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</si>
  <si>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</si>
  <si>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</si>
  <si>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</si>
  <si>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</si>
  <si>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</si>
  <si>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</si>
  <si>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</si>
  <si>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</si>
  <si>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</si>
  <si>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</si>
  <si>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</si>
  <si>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</si>
  <si>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</si>
  <si>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</si>
  <si>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</si>
  <si>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</si>
  <si>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</si>
  <si>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</si>
  <si>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</si>
  <si>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</si>
  <si>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</si>
  <si>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</si>
  <si>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</si>
  <si>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</si>
  <si>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</si>
  <si>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</si>
  <si>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</si>
  <si>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</si>
  <si>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</si>
  <si>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</si>
  <si>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</si>
  <si>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</si>
  <si>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</si>
  <si>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</si>
  <si>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</si>
  <si>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</si>
  <si>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</si>
  <si>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</si>
  <si>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</si>
  <si>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</si>
  <si>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</si>
  <si>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</si>
  <si>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</si>
  <si>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</si>
  <si>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</si>
  <si>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</si>
  <si>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</si>
  <si>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</si>
  <si>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</si>
  <si>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</si>
  <si>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</si>
  <si>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</si>
  <si>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</si>
  <si>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</si>
  <si>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</si>
  <si>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</si>
  <si>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</si>
  <si>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</si>
  <si>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</si>
  <si>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</si>
  <si>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</si>
  <si>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</si>
  <si>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</si>
  <si>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</si>
  <si>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</si>
  <si>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</si>
  <si>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</si>
  <si>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</si>
  <si>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</si>
  <si>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</si>
  <si>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</si>
  <si>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</si>
  <si>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</si>
  <si>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</si>
  <si>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</si>
  <si>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</si>
  <si>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</si>
  <si>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</si>
  <si>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</si>
  <si>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</si>
  <si>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</si>
  <si>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</si>
  <si>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</si>
  <si>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</si>
  <si>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</si>
  <si>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</si>
  <si>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</si>
  <si>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</si>
  <si>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</si>
  <si>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</si>
  <si>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</si>
  <si>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</si>
  <si>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</si>
  <si>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</si>
  <si>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</si>
  <si>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</si>
  <si>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</si>
  <si>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</si>
  <si>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</si>
  <si>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</si>
  <si>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</si>
  <si>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</si>
  <si>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</si>
  <si>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</si>
  <si>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</si>
  <si>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</si>
  <si>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</si>
  <si>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</si>
  <si>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</si>
  <si>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</si>
  <si>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</si>
  <si>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</si>
  <si>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</si>
  <si>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</si>
  <si>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</si>
  <si>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</si>
  <si>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</si>
  <si>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</si>
  <si>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</si>
  <si>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</si>
  <si>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</si>
  <si>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</si>
  <si>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</si>
  <si>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</si>
  <si>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</si>
  <si>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</si>
  <si>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</si>
  <si>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</si>
  <si>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</si>
  <si>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</si>
  <si>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</si>
  <si>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</si>
  <si>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</si>
  <si>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</si>
  <si>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</si>
  <si>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</si>
  <si>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</si>
  <si>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</si>
  <si>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</si>
  <si>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</si>
  <si>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</si>
  <si>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</si>
  <si>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</si>
  <si>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</si>
  <si>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</si>
  <si>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</si>
  <si>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</si>
  <si>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</si>
  <si>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</si>
  <si>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</si>
  <si>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</si>
  <si>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</si>
  <si>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</si>
  <si>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</si>
  <si>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</si>
  <si>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</si>
  <si>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</si>
  <si>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</si>
  <si>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</si>
  <si>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</si>
  <si>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</si>
  <si>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</si>
  <si>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</si>
  <si>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</si>
  <si>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</si>
  <si>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</si>
  <si>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</si>
  <si>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</si>
  <si>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</si>
  <si>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</si>
  <si>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</si>
  <si>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</si>
  <si>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</si>
  <si>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</si>
  <si>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</si>
  <si>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</si>
  <si>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</si>
  <si>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</si>
  <si>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</si>
  <si>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</si>
  <si>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</si>
  <si>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</si>
  <si>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</si>
  <si>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</si>
  <si>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</si>
  <si>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</si>
  <si>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</si>
  <si>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</si>
  <si>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</si>
  <si>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</si>
  <si>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</si>
  <si>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</si>
  <si>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</si>
  <si>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</si>
  <si>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</si>
  <si>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</si>
  <si>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</si>
  <si>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</si>
  <si>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</si>
  <si>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</si>
  <si>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</si>
  <si>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</si>
  <si>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</si>
  <si>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</si>
  <si>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</si>
  <si>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</si>
  <si>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</si>
  <si>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</si>
  <si>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</si>
  <si>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</si>
  <si>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</si>
  <si>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</si>
  <si>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</si>
  <si>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</si>
  <si>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</si>
  <si>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</si>
  <si>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</si>
  <si>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</si>
  <si>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</si>
  <si>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</si>
  <si>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</si>
  <si>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</si>
  <si>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</si>
  <si>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</si>
  <si>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</si>
  <si>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</si>
  <si>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</si>
  <si>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</si>
  <si>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</si>
  <si>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</si>
  <si>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</si>
  <si>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</si>
  <si>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</si>
  <si>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</si>
  <si>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</si>
  <si>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</si>
  <si>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</si>
  <si>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</si>
  <si>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</si>
  <si>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</si>
  <si>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</si>
  <si>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</si>
  <si>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</si>
  <si>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</si>
  <si>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</si>
  <si>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</si>
  <si>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</si>
  <si>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</si>
  <si>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</si>
  <si>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</si>
  <si>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</si>
  <si>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</si>
  <si>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</si>
  <si>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</si>
  <si>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</si>
  <si>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</si>
  <si>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</si>
  <si>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</si>
  <si>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</si>
  <si>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</si>
  <si>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</si>
  <si>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</si>
  <si>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</si>
  <si>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</si>
  <si>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</si>
  <si>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</si>
  <si>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</si>
  <si>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</si>
  <si>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</si>
  <si>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</si>
  <si>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</si>
  <si>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</si>
  <si>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</si>
  <si>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</si>
  <si>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</si>
  <si>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</si>
  <si>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</si>
  <si>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</si>
  <si>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</si>
  <si>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</si>
  <si>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</si>
  <si>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</si>
  <si>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</si>
  <si>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</si>
  <si>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</si>
  <si>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</si>
  <si>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</si>
  <si>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</si>
  <si>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</si>
  <si>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</si>
  <si>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</si>
  <si>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</si>
  <si>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</si>
  <si>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</si>
  <si>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</si>
  <si>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</si>
  <si>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</si>
  <si>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</si>
  <si>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</si>
  <si>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</si>
  <si>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</si>
  <si>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</si>
  <si>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</si>
  <si>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</si>
  <si>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</si>
  <si>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</si>
  <si>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</si>
  <si>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</si>
  <si>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</si>
  <si>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</si>
  <si>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</si>
  <si>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</si>
  <si>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Hyderabad</t>
  </si>
  <si>
    <t>Powder Coating</t>
  </si>
  <si>
    <t>1.3Kpa</t>
  </si>
  <si>
    <t>ABPL-DE-19.20-2205</t>
  </si>
  <si>
    <t>CW1</t>
  </si>
  <si>
    <t>M15000</t>
  </si>
  <si>
    <t>FIXED GLASS CORNOR WINDOW</t>
  </si>
  <si>
    <t>NO</t>
  </si>
  <si>
    <t>GF - LIVING ROOM</t>
  </si>
  <si>
    <t>W1</t>
  </si>
  <si>
    <t>M900</t>
  </si>
  <si>
    <t>3 TRACK 2 SHUTTER SLIDING WINDOW</t>
  </si>
  <si>
    <t>6MM</t>
  </si>
  <si>
    <t>SS</t>
  </si>
  <si>
    <t>GF - FIRST LIVING</t>
  </si>
  <si>
    <t>W2</t>
  </si>
  <si>
    <t>SIDE HUNG WINDOW</t>
  </si>
  <si>
    <t>GF - MASTER BEDROOM</t>
  </si>
  <si>
    <t>W3</t>
  </si>
  <si>
    <t>M940</t>
  </si>
  <si>
    <t>FIXED GLASS WITH GLASS LOUVERS AND EXHAUST PROVISION</t>
  </si>
  <si>
    <t>6MM (F)</t>
  </si>
  <si>
    <t>GF - MASTER TOILET</t>
  </si>
  <si>
    <t>V2</t>
  </si>
  <si>
    <t>W4</t>
  </si>
  <si>
    <t>GF - DINING HALL</t>
  </si>
  <si>
    <t>W5</t>
  </si>
  <si>
    <t>GF - KITCHEN</t>
  </si>
  <si>
    <t>1F - MASTER BEDROOM</t>
  </si>
  <si>
    <t>V3</t>
  </si>
  <si>
    <t>1F - MASTER VENTILATOR</t>
  </si>
  <si>
    <t>V4</t>
  </si>
  <si>
    <t>CW2</t>
  </si>
  <si>
    <t>1F - DAUGHTER BEDROOM</t>
  </si>
  <si>
    <t>V5</t>
  </si>
  <si>
    <t>1F - DAUGHTER VENTILATOR</t>
  </si>
  <si>
    <t>V6</t>
  </si>
  <si>
    <t>SD1</t>
  </si>
  <si>
    <t>M14600</t>
  </si>
  <si>
    <t>3 TRACK 2 SHUTTER SLIDING DOOR</t>
  </si>
  <si>
    <t>1F - SON BEDROOM</t>
  </si>
  <si>
    <t>W6</t>
  </si>
  <si>
    <t>FIXED GLASS</t>
  </si>
  <si>
    <t>V7</t>
  </si>
  <si>
    <t>1F - SERVANT VENTILATOR</t>
  </si>
  <si>
    <t>V8</t>
  </si>
  <si>
    <t>1F - POOJA</t>
  </si>
  <si>
    <t>CW3</t>
  </si>
  <si>
    <t>1F - POOJA LIVING</t>
  </si>
  <si>
    <t>CW4</t>
  </si>
  <si>
    <t>2F - GYM ROOM</t>
  </si>
  <si>
    <t>V9</t>
  </si>
  <si>
    <t>SD2</t>
  </si>
  <si>
    <t>2F - STUDY LIVING</t>
  </si>
  <si>
    <t>SD3</t>
  </si>
  <si>
    <t>SD4</t>
  </si>
  <si>
    <t>2F - BAR</t>
  </si>
  <si>
    <t>V10</t>
  </si>
  <si>
    <t>SD5</t>
  </si>
  <si>
    <t>2F -HOME THEATER</t>
  </si>
  <si>
    <t>20MM</t>
  </si>
  <si>
    <t>20mm :- 5mm Clear Toughened Glass + 10mm Spacer + 5mm Clear Toughened Glass</t>
  </si>
  <si>
    <t>10mm :- 10mm Clear Toughened Glass</t>
  </si>
  <si>
    <t>6mm :- 6mm Clear Toughened Glass</t>
  </si>
  <si>
    <t>6mm (F) :- 6mm Frosted Toughened Glass</t>
  </si>
  <si>
    <t>V1</t>
  </si>
  <si>
    <t>Ar. Venkat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</si>
</sst>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165</xdr:row>
      <xdr:rowOff>119150</xdr:rowOff>
    </xdr:from>
    <xdr:to>
      <xdr:col>13</xdr:col>
      <xdr:colOff>1496291</xdr:colOff>
      <xdr:row>168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571498</xdr:colOff>
      <xdr:row>8</xdr:row>
      <xdr:rowOff>82827</xdr:rowOff>
    </xdr:from>
    <xdr:to>
      <xdr:col>9</xdr:col>
      <xdr:colOff>24846</xdr:colOff>
      <xdr:row>16</xdr:row>
      <xdr:rowOff>274068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5694" y="1557131"/>
          <a:ext cx="3959087" cy="27091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347868</xdr:colOff>
      <xdr:row>19</xdr:row>
      <xdr:rowOff>273326</xdr:rowOff>
    </xdr:from>
    <xdr:to>
      <xdr:col>8</xdr:col>
      <xdr:colOff>124238</xdr:colOff>
      <xdr:row>27</xdr:row>
      <xdr:rowOff>77986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29" y="5060674"/>
          <a:ext cx="3105979" cy="2322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438978</xdr:colOff>
      <xdr:row>30</xdr:row>
      <xdr:rowOff>298174</xdr:rowOff>
    </xdr:from>
    <xdr:to>
      <xdr:col>5</xdr:col>
      <xdr:colOff>1813891</xdr:colOff>
      <xdr:row>38</xdr:row>
      <xdr:rowOff>21112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978" y="8398565"/>
          <a:ext cx="1374913" cy="2240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372717</xdr:colOff>
      <xdr:row>41</xdr:row>
      <xdr:rowOff>240196</xdr:rowOff>
    </xdr:from>
    <xdr:to>
      <xdr:col>5</xdr:col>
      <xdr:colOff>1764196</xdr:colOff>
      <xdr:row>48</xdr:row>
      <xdr:rowOff>304873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7" y="11653631"/>
          <a:ext cx="1391479" cy="2267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372716</xdr:colOff>
      <xdr:row>53</xdr:row>
      <xdr:rowOff>115957</xdr:rowOff>
    </xdr:from>
    <xdr:to>
      <xdr:col>8</xdr:col>
      <xdr:colOff>198782</xdr:colOff>
      <xdr:row>59</xdr:row>
      <xdr:rowOff>179814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977" y="15157174"/>
          <a:ext cx="3155675" cy="1952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381000</xdr:colOff>
      <xdr:row>54</xdr:row>
      <xdr:rowOff>207065</xdr:rowOff>
    </xdr:from>
    <xdr:to>
      <xdr:col>5</xdr:col>
      <xdr:colOff>753717</xdr:colOff>
      <xdr:row>55</xdr:row>
      <xdr:rowOff>157369</xdr:rowOff>
    </xdr:to>
    <xdr:grpSp>
      <xdr:nvGrpSpPr>
        <xdr:cNvPr id="13" name="Group 12"/>
        <xdr:cNvGrpSpPr/>
      </xdr:nvGrpSpPr>
      <xdr:grpSpPr>
        <a:xfrm>
          <a:off x="3429000" y="15563022"/>
          <a:ext cx="372717" cy="265043"/>
          <a:chOff x="3429000" y="15563022"/>
          <a:chExt cx="372717" cy="265043"/>
        </a:xfrm>
      </xdr:grpSpPr>
      <xdr:cxnSp macro="">
        <xdr:nvCxnSpPr>
          <xdr:cNvPr id="8" name="Straight Connector 7"/>
          <xdr:cNvCxnSpPr/>
        </xdr:nvCxnSpPr>
        <xdr:spPr>
          <a:xfrm>
            <a:off x="3429000" y="15563022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3429000" y="1562928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3429000" y="1569554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>
            <a:off x="3429000" y="15770087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429000" y="15828065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521803</xdr:colOff>
      <xdr:row>64</xdr:row>
      <xdr:rowOff>124238</xdr:rowOff>
    </xdr:from>
    <xdr:to>
      <xdr:col>8</xdr:col>
      <xdr:colOff>91183</xdr:colOff>
      <xdr:row>71</xdr:row>
      <xdr:rowOff>24847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4" y="18478499"/>
          <a:ext cx="2898989" cy="21037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480391</xdr:colOff>
      <xdr:row>65</xdr:row>
      <xdr:rowOff>198781</xdr:rowOff>
    </xdr:from>
    <xdr:to>
      <xdr:col>5</xdr:col>
      <xdr:colOff>786848</xdr:colOff>
      <xdr:row>66</xdr:row>
      <xdr:rowOff>149085</xdr:rowOff>
    </xdr:to>
    <xdr:grpSp>
      <xdr:nvGrpSpPr>
        <xdr:cNvPr id="15" name="Group 14"/>
        <xdr:cNvGrpSpPr/>
      </xdr:nvGrpSpPr>
      <xdr:grpSpPr>
        <a:xfrm>
          <a:off x="3528391" y="18867781"/>
          <a:ext cx="306457" cy="265043"/>
          <a:chOff x="3429000" y="15563022"/>
          <a:chExt cx="372717" cy="265043"/>
        </a:xfrm>
      </xdr:grpSpPr>
      <xdr:cxnSp macro="">
        <xdr:nvCxnSpPr>
          <xdr:cNvPr id="16" name="Straight Connector 15"/>
          <xdr:cNvCxnSpPr/>
        </xdr:nvCxnSpPr>
        <xdr:spPr>
          <a:xfrm>
            <a:off x="3429000" y="15563022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>
            <a:off x="3429000" y="1562928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>
            <a:off x="3429000" y="1569554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3429000" y="15770087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3429000" y="15828065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157369</xdr:colOff>
      <xdr:row>74</xdr:row>
      <xdr:rowOff>132522</xdr:rowOff>
    </xdr:from>
    <xdr:to>
      <xdr:col>8</xdr:col>
      <xdr:colOff>157369</xdr:colOff>
      <xdr:row>82</xdr:row>
      <xdr:rowOff>130144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9630" y="21485087"/>
          <a:ext cx="3329609" cy="2515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422412</xdr:colOff>
      <xdr:row>85</xdr:row>
      <xdr:rowOff>198782</xdr:rowOff>
    </xdr:from>
    <xdr:to>
      <xdr:col>8</xdr:col>
      <xdr:colOff>132521</xdr:colOff>
      <xdr:row>93</xdr:row>
      <xdr:rowOff>20851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608" y="24864391"/>
          <a:ext cx="3627783" cy="2339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96</xdr:row>
      <xdr:rowOff>248478</xdr:rowOff>
    </xdr:from>
    <xdr:to>
      <xdr:col>5</xdr:col>
      <xdr:colOff>1316935</xdr:colOff>
      <xdr:row>103</xdr:row>
      <xdr:rowOff>312990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28227130"/>
          <a:ext cx="1200979" cy="22676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</xdr:colOff>
      <xdr:row>107</xdr:row>
      <xdr:rowOff>107674</xdr:rowOff>
    </xdr:from>
    <xdr:to>
      <xdr:col>5</xdr:col>
      <xdr:colOff>1432891</xdr:colOff>
      <xdr:row>115</xdr:row>
      <xdr:rowOff>185869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8" y="31399370"/>
          <a:ext cx="1374913" cy="2596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339586</xdr:colOff>
      <xdr:row>119</xdr:row>
      <xdr:rowOff>82825</xdr:rowOff>
    </xdr:from>
    <xdr:to>
      <xdr:col>9</xdr:col>
      <xdr:colOff>164781</xdr:colOff>
      <xdr:row>125</xdr:row>
      <xdr:rowOff>33129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782" y="35002303"/>
          <a:ext cx="4330934" cy="1838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414130</xdr:colOff>
      <xdr:row>130</xdr:row>
      <xdr:rowOff>182217</xdr:rowOff>
    </xdr:from>
    <xdr:to>
      <xdr:col>9</xdr:col>
      <xdr:colOff>58735</xdr:colOff>
      <xdr:row>136</xdr:row>
      <xdr:rowOff>49695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8326" y="38414739"/>
          <a:ext cx="4150344" cy="1755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530086</xdr:colOff>
      <xdr:row>120</xdr:row>
      <xdr:rowOff>207064</xdr:rowOff>
    </xdr:from>
    <xdr:to>
      <xdr:col>5</xdr:col>
      <xdr:colOff>679174</xdr:colOff>
      <xdr:row>121</xdr:row>
      <xdr:rowOff>265042</xdr:rowOff>
    </xdr:to>
    <xdr:grpSp>
      <xdr:nvGrpSpPr>
        <xdr:cNvPr id="27" name="Group 26"/>
        <xdr:cNvGrpSpPr/>
      </xdr:nvGrpSpPr>
      <xdr:grpSpPr>
        <a:xfrm>
          <a:off x="2882347" y="35441281"/>
          <a:ext cx="844827" cy="372718"/>
          <a:chOff x="3429000" y="15563022"/>
          <a:chExt cx="372717" cy="265043"/>
        </a:xfrm>
      </xdr:grpSpPr>
      <xdr:cxnSp macro="">
        <xdr:nvCxnSpPr>
          <xdr:cNvPr id="28" name="Straight Connector 27"/>
          <xdr:cNvCxnSpPr/>
        </xdr:nvCxnSpPr>
        <xdr:spPr>
          <a:xfrm>
            <a:off x="3429000" y="15563022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>
            <a:off x="3429000" y="1562928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>
            <a:off x="3429000" y="1569554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>
            <a:off x="3429000" y="15770087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Connector 31"/>
          <xdr:cNvCxnSpPr/>
        </xdr:nvCxnSpPr>
        <xdr:spPr>
          <a:xfrm>
            <a:off x="3429000" y="15828065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588066</xdr:colOff>
      <xdr:row>131</xdr:row>
      <xdr:rowOff>298173</xdr:rowOff>
    </xdr:from>
    <xdr:to>
      <xdr:col>5</xdr:col>
      <xdr:colOff>646043</xdr:colOff>
      <xdr:row>133</xdr:row>
      <xdr:rowOff>41413</xdr:rowOff>
    </xdr:to>
    <xdr:grpSp>
      <xdr:nvGrpSpPr>
        <xdr:cNvPr id="33" name="Group 32"/>
        <xdr:cNvGrpSpPr/>
      </xdr:nvGrpSpPr>
      <xdr:grpSpPr>
        <a:xfrm>
          <a:off x="2940327" y="38845434"/>
          <a:ext cx="753716" cy="372718"/>
          <a:chOff x="3429000" y="15563022"/>
          <a:chExt cx="372717" cy="265043"/>
        </a:xfrm>
      </xdr:grpSpPr>
      <xdr:cxnSp macro="">
        <xdr:nvCxnSpPr>
          <xdr:cNvPr id="34" name="Straight Connector 33"/>
          <xdr:cNvCxnSpPr/>
        </xdr:nvCxnSpPr>
        <xdr:spPr>
          <a:xfrm>
            <a:off x="3429000" y="15563022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>
            <a:off x="3429000" y="1562928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>
            <a:off x="3429000" y="1569554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Straight Connector 36"/>
          <xdr:cNvCxnSpPr/>
        </xdr:nvCxnSpPr>
        <xdr:spPr>
          <a:xfrm>
            <a:off x="3429000" y="15770087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Straight Connector 37"/>
          <xdr:cNvCxnSpPr/>
        </xdr:nvCxnSpPr>
        <xdr:spPr>
          <a:xfrm>
            <a:off x="3429000" y="15828065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538368</xdr:colOff>
      <xdr:row>140</xdr:row>
      <xdr:rowOff>91105</xdr:rowOff>
    </xdr:from>
    <xdr:to>
      <xdr:col>8</xdr:col>
      <xdr:colOff>579781</xdr:colOff>
      <xdr:row>148</xdr:row>
      <xdr:rowOff>260162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564" y="41321931"/>
          <a:ext cx="3959087" cy="2686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173934</xdr:colOff>
      <xdr:row>152</xdr:row>
      <xdr:rowOff>165652</xdr:rowOff>
    </xdr:from>
    <xdr:to>
      <xdr:col>8</xdr:col>
      <xdr:colOff>123727</xdr:colOff>
      <xdr:row>158</xdr:row>
      <xdr:rowOff>49696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195" y="45024261"/>
          <a:ext cx="3279402" cy="1772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256761</xdr:colOff>
      <xdr:row>163</xdr:row>
      <xdr:rowOff>115957</xdr:rowOff>
    </xdr:from>
    <xdr:to>
      <xdr:col>9</xdr:col>
      <xdr:colOff>157370</xdr:colOff>
      <xdr:row>169</xdr:row>
      <xdr:rowOff>116488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0957" y="48287609"/>
          <a:ext cx="4406348" cy="18889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157369</xdr:colOff>
      <xdr:row>153</xdr:row>
      <xdr:rowOff>256761</xdr:rowOff>
    </xdr:from>
    <xdr:to>
      <xdr:col>5</xdr:col>
      <xdr:colOff>679174</xdr:colOff>
      <xdr:row>154</xdr:row>
      <xdr:rowOff>273326</xdr:rowOff>
    </xdr:to>
    <xdr:grpSp>
      <xdr:nvGrpSpPr>
        <xdr:cNvPr id="42" name="Group 41"/>
        <xdr:cNvGrpSpPr/>
      </xdr:nvGrpSpPr>
      <xdr:grpSpPr>
        <a:xfrm>
          <a:off x="3205369" y="45430109"/>
          <a:ext cx="521805" cy="331304"/>
          <a:chOff x="3429000" y="15563022"/>
          <a:chExt cx="372717" cy="265043"/>
        </a:xfrm>
      </xdr:grpSpPr>
      <xdr:cxnSp macro="">
        <xdr:nvCxnSpPr>
          <xdr:cNvPr id="43" name="Straight Connector 42"/>
          <xdr:cNvCxnSpPr/>
        </xdr:nvCxnSpPr>
        <xdr:spPr>
          <a:xfrm>
            <a:off x="3429000" y="15563022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Connector 43"/>
          <xdr:cNvCxnSpPr/>
        </xdr:nvCxnSpPr>
        <xdr:spPr>
          <a:xfrm>
            <a:off x="3429000" y="1562928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Straight Connector 44"/>
          <xdr:cNvCxnSpPr/>
        </xdr:nvCxnSpPr>
        <xdr:spPr>
          <a:xfrm>
            <a:off x="3429000" y="1569554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Straight Connector 45"/>
          <xdr:cNvCxnSpPr/>
        </xdr:nvCxnSpPr>
        <xdr:spPr>
          <a:xfrm>
            <a:off x="3429000" y="15770087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Straight Connector 46"/>
          <xdr:cNvCxnSpPr/>
        </xdr:nvCxnSpPr>
        <xdr:spPr>
          <a:xfrm>
            <a:off x="3429000" y="15828065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472109</xdr:colOff>
      <xdr:row>164</xdr:row>
      <xdr:rowOff>273326</xdr:rowOff>
    </xdr:from>
    <xdr:to>
      <xdr:col>5</xdr:col>
      <xdr:colOff>596348</xdr:colOff>
      <xdr:row>165</xdr:row>
      <xdr:rowOff>289891</xdr:rowOff>
    </xdr:to>
    <xdr:grpSp>
      <xdr:nvGrpSpPr>
        <xdr:cNvPr id="48" name="Group 47"/>
        <xdr:cNvGrpSpPr/>
      </xdr:nvGrpSpPr>
      <xdr:grpSpPr>
        <a:xfrm>
          <a:off x="2824370" y="48759717"/>
          <a:ext cx="819978" cy="331304"/>
          <a:chOff x="3429000" y="15563022"/>
          <a:chExt cx="372717" cy="265043"/>
        </a:xfrm>
      </xdr:grpSpPr>
      <xdr:cxnSp macro="">
        <xdr:nvCxnSpPr>
          <xdr:cNvPr id="49" name="Straight Connector 48"/>
          <xdr:cNvCxnSpPr/>
        </xdr:nvCxnSpPr>
        <xdr:spPr>
          <a:xfrm>
            <a:off x="3429000" y="15563022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Straight Connector 49"/>
          <xdr:cNvCxnSpPr/>
        </xdr:nvCxnSpPr>
        <xdr:spPr>
          <a:xfrm>
            <a:off x="3429000" y="1562928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Straight Connector 50"/>
          <xdr:cNvCxnSpPr/>
        </xdr:nvCxnSpPr>
        <xdr:spPr>
          <a:xfrm>
            <a:off x="3429000" y="1569554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Straight Connector 51"/>
          <xdr:cNvCxnSpPr/>
        </xdr:nvCxnSpPr>
        <xdr:spPr>
          <a:xfrm>
            <a:off x="3429000" y="15770087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Straight Connector 52"/>
          <xdr:cNvCxnSpPr/>
        </xdr:nvCxnSpPr>
        <xdr:spPr>
          <a:xfrm>
            <a:off x="3429000" y="15828065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347869</xdr:colOff>
      <xdr:row>173</xdr:row>
      <xdr:rowOff>74545</xdr:rowOff>
    </xdr:from>
    <xdr:to>
      <xdr:col>6</xdr:col>
      <xdr:colOff>33131</xdr:colOff>
      <xdr:row>181</xdr:row>
      <xdr:rowOff>264744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30" y="51244502"/>
          <a:ext cx="2360544" cy="2708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488674</xdr:colOff>
      <xdr:row>184</xdr:row>
      <xdr:rowOff>215348</xdr:rowOff>
    </xdr:from>
    <xdr:to>
      <xdr:col>6</xdr:col>
      <xdr:colOff>82827</xdr:colOff>
      <xdr:row>191</xdr:row>
      <xdr:rowOff>283340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0935" y="54698348"/>
          <a:ext cx="2269435" cy="22711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306455</xdr:colOff>
      <xdr:row>196</xdr:row>
      <xdr:rowOff>82825</xdr:rowOff>
    </xdr:from>
    <xdr:to>
      <xdr:col>7</xdr:col>
      <xdr:colOff>149149</xdr:colOff>
      <xdr:row>202</xdr:row>
      <xdr:rowOff>298174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716" y="58193608"/>
          <a:ext cx="2907259" cy="21037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496954</xdr:colOff>
      <xdr:row>207</xdr:row>
      <xdr:rowOff>215348</xdr:rowOff>
    </xdr:from>
    <xdr:to>
      <xdr:col>8</xdr:col>
      <xdr:colOff>110357</xdr:colOff>
      <xdr:row>212</xdr:row>
      <xdr:rowOff>140804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150" y="61639174"/>
          <a:ext cx="3531077" cy="1499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480391</xdr:colOff>
      <xdr:row>217</xdr:row>
      <xdr:rowOff>115957</xdr:rowOff>
    </xdr:from>
    <xdr:to>
      <xdr:col>10</xdr:col>
      <xdr:colOff>405084</xdr:colOff>
      <xdr:row>225</xdr:row>
      <xdr:rowOff>273327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521" y="64538087"/>
          <a:ext cx="5606563" cy="2675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530085</xdr:colOff>
      <xdr:row>228</xdr:row>
      <xdr:rowOff>66261</xdr:rowOff>
    </xdr:from>
    <xdr:to>
      <xdr:col>8</xdr:col>
      <xdr:colOff>588064</xdr:colOff>
      <xdr:row>236</xdr:row>
      <xdr:rowOff>246560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281" y="67801435"/>
          <a:ext cx="3975653" cy="2698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513521</xdr:colOff>
      <xdr:row>240</xdr:row>
      <xdr:rowOff>107673</xdr:rowOff>
    </xdr:from>
    <xdr:to>
      <xdr:col>9</xdr:col>
      <xdr:colOff>137432</xdr:colOff>
      <xdr:row>246</xdr:row>
      <xdr:rowOff>99392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717" y="71470630"/>
          <a:ext cx="4129650" cy="1880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521803</xdr:colOff>
      <xdr:row>251</xdr:row>
      <xdr:rowOff>82826</xdr:rowOff>
    </xdr:from>
    <xdr:to>
      <xdr:col>9</xdr:col>
      <xdr:colOff>127528</xdr:colOff>
      <xdr:row>257</xdr:row>
      <xdr:rowOff>66260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9" y="74758826"/>
          <a:ext cx="4111464" cy="18718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273324</xdr:colOff>
      <xdr:row>261</xdr:row>
      <xdr:rowOff>91109</xdr:rowOff>
    </xdr:from>
    <xdr:to>
      <xdr:col>8</xdr:col>
      <xdr:colOff>107672</xdr:colOff>
      <xdr:row>269</xdr:row>
      <xdr:rowOff>230470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5585" y="77765413"/>
          <a:ext cx="3163957" cy="2657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190499</xdr:colOff>
      <xdr:row>272</xdr:row>
      <xdr:rowOff>82826</xdr:rowOff>
    </xdr:from>
    <xdr:to>
      <xdr:col>6</xdr:col>
      <xdr:colOff>33130</xdr:colOff>
      <xdr:row>280</xdr:row>
      <xdr:rowOff>261641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499" y="81070174"/>
          <a:ext cx="1822174" cy="2696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637760</xdr:colOff>
      <xdr:row>283</xdr:row>
      <xdr:rowOff>66260</xdr:rowOff>
    </xdr:from>
    <xdr:to>
      <xdr:col>6</xdr:col>
      <xdr:colOff>323022</xdr:colOff>
      <xdr:row>291</xdr:row>
      <xdr:rowOff>267468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021" y="84366651"/>
          <a:ext cx="2360544" cy="2719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16564</xdr:colOff>
      <xdr:row>295</xdr:row>
      <xdr:rowOff>107673</xdr:rowOff>
    </xdr:from>
    <xdr:to>
      <xdr:col>9</xdr:col>
      <xdr:colOff>124193</xdr:colOff>
      <xdr:row>301</xdr:row>
      <xdr:rowOff>33129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825" y="88035847"/>
          <a:ext cx="4025303" cy="1813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488674</xdr:colOff>
      <xdr:row>305</xdr:row>
      <xdr:rowOff>149087</xdr:rowOff>
    </xdr:from>
    <xdr:to>
      <xdr:col>6</xdr:col>
      <xdr:colOff>331305</xdr:colOff>
      <xdr:row>313</xdr:row>
      <xdr:rowOff>193311</xdr:rowOff>
    </xdr:to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0935" y="91075565"/>
          <a:ext cx="2517913" cy="25621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256758</xdr:colOff>
      <xdr:row>197</xdr:row>
      <xdr:rowOff>115955</xdr:rowOff>
    </xdr:from>
    <xdr:to>
      <xdr:col>5</xdr:col>
      <xdr:colOff>571499</xdr:colOff>
      <xdr:row>198</xdr:row>
      <xdr:rowOff>124239</xdr:rowOff>
    </xdr:to>
    <xdr:grpSp>
      <xdr:nvGrpSpPr>
        <xdr:cNvPr id="67" name="Group 66"/>
        <xdr:cNvGrpSpPr/>
      </xdr:nvGrpSpPr>
      <xdr:grpSpPr>
        <a:xfrm>
          <a:off x="3304758" y="58541477"/>
          <a:ext cx="314741" cy="323023"/>
          <a:chOff x="3429000" y="15563022"/>
          <a:chExt cx="372717" cy="265043"/>
        </a:xfrm>
      </xdr:grpSpPr>
      <xdr:cxnSp macro="">
        <xdr:nvCxnSpPr>
          <xdr:cNvPr id="68" name="Straight Connector 67"/>
          <xdr:cNvCxnSpPr/>
        </xdr:nvCxnSpPr>
        <xdr:spPr>
          <a:xfrm>
            <a:off x="3429000" y="15563022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9" name="Straight Connector 68"/>
          <xdr:cNvCxnSpPr/>
        </xdr:nvCxnSpPr>
        <xdr:spPr>
          <a:xfrm>
            <a:off x="3429000" y="1562928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Straight Connector 69"/>
          <xdr:cNvCxnSpPr/>
        </xdr:nvCxnSpPr>
        <xdr:spPr>
          <a:xfrm>
            <a:off x="3429000" y="1569554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1" name="Straight Connector 70"/>
          <xdr:cNvCxnSpPr/>
        </xdr:nvCxnSpPr>
        <xdr:spPr>
          <a:xfrm>
            <a:off x="3429000" y="15770087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2" name="Straight Connector 71"/>
          <xdr:cNvCxnSpPr/>
        </xdr:nvCxnSpPr>
        <xdr:spPr>
          <a:xfrm>
            <a:off x="3429000" y="15828065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554932</xdr:colOff>
      <xdr:row>208</xdr:row>
      <xdr:rowOff>256761</xdr:rowOff>
    </xdr:from>
    <xdr:to>
      <xdr:col>5</xdr:col>
      <xdr:colOff>538370</xdr:colOff>
      <xdr:row>209</xdr:row>
      <xdr:rowOff>289892</xdr:rowOff>
    </xdr:to>
    <xdr:grpSp>
      <xdr:nvGrpSpPr>
        <xdr:cNvPr id="73" name="Group 72"/>
        <xdr:cNvGrpSpPr/>
      </xdr:nvGrpSpPr>
      <xdr:grpSpPr>
        <a:xfrm>
          <a:off x="2907193" y="61995326"/>
          <a:ext cx="679177" cy="347870"/>
          <a:chOff x="3429000" y="15563022"/>
          <a:chExt cx="372717" cy="265043"/>
        </a:xfrm>
      </xdr:grpSpPr>
      <xdr:cxnSp macro="">
        <xdr:nvCxnSpPr>
          <xdr:cNvPr id="74" name="Straight Connector 73"/>
          <xdr:cNvCxnSpPr/>
        </xdr:nvCxnSpPr>
        <xdr:spPr>
          <a:xfrm>
            <a:off x="3429000" y="15563022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Straight Connector 74"/>
          <xdr:cNvCxnSpPr/>
        </xdr:nvCxnSpPr>
        <xdr:spPr>
          <a:xfrm>
            <a:off x="3429000" y="1562928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Straight Connector 75"/>
          <xdr:cNvCxnSpPr/>
        </xdr:nvCxnSpPr>
        <xdr:spPr>
          <a:xfrm>
            <a:off x="3429000" y="1569554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Straight Connector 76"/>
          <xdr:cNvCxnSpPr/>
        </xdr:nvCxnSpPr>
        <xdr:spPr>
          <a:xfrm>
            <a:off x="3429000" y="15770087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Straight Connector 77"/>
          <xdr:cNvCxnSpPr/>
        </xdr:nvCxnSpPr>
        <xdr:spPr>
          <a:xfrm>
            <a:off x="3429000" y="15828065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24847</xdr:colOff>
      <xdr:row>241</xdr:row>
      <xdr:rowOff>256761</xdr:rowOff>
    </xdr:from>
    <xdr:to>
      <xdr:col>5</xdr:col>
      <xdr:colOff>612913</xdr:colOff>
      <xdr:row>242</xdr:row>
      <xdr:rowOff>289892</xdr:rowOff>
    </xdr:to>
    <xdr:grpSp>
      <xdr:nvGrpSpPr>
        <xdr:cNvPr id="79" name="Group 78"/>
        <xdr:cNvGrpSpPr/>
      </xdr:nvGrpSpPr>
      <xdr:grpSpPr>
        <a:xfrm>
          <a:off x="3072847" y="71934457"/>
          <a:ext cx="588066" cy="347870"/>
          <a:chOff x="3429000" y="15563022"/>
          <a:chExt cx="372717" cy="265043"/>
        </a:xfrm>
      </xdr:grpSpPr>
      <xdr:cxnSp macro="">
        <xdr:nvCxnSpPr>
          <xdr:cNvPr id="80" name="Straight Connector 79"/>
          <xdr:cNvCxnSpPr/>
        </xdr:nvCxnSpPr>
        <xdr:spPr>
          <a:xfrm>
            <a:off x="3429000" y="15563022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Straight Connector 80"/>
          <xdr:cNvCxnSpPr/>
        </xdr:nvCxnSpPr>
        <xdr:spPr>
          <a:xfrm>
            <a:off x="3429000" y="1562928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Straight Connector 81"/>
          <xdr:cNvCxnSpPr/>
        </xdr:nvCxnSpPr>
        <xdr:spPr>
          <a:xfrm>
            <a:off x="3429000" y="1569554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Straight Connector 82"/>
          <xdr:cNvCxnSpPr/>
        </xdr:nvCxnSpPr>
        <xdr:spPr>
          <a:xfrm>
            <a:off x="3429000" y="15770087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Straight Connector 83"/>
          <xdr:cNvCxnSpPr/>
        </xdr:nvCxnSpPr>
        <xdr:spPr>
          <a:xfrm>
            <a:off x="3429000" y="15828065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33129</xdr:colOff>
      <xdr:row>252</xdr:row>
      <xdr:rowOff>231914</xdr:rowOff>
    </xdr:from>
    <xdr:to>
      <xdr:col>5</xdr:col>
      <xdr:colOff>621195</xdr:colOff>
      <xdr:row>253</xdr:row>
      <xdr:rowOff>265045</xdr:rowOff>
    </xdr:to>
    <xdr:grpSp>
      <xdr:nvGrpSpPr>
        <xdr:cNvPr id="85" name="Group 84"/>
        <xdr:cNvGrpSpPr/>
      </xdr:nvGrpSpPr>
      <xdr:grpSpPr>
        <a:xfrm>
          <a:off x="3081129" y="75222653"/>
          <a:ext cx="588066" cy="347870"/>
          <a:chOff x="3429000" y="15563022"/>
          <a:chExt cx="372717" cy="265043"/>
        </a:xfrm>
      </xdr:grpSpPr>
      <xdr:cxnSp macro="">
        <xdr:nvCxnSpPr>
          <xdr:cNvPr id="86" name="Straight Connector 85"/>
          <xdr:cNvCxnSpPr/>
        </xdr:nvCxnSpPr>
        <xdr:spPr>
          <a:xfrm>
            <a:off x="3429000" y="15563022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7" name="Straight Connector 86"/>
          <xdr:cNvCxnSpPr/>
        </xdr:nvCxnSpPr>
        <xdr:spPr>
          <a:xfrm>
            <a:off x="3429000" y="1562928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Straight Connector 87"/>
          <xdr:cNvCxnSpPr/>
        </xdr:nvCxnSpPr>
        <xdr:spPr>
          <a:xfrm>
            <a:off x="3429000" y="1569554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Straight Connector 88"/>
          <xdr:cNvCxnSpPr/>
        </xdr:nvCxnSpPr>
        <xdr:spPr>
          <a:xfrm>
            <a:off x="3429000" y="15770087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Straight Connector 89"/>
          <xdr:cNvCxnSpPr/>
        </xdr:nvCxnSpPr>
        <xdr:spPr>
          <a:xfrm>
            <a:off x="3429000" y="15828065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107673</xdr:colOff>
      <xdr:row>296</xdr:row>
      <xdr:rowOff>231912</xdr:rowOff>
    </xdr:from>
    <xdr:to>
      <xdr:col>5</xdr:col>
      <xdr:colOff>695739</xdr:colOff>
      <xdr:row>297</xdr:row>
      <xdr:rowOff>265043</xdr:rowOff>
    </xdr:to>
    <xdr:grpSp>
      <xdr:nvGrpSpPr>
        <xdr:cNvPr id="91" name="Group 90"/>
        <xdr:cNvGrpSpPr/>
      </xdr:nvGrpSpPr>
      <xdr:grpSpPr>
        <a:xfrm>
          <a:off x="3155673" y="88474825"/>
          <a:ext cx="588066" cy="347870"/>
          <a:chOff x="3429000" y="15563022"/>
          <a:chExt cx="372717" cy="265043"/>
        </a:xfrm>
      </xdr:grpSpPr>
      <xdr:cxnSp macro="">
        <xdr:nvCxnSpPr>
          <xdr:cNvPr id="92" name="Straight Connector 91"/>
          <xdr:cNvCxnSpPr/>
        </xdr:nvCxnSpPr>
        <xdr:spPr>
          <a:xfrm>
            <a:off x="3429000" y="15563022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3" name="Straight Connector 92"/>
          <xdr:cNvCxnSpPr/>
        </xdr:nvCxnSpPr>
        <xdr:spPr>
          <a:xfrm>
            <a:off x="3429000" y="1562928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Straight Connector 93"/>
          <xdr:cNvCxnSpPr/>
        </xdr:nvCxnSpPr>
        <xdr:spPr>
          <a:xfrm>
            <a:off x="3429000" y="15695543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Straight Connector 94"/>
          <xdr:cNvCxnSpPr/>
        </xdr:nvCxnSpPr>
        <xdr:spPr>
          <a:xfrm>
            <a:off x="3429000" y="15770087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Straight Connector 95"/>
          <xdr:cNvCxnSpPr/>
        </xdr:nvCxnSpPr>
        <xdr:spPr>
          <a:xfrm>
            <a:off x="3429000" y="15828065"/>
            <a:ext cx="372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306" sqref="C306:K314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ABPL-DE-19.20-2205</v>
      </c>
      <c r="O2" s="540"/>
      <c r="P2" s="219" t="s">
        <v>256</v>
      </c>
    </row>
    <row r="3" spans="2:16">
      <c r="B3" s="218"/>
      <c r="C3" s="538" t="s">
        <v>126</v>
      </c>
      <c r="D3" s="538"/>
      <c r="E3" s="538"/>
      <c r="F3" s="540" t="str">
        <f>QUOTATION!F7</f>
        <v>Ar. Venkat</v>
      </c>
      <c r="G3" s="540"/>
      <c r="H3" s="540"/>
      <c r="I3" s="540"/>
      <c r="J3" s="540"/>
      <c r="K3" s="540"/>
      <c r="L3" s="540"/>
      <c r="M3" s="284" t="s">
        <v>104</v>
      </c>
      <c r="N3" s="545">
        <f>QUOTATION!M7</f>
        <v>43734</v>
      </c>
      <c r="O3" s="546"/>
      <c r="P3" s="219" t="s">
        <v>255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1" t="s">
        <v>179</v>
      </c>
      <c r="J4" s="541"/>
      <c r="K4" s="540" t="str">
        <f>QUOTATION!I8</f>
        <v>1.3Kpa</v>
      </c>
      <c r="L4" s="540"/>
      <c r="M4" s="284" t="s">
        <v>105</v>
      </c>
      <c r="N4" s="286" t="str">
        <f>QUOTATION!M8</f>
        <v>R0</v>
      </c>
      <c r="O4" s="287">
        <f>QUOTATION!N8</f>
        <v>43734</v>
      </c>
    </row>
    <row r="5" spans="2:16">
      <c r="B5" s="218"/>
      <c r="C5" s="538" t="s">
        <v>168</v>
      </c>
      <c r="D5" s="538"/>
      <c r="E5" s="538"/>
      <c r="F5" s="540" t="str">
        <f>QUOTATION!F9</f>
        <v>Ms. Prathyusha : 8008103067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Bal Kumari</v>
      </c>
      <c r="O5" s="540"/>
    </row>
    <row r="6" spans="2:16">
      <c r="B6" s="218"/>
      <c r="C6" s="538" t="s">
        <v>176</v>
      </c>
      <c r="D6" s="538"/>
      <c r="E6" s="538"/>
      <c r="F6" s="285" t="str">
        <f>QUOTATION!F10</f>
        <v>Powder Coating</v>
      </c>
      <c r="G6" s="538"/>
      <c r="H6" s="538"/>
      <c r="I6" s="541" t="s">
        <v>177</v>
      </c>
      <c r="J6" s="541"/>
      <c r="K6" s="540" t="str">
        <f>QUOTATION!I10</f>
        <v>Black</v>
      </c>
      <c r="L6" s="540"/>
      <c r="M6" s="320" t="s">
        <v>373</v>
      </c>
      <c r="N6" s="547">
        <f>'BD Team'!J5</f>
        <v>0</v>
      </c>
      <c r="O6" s="548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253</v>
      </c>
      <c r="D8" s="538"/>
      <c r="E8" s="286" t="str">
        <f>'BD Team'!B9</f>
        <v>CW1</v>
      </c>
      <c r="F8" s="288" t="s">
        <v>254</v>
      </c>
      <c r="G8" s="540" t="str">
        <f>'BD Team'!D9</f>
        <v>FIXED GLASS CORNOR WINDOW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GF - LIVING ROOM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246</v>
      </c>
      <c r="M10" s="538"/>
      <c r="N10" s="540" t="str">
        <f>$F$6</f>
        <v>Powder Coating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177</v>
      </c>
      <c r="M11" s="538"/>
      <c r="N11" s="540" t="str">
        <f>$K$6</f>
        <v>Black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247</v>
      </c>
      <c r="M12" s="538"/>
      <c r="N12" s="549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248</v>
      </c>
      <c r="M13" s="538"/>
      <c r="N13" s="540" t="str">
        <f>CONCATENATE('BD Team'!H9," X ",'BD Team'!I9)</f>
        <v>4344 X 2364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249</v>
      </c>
      <c r="M14" s="538"/>
      <c r="N14" s="539">
        <f>'BD Team'!J9</f>
        <v>1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250</v>
      </c>
      <c r="M15" s="538"/>
      <c r="N15" s="540" t="str">
        <f>'BD Team'!C9</f>
        <v>M15000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251</v>
      </c>
      <c r="M16" s="538"/>
      <c r="N16" s="540" t="str">
        <f>'BD Team'!E9</f>
        <v>10MM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252</v>
      </c>
      <c r="M17" s="538"/>
      <c r="N17" s="540" t="str">
        <f>'BD Team'!F9</f>
        <v>NO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253</v>
      </c>
      <c r="D19" s="538"/>
      <c r="E19" s="286" t="str">
        <f>'BD Team'!B10</f>
        <v>W1</v>
      </c>
      <c r="F19" s="288" t="s">
        <v>254</v>
      </c>
      <c r="G19" s="540" t="str">
        <f>'BD Team'!D10</f>
        <v>3 TRACK 2 SHUTTER SLIDING WINDOW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GF - FIRST LIVING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246</v>
      </c>
      <c r="M21" s="538"/>
      <c r="N21" s="540" t="str">
        <f>$F$6</f>
        <v>Powder Coating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177</v>
      </c>
      <c r="M22" s="538"/>
      <c r="N22" s="540" t="str">
        <f>$K$6</f>
        <v>Black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247</v>
      </c>
      <c r="M23" s="538"/>
      <c r="N23" s="543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248</v>
      </c>
      <c r="M24" s="538"/>
      <c r="N24" s="540" t="str">
        <f>CONCATENATE('BD Team'!H10," X ",'BD Team'!I10)</f>
        <v>2350 X 1246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249</v>
      </c>
      <c r="M25" s="538"/>
      <c r="N25" s="539">
        <f>'BD Team'!J10</f>
        <v>1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250</v>
      </c>
      <c r="M26" s="538"/>
      <c r="N26" s="540" t="str">
        <f>'BD Team'!C10</f>
        <v>M900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251</v>
      </c>
      <c r="M27" s="538"/>
      <c r="N27" s="540" t="str">
        <f>'BD Team'!E10</f>
        <v>6MM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252</v>
      </c>
      <c r="M28" s="538"/>
      <c r="N28" s="540" t="str">
        <f>'BD Team'!F10</f>
        <v>SS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253</v>
      </c>
      <c r="D30" s="538"/>
      <c r="E30" s="286" t="str">
        <f>'BD Team'!B11</f>
        <v>W2</v>
      </c>
      <c r="F30" s="288" t="s">
        <v>254</v>
      </c>
      <c r="G30" s="540" t="str">
        <f>'BD Team'!D11</f>
        <v>SIDE HUNG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 t="str">
        <f>'BD Team'!G11</f>
        <v>GF - MASTER BEDROOM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246</v>
      </c>
      <c r="M32" s="538"/>
      <c r="N32" s="540" t="str">
        <f>$F$6</f>
        <v>Powder Coating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177</v>
      </c>
      <c r="M33" s="538"/>
      <c r="N33" s="540" t="str">
        <f>$K$6</f>
        <v>Black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247</v>
      </c>
      <c r="M34" s="538"/>
      <c r="N34" s="543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248</v>
      </c>
      <c r="M35" s="538"/>
      <c r="N35" s="540" t="str">
        <f>CONCATENATE('BD Team'!H11," X ",'BD Team'!I11)</f>
        <v>680 X 1270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249</v>
      </c>
      <c r="M36" s="538"/>
      <c r="N36" s="539">
        <f>'BD Team'!J11</f>
        <v>1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250</v>
      </c>
      <c r="M37" s="538"/>
      <c r="N37" s="540" t="str">
        <f>'BD Team'!C11</f>
        <v>M15000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251</v>
      </c>
      <c r="M38" s="538"/>
      <c r="N38" s="540" t="str">
        <f>'BD Team'!E11</f>
        <v>6MM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252</v>
      </c>
      <c r="M39" s="538"/>
      <c r="N39" s="540" t="str">
        <f>'BD Team'!F11</f>
        <v>NO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253</v>
      </c>
      <c r="D41" s="538"/>
      <c r="E41" s="286" t="str">
        <f>'BD Team'!B12</f>
        <v>W3</v>
      </c>
      <c r="F41" s="288" t="s">
        <v>254</v>
      </c>
      <c r="G41" s="540" t="str">
        <f>'BD Team'!D12</f>
        <v>SIDE HUNG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 t="str">
        <f>'BD Team'!G12</f>
        <v>GF - MASTER BEDROOM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246</v>
      </c>
      <c r="M43" s="538"/>
      <c r="N43" s="540" t="str">
        <f>$F$6</f>
        <v>Powder Coating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177</v>
      </c>
      <c r="M44" s="538"/>
      <c r="N44" s="540" t="str">
        <f>$K$6</f>
        <v>Black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247</v>
      </c>
      <c r="M45" s="538"/>
      <c r="N45" s="543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248</v>
      </c>
      <c r="M46" s="538"/>
      <c r="N46" s="540" t="str">
        <f>CONCATENATE('BD Team'!H12," X ",'BD Team'!I12)</f>
        <v>686 X 1270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249</v>
      </c>
      <c r="M47" s="538"/>
      <c r="N47" s="539">
        <f>'BD Team'!J12</f>
        <v>1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250</v>
      </c>
      <c r="M48" s="538"/>
      <c r="N48" s="540" t="str">
        <f>'BD Team'!C12</f>
        <v>M15000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251</v>
      </c>
      <c r="M49" s="538"/>
      <c r="N49" s="540" t="str">
        <f>'BD Team'!E12</f>
        <v>6MM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252</v>
      </c>
      <c r="M50" s="538"/>
      <c r="N50" s="540" t="str">
        <f>'BD Team'!F12</f>
        <v>NO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253</v>
      </c>
      <c r="D52" s="538"/>
      <c r="E52" s="286" t="str">
        <f>'BD Team'!B13</f>
        <v>V1</v>
      </c>
      <c r="F52" s="288" t="s">
        <v>254</v>
      </c>
      <c r="G52" s="540" t="str">
        <f>'BD Team'!D13</f>
        <v>FIXED GLASS WITH GLASS LOUVERS AND EXHAUST PROVISION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 t="str">
        <f>'BD Team'!G13</f>
        <v>GF - MASTER TOILET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246</v>
      </c>
      <c r="M54" s="538"/>
      <c r="N54" s="540" t="str">
        <f>$F$6</f>
        <v>Powder Coating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177</v>
      </c>
      <c r="M55" s="538"/>
      <c r="N55" s="540" t="str">
        <f>$K$6</f>
        <v>Black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247</v>
      </c>
      <c r="M56" s="538"/>
      <c r="N56" s="543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248</v>
      </c>
      <c r="M57" s="538"/>
      <c r="N57" s="540" t="str">
        <f>CONCATENATE('BD Team'!H13," X ",'BD Team'!I13)</f>
        <v>548 X 788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249</v>
      </c>
      <c r="M58" s="538"/>
      <c r="N58" s="539">
        <f>'BD Team'!J13</f>
        <v>1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250</v>
      </c>
      <c r="M59" s="538"/>
      <c r="N59" s="540" t="str">
        <f>'BD Team'!C13</f>
        <v>M940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251</v>
      </c>
      <c r="M60" s="538"/>
      <c r="N60" s="540" t="str">
        <f>'BD Team'!E13</f>
        <v>6MM (F)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252</v>
      </c>
      <c r="M61" s="538"/>
      <c r="N61" s="540" t="str">
        <f>'BD Team'!F13</f>
        <v>NO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253</v>
      </c>
      <c r="D63" s="538"/>
      <c r="E63" s="286" t="str">
        <f>'BD Team'!B14</f>
        <v>V2</v>
      </c>
      <c r="F63" s="288" t="s">
        <v>254</v>
      </c>
      <c r="G63" s="540" t="str">
        <f>'BD Team'!D14</f>
        <v>FIXED GLASS WITH GLASS LOUVERS AND EXHAUST PROVISION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127</v>
      </c>
      <c r="M64" s="538"/>
      <c r="N64" s="543" t="str">
        <f>'BD Team'!G14</f>
        <v>GF - MASTER TOILET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246</v>
      </c>
      <c r="M65" s="538"/>
      <c r="N65" s="540" t="str">
        <f>$F$6</f>
        <v>Powder Coating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177</v>
      </c>
      <c r="M66" s="538"/>
      <c r="N66" s="540" t="str">
        <f>$K$6</f>
        <v>Black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247</v>
      </c>
      <c r="M67" s="538"/>
      <c r="N67" s="543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248</v>
      </c>
      <c r="M68" s="538"/>
      <c r="N68" s="540" t="str">
        <f>CONCATENATE('BD Team'!H14," X ",'BD Team'!I14)</f>
        <v>458 X 788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249</v>
      </c>
      <c r="M69" s="538"/>
      <c r="N69" s="539">
        <f>'BD Team'!J14</f>
        <v>1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250</v>
      </c>
      <c r="M70" s="538"/>
      <c r="N70" s="540" t="str">
        <f>'BD Team'!C14</f>
        <v>M940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251</v>
      </c>
      <c r="M71" s="538"/>
      <c r="N71" s="540" t="str">
        <f>'BD Team'!E14</f>
        <v>6MM (F)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252</v>
      </c>
      <c r="M72" s="538"/>
      <c r="N72" s="540" t="str">
        <f>'BD Team'!F14</f>
        <v>NO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253</v>
      </c>
      <c r="D74" s="538"/>
      <c r="E74" s="286" t="str">
        <f>'BD Team'!B15</f>
        <v>W4</v>
      </c>
      <c r="F74" s="288" t="s">
        <v>254</v>
      </c>
      <c r="G74" s="540" t="str">
        <f>'BD Team'!D15</f>
        <v>3 TRACK 2 SHUTTER SLIDING WINDOW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127</v>
      </c>
      <c r="M75" s="538"/>
      <c r="N75" s="543" t="str">
        <f>'BD Team'!G15</f>
        <v>GF - DINING HALL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246</v>
      </c>
      <c r="M76" s="538"/>
      <c r="N76" s="540" t="str">
        <f>$F$6</f>
        <v>Powder Coating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177</v>
      </c>
      <c r="M77" s="538"/>
      <c r="N77" s="540" t="str">
        <f>$K$6</f>
        <v>Black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247</v>
      </c>
      <c r="M78" s="538"/>
      <c r="N78" s="543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248</v>
      </c>
      <c r="M79" s="538"/>
      <c r="N79" s="540" t="str">
        <f>CONCATENATE('BD Team'!H15," X ",'BD Team'!I15)</f>
        <v>2338 X 1240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249</v>
      </c>
      <c r="M80" s="538"/>
      <c r="N80" s="539">
        <f>'BD Team'!J15</f>
        <v>1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250</v>
      </c>
      <c r="M81" s="538"/>
      <c r="N81" s="540" t="str">
        <f>'BD Team'!C15</f>
        <v>M900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251</v>
      </c>
      <c r="M82" s="538"/>
      <c r="N82" s="540" t="str">
        <f>'BD Team'!E15</f>
        <v>6MM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252</v>
      </c>
      <c r="M83" s="538"/>
      <c r="N83" s="540" t="str">
        <f>'BD Team'!F15</f>
        <v>SS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253</v>
      </c>
      <c r="D85" s="538"/>
      <c r="E85" s="286" t="str">
        <f>'BD Team'!B16</f>
        <v>W5</v>
      </c>
      <c r="F85" s="288" t="s">
        <v>254</v>
      </c>
      <c r="G85" s="540" t="str">
        <f>'BD Team'!D16</f>
        <v>3 TRACK 2 SHUTTER SLIDING WINDOW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127</v>
      </c>
      <c r="M86" s="538"/>
      <c r="N86" s="543" t="str">
        <f>'BD Team'!G16</f>
        <v>GF - KITCHEN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246</v>
      </c>
      <c r="M87" s="538"/>
      <c r="N87" s="540" t="str">
        <f>$F$6</f>
        <v>Powder Coating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177</v>
      </c>
      <c r="M88" s="538"/>
      <c r="N88" s="540" t="str">
        <f>$K$6</f>
        <v>Black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247</v>
      </c>
      <c r="M89" s="538"/>
      <c r="N89" s="543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248</v>
      </c>
      <c r="M90" s="538"/>
      <c r="N90" s="540" t="str">
        <f>CONCATENATE('BD Team'!H16," X ",'BD Team'!I16)</f>
        <v>2364 X 992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249</v>
      </c>
      <c r="M91" s="538"/>
      <c r="N91" s="539">
        <f>'BD Team'!J16</f>
        <v>1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250</v>
      </c>
      <c r="M92" s="538"/>
      <c r="N92" s="540" t="str">
        <f>'BD Team'!C16</f>
        <v>M900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251</v>
      </c>
      <c r="M93" s="538"/>
      <c r="N93" s="540" t="str">
        <f>'BD Team'!E16</f>
        <v>6MM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252</v>
      </c>
      <c r="M94" s="538"/>
      <c r="N94" s="540" t="str">
        <f>'BD Team'!F16</f>
        <v>SS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253</v>
      </c>
      <c r="D96" s="538"/>
      <c r="E96" s="286" t="str">
        <f>'BD Team'!B17</f>
        <v>W2</v>
      </c>
      <c r="F96" s="288" t="s">
        <v>254</v>
      </c>
      <c r="G96" s="540" t="str">
        <f>'BD Team'!D17</f>
        <v>SIDE HUNG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 t="str">
        <f>'BD Team'!G17</f>
        <v>1F - MASTER BEDROOM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246</v>
      </c>
      <c r="M98" s="538"/>
      <c r="N98" s="540" t="str">
        <f>$F$6</f>
        <v>Powder Coating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177</v>
      </c>
      <c r="M99" s="538"/>
      <c r="N99" s="540" t="str">
        <f>$K$6</f>
        <v>Black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247</v>
      </c>
      <c r="M100" s="538"/>
      <c r="N100" s="543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248</v>
      </c>
      <c r="M101" s="538"/>
      <c r="N101" s="540" t="str">
        <f>CONCATENATE('BD Team'!H17," X ",'BD Team'!I17)</f>
        <v>686 X 1500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249</v>
      </c>
      <c r="M102" s="538"/>
      <c r="N102" s="539">
        <f>'BD Team'!J17</f>
        <v>1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250</v>
      </c>
      <c r="M103" s="538"/>
      <c r="N103" s="540" t="str">
        <f>'BD Team'!C17</f>
        <v>M15000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251</v>
      </c>
      <c r="M104" s="538"/>
      <c r="N104" s="540" t="str">
        <f>'BD Team'!E17</f>
        <v>6MM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252</v>
      </c>
      <c r="M105" s="538"/>
      <c r="N105" s="540" t="str">
        <f>'BD Team'!F17</f>
        <v>NO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253</v>
      </c>
      <c r="D107" s="538"/>
      <c r="E107" s="286" t="str">
        <f>'BD Team'!B18</f>
        <v>W3</v>
      </c>
      <c r="F107" s="288" t="s">
        <v>254</v>
      </c>
      <c r="G107" s="540" t="str">
        <f>'BD Team'!D18</f>
        <v>SIDE HUNG WINDOW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 t="str">
        <f>'BD Team'!G18</f>
        <v>1F - MASTER BEDROOM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246</v>
      </c>
      <c r="M109" s="538"/>
      <c r="N109" s="540" t="str">
        <f>$F$6</f>
        <v>Powder Coating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177</v>
      </c>
      <c r="M110" s="538"/>
      <c r="N110" s="540" t="str">
        <f>$K$6</f>
        <v>Black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247</v>
      </c>
      <c r="M111" s="538"/>
      <c r="N111" s="543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248</v>
      </c>
      <c r="M112" s="538"/>
      <c r="N112" s="540" t="str">
        <f>CONCATENATE('BD Team'!H18," X ",'BD Team'!I18)</f>
        <v>686 X 1500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249</v>
      </c>
      <c r="M113" s="538"/>
      <c r="N113" s="539">
        <f>'BD Team'!J18</f>
        <v>1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250</v>
      </c>
      <c r="M114" s="538"/>
      <c r="N114" s="540" t="str">
        <f>'BD Team'!C18</f>
        <v>M15000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251</v>
      </c>
      <c r="M115" s="538"/>
      <c r="N115" s="540" t="str">
        <f>'BD Team'!E18</f>
        <v>6MM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252</v>
      </c>
      <c r="M116" s="538"/>
      <c r="N116" s="540" t="str">
        <f>'BD Team'!F18</f>
        <v>NO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253</v>
      </c>
      <c r="D118" s="538"/>
      <c r="E118" s="286" t="str">
        <f>'BD Team'!B19</f>
        <v>V3</v>
      </c>
      <c r="F118" s="288" t="s">
        <v>254</v>
      </c>
      <c r="G118" s="540" t="str">
        <f>'BD Team'!D19</f>
        <v>FIXED GLASS WITH GLASS LOUVERS AND EXHAUST PROVISION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 t="str">
        <f>'BD Team'!G19</f>
        <v>1F - MASTER VENTILATOR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246</v>
      </c>
      <c r="M120" s="538"/>
      <c r="N120" s="540" t="str">
        <f>$F$6</f>
        <v>Powder Coating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177</v>
      </c>
      <c r="M121" s="538"/>
      <c r="N121" s="540" t="str">
        <f>$K$6</f>
        <v>Black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247</v>
      </c>
      <c r="M122" s="538"/>
      <c r="N122" s="543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248</v>
      </c>
      <c r="M123" s="538"/>
      <c r="N123" s="540" t="str">
        <f>CONCATENATE('BD Team'!H19," X ",'BD Team'!I19)</f>
        <v>840 X 538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249</v>
      </c>
      <c r="M124" s="538"/>
      <c r="N124" s="539">
        <f>'BD Team'!J19</f>
        <v>1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250</v>
      </c>
      <c r="M125" s="538"/>
      <c r="N125" s="540" t="str">
        <f>'BD Team'!C19</f>
        <v>M940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251</v>
      </c>
      <c r="M126" s="538"/>
      <c r="N126" s="540" t="str">
        <f>'BD Team'!E19</f>
        <v>6MM (F)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252</v>
      </c>
      <c r="M127" s="538"/>
      <c r="N127" s="540" t="str">
        <f>'BD Team'!F19</f>
        <v>NO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253</v>
      </c>
      <c r="D129" s="538"/>
      <c r="E129" s="286" t="str">
        <f>'BD Team'!B20</f>
        <v>V4</v>
      </c>
      <c r="F129" s="288" t="s">
        <v>254</v>
      </c>
      <c r="G129" s="540" t="str">
        <f>'BD Team'!D20</f>
        <v>FIXED GLASS WITH GLASS LOUVERS AND EXHAUST PROVISION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 t="str">
        <f>'BD Team'!G20</f>
        <v>1F - MASTER VENTILATOR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246</v>
      </c>
      <c r="M131" s="538"/>
      <c r="N131" s="540" t="str">
        <f>$F$6</f>
        <v>Powder Coating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177</v>
      </c>
      <c r="M132" s="538"/>
      <c r="N132" s="540" t="str">
        <f>$K$6</f>
        <v>Black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247</v>
      </c>
      <c r="M133" s="538"/>
      <c r="N133" s="543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248</v>
      </c>
      <c r="M134" s="538"/>
      <c r="N134" s="540" t="str">
        <f>CONCATENATE('BD Team'!H20," X ",'BD Team'!I20)</f>
        <v>788 X 504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249</v>
      </c>
      <c r="M135" s="538"/>
      <c r="N135" s="539">
        <f>'BD Team'!J20</f>
        <v>1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250</v>
      </c>
      <c r="M136" s="538"/>
      <c r="N136" s="540" t="str">
        <f>'BD Team'!C20</f>
        <v>M940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251</v>
      </c>
      <c r="M137" s="538"/>
      <c r="N137" s="540" t="str">
        <f>'BD Team'!E20</f>
        <v>6MM (F)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252</v>
      </c>
      <c r="M138" s="538"/>
      <c r="N138" s="540" t="str">
        <f>'BD Team'!F20</f>
        <v>NO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253</v>
      </c>
      <c r="D140" s="538"/>
      <c r="E140" s="286" t="str">
        <f>'BD Team'!B21</f>
        <v>CW2</v>
      </c>
      <c r="F140" s="288" t="s">
        <v>254</v>
      </c>
      <c r="G140" s="540" t="str">
        <f>'BD Team'!D21</f>
        <v>FIXED GLASS CORNOR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 t="str">
        <f>'BD Team'!G21</f>
        <v>1F - DAUGHTER BEDROOM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246</v>
      </c>
      <c r="M142" s="538"/>
      <c r="N142" s="540" t="str">
        <f>$F$6</f>
        <v>Powder Coating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177</v>
      </c>
      <c r="M143" s="538"/>
      <c r="N143" s="540" t="str">
        <f>$K$6</f>
        <v>Black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247</v>
      </c>
      <c r="M144" s="538"/>
      <c r="N144" s="543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248</v>
      </c>
      <c r="M145" s="538"/>
      <c r="N145" s="540" t="str">
        <f>CONCATENATE('BD Team'!H21," X ",'BD Team'!I21)</f>
        <v>4344 X 2338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249</v>
      </c>
      <c r="M146" s="538"/>
      <c r="N146" s="539">
        <f>'BD Team'!J21</f>
        <v>1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250</v>
      </c>
      <c r="M147" s="538"/>
      <c r="N147" s="540" t="str">
        <f>'BD Team'!C21</f>
        <v>M15000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251</v>
      </c>
      <c r="M148" s="538"/>
      <c r="N148" s="540" t="str">
        <f>'BD Team'!E21</f>
        <v>10MM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252</v>
      </c>
      <c r="M149" s="538"/>
      <c r="N149" s="540" t="str">
        <f>'BD Team'!F21</f>
        <v>NO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253</v>
      </c>
      <c r="D151" s="538"/>
      <c r="E151" s="286" t="str">
        <f>'BD Team'!B22</f>
        <v>V5</v>
      </c>
      <c r="F151" s="288" t="s">
        <v>254</v>
      </c>
      <c r="G151" s="540" t="str">
        <f>'BD Team'!D22</f>
        <v>FIXED GLASS WITH GLASS LOUVERS AND EXHAUST PROVISION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 t="str">
        <f>'BD Team'!G22</f>
        <v>1F - DAUGHTER VENTILATOR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246</v>
      </c>
      <c r="M153" s="538"/>
      <c r="N153" s="540" t="str">
        <f>$F$6</f>
        <v>Powder Coating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177</v>
      </c>
      <c r="M154" s="538"/>
      <c r="N154" s="540" t="str">
        <f>$K$6</f>
        <v>Black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247</v>
      </c>
      <c r="M155" s="538"/>
      <c r="N155" s="543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248</v>
      </c>
      <c r="M156" s="538"/>
      <c r="N156" s="540" t="str">
        <f>CONCATENATE('BD Team'!H22," X ",'BD Team'!I22)</f>
        <v>686 X 686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249</v>
      </c>
      <c r="M157" s="538"/>
      <c r="N157" s="539">
        <f>'BD Team'!J22</f>
        <v>1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250</v>
      </c>
      <c r="M158" s="538"/>
      <c r="N158" s="540" t="str">
        <f>'BD Team'!C22</f>
        <v>M940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251</v>
      </c>
      <c r="M159" s="538"/>
      <c r="N159" s="540" t="str">
        <f>'BD Team'!E22</f>
        <v>6MM (F)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252</v>
      </c>
      <c r="M160" s="538"/>
      <c r="N160" s="540" t="str">
        <f>'BD Team'!F22</f>
        <v>NO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253</v>
      </c>
      <c r="D162" s="538"/>
      <c r="E162" s="286" t="str">
        <f>'BD Team'!B23</f>
        <v>V6</v>
      </c>
      <c r="F162" s="288" t="s">
        <v>254</v>
      </c>
      <c r="G162" s="540" t="str">
        <f>'BD Team'!D23</f>
        <v>FIXED GLASS WITH GLASS LOUVERS AND EXHAUST PROVISION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 t="str">
        <f>'BD Team'!G23</f>
        <v>1F - DAUGHTER VENTILATOR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246</v>
      </c>
      <c r="M164" s="538"/>
      <c r="N164" s="540" t="str">
        <f>$F$6</f>
        <v>Powder Coating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177</v>
      </c>
      <c r="M165" s="538"/>
      <c r="N165" s="540" t="str">
        <f>$K$6</f>
        <v>Black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247</v>
      </c>
      <c r="M166" s="538"/>
      <c r="N166" s="543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248</v>
      </c>
      <c r="M167" s="538"/>
      <c r="N167" s="540" t="str">
        <f>CONCATENATE('BD Team'!H23," X ",'BD Team'!I23)</f>
        <v>814 X 538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249</v>
      </c>
      <c r="M168" s="538"/>
      <c r="N168" s="539">
        <f>'BD Team'!J23</f>
        <v>1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250</v>
      </c>
      <c r="M169" s="538"/>
      <c r="N169" s="540" t="str">
        <f>'BD Team'!C23</f>
        <v>M940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251</v>
      </c>
      <c r="M170" s="538"/>
      <c r="N170" s="540" t="str">
        <f>'BD Team'!E23</f>
        <v>6MM (F)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252</v>
      </c>
      <c r="M171" s="538"/>
      <c r="N171" s="540" t="str">
        <f>'BD Team'!F23</f>
        <v>NO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253</v>
      </c>
      <c r="D173" s="538"/>
      <c r="E173" s="286" t="str">
        <f>'BD Team'!B24</f>
        <v>SD1</v>
      </c>
      <c r="F173" s="288" t="s">
        <v>254</v>
      </c>
      <c r="G173" s="540" t="str">
        <f>'BD Team'!D24</f>
        <v>3 TRACK 2 SHUTTER SLIDING DOOR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 t="str">
        <f>'BD Team'!G24</f>
        <v>1F - SON BEDROOM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246</v>
      </c>
      <c r="M175" s="538"/>
      <c r="N175" s="540" t="str">
        <f>$F$6</f>
        <v>Powder Coating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177</v>
      </c>
      <c r="M176" s="538"/>
      <c r="N176" s="540" t="str">
        <f>$K$6</f>
        <v>Black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247</v>
      </c>
      <c r="M177" s="538"/>
      <c r="N177" s="543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248</v>
      </c>
      <c r="M178" s="538"/>
      <c r="N178" s="540" t="str">
        <f>CONCATENATE('BD Team'!H24," X ",'BD Team'!I24)</f>
        <v>2364 X 2186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249</v>
      </c>
      <c r="M179" s="538"/>
      <c r="N179" s="539">
        <f>'BD Team'!J24</f>
        <v>1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250</v>
      </c>
      <c r="M180" s="538"/>
      <c r="N180" s="540" t="str">
        <f>'BD Team'!C24</f>
        <v>M14600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251</v>
      </c>
      <c r="M181" s="538"/>
      <c r="N181" s="540" t="str">
        <f>'BD Team'!E24</f>
        <v>6MM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252</v>
      </c>
      <c r="M182" s="538"/>
      <c r="N182" s="540" t="str">
        <f>'BD Team'!F24</f>
        <v>SS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253</v>
      </c>
      <c r="D184" s="538"/>
      <c r="E184" s="286" t="str">
        <f>'BD Team'!B25</f>
        <v>W6</v>
      </c>
      <c r="F184" s="288" t="s">
        <v>254</v>
      </c>
      <c r="G184" s="540" t="str">
        <f>'BD Team'!D25</f>
        <v>FIXED GLASS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 t="str">
        <f>'BD Team'!G25</f>
        <v>1F - SON BEDROOM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246</v>
      </c>
      <c r="M186" s="538"/>
      <c r="N186" s="540" t="str">
        <f>$F$6</f>
        <v>Powder Coating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177</v>
      </c>
      <c r="M187" s="538"/>
      <c r="N187" s="540" t="str">
        <f>$K$6</f>
        <v>Black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247</v>
      </c>
      <c r="M188" s="538"/>
      <c r="N188" s="543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248</v>
      </c>
      <c r="M189" s="538"/>
      <c r="N189" s="540" t="str">
        <f>CONCATENATE('BD Team'!H25," X ",'BD Team'!I25)</f>
        <v>1270 X 1270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249</v>
      </c>
      <c r="M190" s="538"/>
      <c r="N190" s="539">
        <f>'BD Team'!J25</f>
        <v>1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250</v>
      </c>
      <c r="M191" s="538"/>
      <c r="N191" s="540" t="str">
        <f>'BD Team'!C25</f>
        <v>M940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251</v>
      </c>
      <c r="M192" s="538"/>
      <c r="N192" s="540" t="str">
        <f>'BD Team'!E25</f>
        <v>6MM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252</v>
      </c>
      <c r="M193" s="538"/>
      <c r="N193" s="540" t="str">
        <f>'BD Team'!F25</f>
        <v>NO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253</v>
      </c>
      <c r="D195" s="538"/>
      <c r="E195" s="286" t="str">
        <f>'BD Team'!B26</f>
        <v>V7</v>
      </c>
      <c r="F195" s="288" t="s">
        <v>254</v>
      </c>
      <c r="G195" s="540" t="str">
        <f>'BD Team'!D26</f>
        <v>FIXED GLASS WITH GLASS LOUVERS AND EXHAUST PROVISION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 t="str">
        <f>'BD Team'!G26</f>
        <v>1F - SERVANT VENTILATOR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246</v>
      </c>
      <c r="M197" s="538"/>
      <c r="N197" s="540" t="str">
        <f>$F$6</f>
        <v>Powder Coating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177</v>
      </c>
      <c r="M198" s="538"/>
      <c r="N198" s="540" t="str">
        <f>$K$6</f>
        <v>Black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247</v>
      </c>
      <c r="M199" s="538"/>
      <c r="N199" s="543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248</v>
      </c>
      <c r="M200" s="538"/>
      <c r="N200" s="540" t="str">
        <f>CONCATENATE('BD Team'!H26," X ",'BD Team'!I26)</f>
        <v>534 X 840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249</v>
      </c>
      <c r="M201" s="538"/>
      <c r="N201" s="539">
        <f>'BD Team'!J26</f>
        <v>1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250</v>
      </c>
      <c r="M202" s="538"/>
      <c r="N202" s="540" t="str">
        <f>'BD Team'!C26</f>
        <v>M940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251</v>
      </c>
      <c r="M203" s="538"/>
      <c r="N203" s="540" t="str">
        <f>'BD Team'!E26</f>
        <v>6MM (F)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252</v>
      </c>
      <c r="M204" s="538"/>
      <c r="N204" s="540" t="str">
        <f>'BD Team'!F26</f>
        <v>NO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253</v>
      </c>
      <c r="D206" s="538"/>
      <c r="E206" s="286" t="str">
        <f>'BD Team'!B27</f>
        <v>V8</v>
      </c>
      <c r="F206" s="288" t="s">
        <v>254</v>
      </c>
      <c r="G206" s="540" t="str">
        <f>'BD Team'!D27</f>
        <v>FIXED GLASS WITH GLASS LOUVERS AND EXHAUST PROVISION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 t="str">
        <f>'BD Team'!G27</f>
        <v>1F - POOJA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246</v>
      </c>
      <c r="M208" s="538"/>
      <c r="N208" s="540" t="str">
        <f>$F$6</f>
        <v>Powder Coating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177</v>
      </c>
      <c r="M209" s="538"/>
      <c r="N209" s="540" t="str">
        <f>$K$6</f>
        <v>Black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247</v>
      </c>
      <c r="M210" s="538"/>
      <c r="N210" s="543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248</v>
      </c>
      <c r="M211" s="538"/>
      <c r="N211" s="540" t="str">
        <f>CONCATENATE('BD Team'!H27," X ",'BD Team'!I27)</f>
        <v>840 X 534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249</v>
      </c>
      <c r="M212" s="538"/>
      <c r="N212" s="539">
        <f>'BD Team'!J27</f>
        <v>1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250</v>
      </c>
      <c r="M213" s="538"/>
      <c r="N213" s="540" t="str">
        <f>'BD Team'!C27</f>
        <v>M940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251</v>
      </c>
      <c r="M214" s="538"/>
      <c r="N214" s="540" t="str">
        <f>'BD Team'!E27</f>
        <v>6MM (F)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252</v>
      </c>
      <c r="M215" s="538"/>
      <c r="N215" s="540" t="str">
        <f>'BD Team'!F27</f>
        <v>NO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253</v>
      </c>
      <c r="D217" s="538"/>
      <c r="E217" s="286" t="str">
        <f>'BD Team'!B28</f>
        <v>CW3</v>
      </c>
      <c r="F217" s="288" t="s">
        <v>254</v>
      </c>
      <c r="G217" s="540" t="str">
        <f>'BD Team'!D28</f>
        <v>FIXED GLASS CORNOR WINDOW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 t="str">
        <f>'BD Team'!G28</f>
        <v>1F - POOJA LIVING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246</v>
      </c>
      <c r="M219" s="538"/>
      <c r="N219" s="540" t="str">
        <f>$F$6</f>
        <v>Powder Coating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177</v>
      </c>
      <c r="M220" s="538"/>
      <c r="N220" s="540" t="str">
        <f>$K$6</f>
        <v>Black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247</v>
      </c>
      <c r="M221" s="538"/>
      <c r="N221" s="543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248</v>
      </c>
      <c r="M222" s="538"/>
      <c r="N222" s="540" t="str">
        <f>CONCATENATE('BD Team'!H28," X ",'BD Team'!I28)</f>
        <v>6886 X 2540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249</v>
      </c>
      <c r="M223" s="538"/>
      <c r="N223" s="539">
        <f>'BD Team'!J28</f>
        <v>1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250</v>
      </c>
      <c r="M224" s="538"/>
      <c r="N224" s="540" t="str">
        <f>'BD Team'!C28</f>
        <v>M15000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251</v>
      </c>
      <c r="M225" s="538"/>
      <c r="N225" s="540" t="str">
        <f>'BD Team'!E28</f>
        <v>10MM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252</v>
      </c>
      <c r="M226" s="538"/>
      <c r="N226" s="540" t="str">
        <f>'BD Team'!F28</f>
        <v>NO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253</v>
      </c>
      <c r="D228" s="538"/>
      <c r="E228" s="286" t="str">
        <f>'BD Team'!B29</f>
        <v>CW4</v>
      </c>
      <c r="F228" s="288" t="s">
        <v>254</v>
      </c>
      <c r="G228" s="540" t="str">
        <f>'BD Team'!D29</f>
        <v>FIXED GLASS CORNOR WINDOW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 t="str">
        <f>'BD Team'!G29</f>
        <v>2F - GYM ROOM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246</v>
      </c>
      <c r="M230" s="538"/>
      <c r="N230" s="540" t="str">
        <f>$F$6</f>
        <v>Powder Coating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177</v>
      </c>
      <c r="M231" s="538"/>
      <c r="N231" s="540" t="str">
        <f>$K$6</f>
        <v>Black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247</v>
      </c>
      <c r="M232" s="538"/>
      <c r="N232" s="543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248</v>
      </c>
      <c r="M233" s="538"/>
      <c r="N233" s="540" t="str">
        <f>CONCATENATE('BD Team'!H29," X ",'BD Team'!I29)</f>
        <v>4344 X 2338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249</v>
      </c>
      <c r="M234" s="538"/>
      <c r="N234" s="539">
        <f>'BD Team'!J29</f>
        <v>1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250</v>
      </c>
      <c r="M235" s="538"/>
      <c r="N235" s="540" t="str">
        <f>'BD Team'!C29</f>
        <v>M15000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251</v>
      </c>
      <c r="M236" s="538"/>
      <c r="N236" s="540" t="str">
        <f>'BD Team'!E29</f>
        <v>10MM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252</v>
      </c>
      <c r="M237" s="538"/>
      <c r="N237" s="540" t="str">
        <f>'BD Team'!F29</f>
        <v>NO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253</v>
      </c>
      <c r="D239" s="538"/>
      <c r="E239" s="286" t="str">
        <f>'BD Team'!B30</f>
        <v>V8</v>
      </c>
      <c r="F239" s="288" t="s">
        <v>254</v>
      </c>
      <c r="G239" s="540" t="str">
        <f>'BD Team'!D30</f>
        <v>FIXED GLASS WITH GLASS LOUVERS AND EXHAUST PROVISION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 t="str">
        <f>'BD Team'!G30</f>
        <v>2F - GYM ROOM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246</v>
      </c>
      <c r="M241" s="538"/>
      <c r="N241" s="540" t="str">
        <f>$F$6</f>
        <v>Powder Coating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177</v>
      </c>
      <c r="M242" s="538"/>
      <c r="N242" s="540" t="str">
        <f>$K$6</f>
        <v>Black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247</v>
      </c>
      <c r="M243" s="538"/>
      <c r="N243" s="543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248</v>
      </c>
      <c r="M244" s="538"/>
      <c r="N244" s="540" t="str">
        <f>CONCATENATE('BD Team'!H30," X ",'BD Team'!I30)</f>
        <v>662 X 534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249</v>
      </c>
      <c r="M245" s="538"/>
      <c r="N245" s="539">
        <f>'BD Team'!J30</f>
        <v>1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250</v>
      </c>
      <c r="M246" s="538"/>
      <c r="N246" s="540" t="str">
        <f>'BD Team'!C30</f>
        <v>M940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251</v>
      </c>
      <c r="M247" s="538"/>
      <c r="N247" s="540" t="str">
        <f>'BD Team'!E30</f>
        <v>6MM (F)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252</v>
      </c>
      <c r="M248" s="538"/>
      <c r="N248" s="540" t="str">
        <f>'BD Team'!F30</f>
        <v>NO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253</v>
      </c>
      <c r="D250" s="538"/>
      <c r="E250" s="286" t="str">
        <f>'BD Team'!B31</f>
        <v>V9</v>
      </c>
      <c r="F250" s="288" t="s">
        <v>254</v>
      </c>
      <c r="G250" s="540" t="str">
        <f>'BD Team'!D31</f>
        <v>FIXED GLASS WITH GLASS LOUVERS AND EXHAUST PROVISION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 t="str">
        <f>'BD Team'!G31</f>
        <v>2F - GYM ROOM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246</v>
      </c>
      <c r="M252" s="538"/>
      <c r="N252" s="540" t="str">
        <f>$F$6</f>
        <v>Powder Coating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177</v>
      </c>
      <c r="M253" s="538"/>
      <c r="N253" s="540" t="str">
        <f>$K$6</f>
        <v>Black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247</v>
      </c>
      <c r="M254" s="538"/>
      <c r="N254" s="543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248</v>
      </c>
      <c r="M255" s="538"/>
      <c r="N255" s="540" t="str">
        <f>CONCATENATE('BD Team'!H31," X ",'BD Team'!I31)</f>
        <v>662 X 534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249</v>
      </c>
      <c r="M256" s="538"/>
      <c r="N256" s="539">
        <f>'BD Team'!J31</f>
        <v>1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250</v>
      </c>
      <c r="M257" s="538"/>
      <c r="N257" s="540" t="str">
        <f>'BD Team'!C31</f>
        <v>M940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251</v>
      </c>
      <c r="M258" s="538"/>
      <c r="N258" s="540" t="str">
        <f>'BD Team'!E31</f>
        <v>6MM (F)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252</v>
      </c>
      <c r="M259" s="538"/>
      <c r="N259" s="540" t="str">
        <f>'BD Team'!F31</f>
        <v>NO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253</v>
      </c>
      <c r="D261" s="538"/>
      <c r="E261" s="286" t="str">
        <f>'BD Team'!B32</f>
        <v>SD2</v>
      </c>
      <c r="F261" s="288" t="s">
        <v>254</v>
      </c>
      <c r="G261" s="540" t="str">
        <f>'BD Team'!D32</f>
        <v>3 TRACK 2 SHUTTER SLIDING WINDOW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 t="str">
        <f>'BD Team'!G32</f>
        <v>2F - STUDY LIVING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246</v>
      </c>
      <c r="M263" s="538"/>
      <c r="N263" s="540" t="str">
        <f>$F$6</f>
        <v>Powder Coating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177</v>
      </c>
      <c r="M264" s="538"/>
      <c r="N264" s="540" t="str">
        <f>$K$6</f>
        <v>Black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247</v>
      </c>
      <c r="M265" s="538"/>
      <c r="N265" s="543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248</v>
      </c>
      <c r="M266" s="538"/>
      <c r="N266" s="540" t="str">
        <f>CONCATENATE('BD Team'!H32," X ",'BD Team'!I32)</f>
        <v>2364 X 1474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249</v>
      </c>
      <c r="M267" s="538"/>
      <c r="N267" s="539">
        <f>'BD Team'!J32</f>
        <v>1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250</v>
      </c>
      <c r="M268" s="538"/>
      <c r="N268" s="540" t="str">
        <f>'BD Team'!C32</f>
        <v>M900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251</v>
      </c>
      <c r="M269" s="538"/>
      <c r="N269" s="540" t="str">
        <f>'BD Team'!E32</f>
        <v>6MM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252</v>
      </c>
      <c r="M270" s="538"/>
      <c r="N270" s="540" t="str">
        <f>'BD Team'!F32</f>
        <v>SS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253</v>
      </c>
      <c r="D272" s="538"/>
      <c r="E272" s="286" t="str">
        <f>'BD Team'!B33</f>
        <v>SD3</v>
      </c>
      <c r="F272" s="288" t="s">
        <v>254</v>
      </c>
      <c r="G272" s="540" t="str">
        <f>'BD Team'!D33</f>
        <v>3 TRACK 2 SHUTTER SLIDING DOOR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 t="str">
        <f>'BD Team'!G33</f>
        <v>2F - STUDY LIVING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246</v>
      </c>
      <c r="M274" s="538"/>
      <c r="N274" s="540" t="str">
        <f>$F$6</f>
        <v>Powder Coating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177</v>
      </c>
      <c r="M275" s="538"/>
      <c r="N275" s="540" t="str">
        <f>$K$6</f>
        <v>Black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247</v>
      </c>
      <c r="M276" s="538"/>
      <c r="N276" s="543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248</v>
      </c>
      <c r="M277" s="538"/>
      <c r="N277" s="540" t="str">
        <f>CONCATENATE('BD Team'!H33," X ",'BD Team'!I33)</f>
        <v>1716 X 2084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249</v>
      </c>
      <c r="M278" s="538"/>
      <c r="N278" s="539">
        <f>'BD Team'!J33</f>
        <v>1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250</v>
      </c>
      <c r="M279" s="538"/>
      <c r="N279" s="540" t="str">
        <f>'BD Team'!C33</f>
        <v>M14600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251</v>
      </c>
      <c r="M280" s="538"/>
      <c r="N280" s="540" t="str">
        <f>'BD Team'!E33</f>
        <v>6MM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252</v>
      </c>
      <c r="M281" s="538"/>
      <c r="N281" s="540" t="str">
        <f>'BD Team'!F33</f>
        <v>SS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253</v>
      </c>
      <c r="D283" s="538"/>
      <c r="E283" s="286" t="str">
        <f>'BD Team'!B34</f>
        <v>SD4</v>
      </c>
      <c r="F283" s="288" t="s">
        <v>254</v>
      </c>
      <c r="G283" s="540" t="str">
        <f>'BD Team'!D34</f>
        <v>3 TRACK 2 SHUTTER SLIDING DOOR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 t="str">
        <f>'BD Team'!G34</f>
        <v>2F - BAR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246</v>
      </c>
      <c r="M285" s="538"/>
      <c r="N285" s="540" t="str">
        <f>$F$6</f>
        <v>Powder Coating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177</v>
      </c>
      <c r="M286" s="538"/>
      <c r="N286" s="540" t="str">
        <f>$K$6</f>
        <v>Black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247</v>
      </c>
      <c r="M287" s="538"/>
      <c r="N287" s="543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248</v>
      </c>
      <c r="M288" s="538"/>
      <c r="N288" s="540" t="str">
        <f>CONCATENATE('BD Team'!H34," X ",'BD Team'!I34)</f>
        <v>2286 X 2084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249</v>
      </c>
      <c r="M289" s="538"/>
      <c r="N289" s="539">
        <f>'BD Team'!J34</f>
        <v>1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250</v>
      </c>
      <c r="M290" s="538"/>
      <c r="N290" s="540" t="str">
        <f>'BD Team'!C34</f>
        <v>M14600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251</v>
      </c>
      <c r="M291" s="538"/>
      <c r="N291" s="540" t="str">
        <f>'BD Team'!E34</f>
        <v>6MM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252</v>
      </c>
      <c r="M292" s="538"/>
      <c r="N292" s="540" t="str">
        <f>'BD Team'!F34</f>
        <v>SS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253</v>
      </c>
      <c r="D294" s="538"/>
      <c r="E294" s="286" t="str">
        <f>'BD Team'!B35</f>
        <v>V10</v>
      </c>
      <c r="F294" s="288" t="s">
        <v>254</v>
      </c>
      <c r="G294" s="540" t="str">
        <f>'BD Team'!D35</f>
        <v>FIXED GLASS WITH GLASS LOUVERS AND EXHAUST PROVISION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 t="str">
        <f>'BD Team'!G35</f>
        <v>2F - BAR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246</v>
      </c>
      <c r="M296" s="538"/>
      <c r="N296" s="540" t="str">
        <f>$F$6</f>
        <v>Powder Coating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177</v>
      </c>
      <c r="M297" s="538"/>
      <c r="N297" s="540" t="str">
        <f>$K$6</f>
        <v>Black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247</v>
      </c>
      <c r="M298" s="538"/>
      <c r="N298" s="543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248</v>
      </c>
      <c r="M299" s="538"/>
      <c r="N299" s="540" t="str">
        <f>CONCATENATE('BD Team'!H35," X ",'BD Team'!I35)</f>
        <v>686 X 534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249</v>
      </c>
      <c r="M300" s="538"/>
      <c r="N300" s="539">
        <f>'BD Team'!J35</f>
        <v>1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250</v>
      </c>
      <c r="M301" s="538"/>
      <c r="N301" s="540" t="str">
        <f>'BD Team'!C35</f>
        <v>M940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251</v>
      </c>
      <c r="M302" s="538"/>
      <c r="N302" s="540" t="str">
        <f>'BD Team'!E35</f>
        <v>6MM (F)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252</v>
      </c>
      <c r="M303" s="538"/>
      <c r="N303" s="540" t="str">
        <f>'BD Team'!F35</f>
        <v>NO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253</v>
      </c>
      <c r="D305" s="538"/>
      <c r="E305" s="286" t="str">
        <f>'BD Team'!B36</f>
        <v>SD5</v>
      </c>
      <c r="F305" s="288" t="s">
        <v>254</v>
      </c>
      <c r="G305" s="540" t="str">
        <f>'BD Team'!D36</f>
        <v>3 TRACK 2 SHUTTER SLIDING WINDOW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 t="str">
        <f>'BD Team'!G36</f>
        <v>2F -HOME THEATER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246</v>
      </c>
      <c r="M307" s="538"/>
      <c r="N307" s="540" t="str">
        <f>$F$6</f>
        <v>Powder Coating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177</v>
      </c>
      <c r="M308" s="538"/>
      <c r="N308" s="540" t="str">
        <f>$K$6</f>
        <v>Black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247</v>
      </c>
      <c r="M309" s="538"/>
      <c r="N309" s="543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248</v>
      </c>
      <c r="M310" s="538"/>
      <c r="N310" s="540" t="str">
        <f>CONCATENATE('BD Team'!H36," X ",'BD Team'!I36)</f>
        <v>1804 X 1372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249</v>
      </c>
      <c r="M311" s="538"/>
      <c r="N311" s="539">
        <f>'BD Team'!J36</f>
        <v>1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250</v>
      </c>
      <c r="M312" s="538"/>
      <c r="N312" s="540" t="str">
        <f>'BD Team'!C36</f>
        <v>M900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251</v>
      </c>
      <c r="M313" s="538"/>
      <c r="N313" s="540" t="str">
        <f>'BD Team'!E36</f>
        <v>20MM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252</v>
      </c>
      <c r="M314" s="538"/>
      <c r="N314" s="540" t="str">
        <f>'BD Team'!F36</f>
        <v>SS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253</v>
      </c>
      <c r="D316" s="538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246</v>
      </c>
      <c r="M318" s="538"/>
      <c r="N318" s="540" t="str">
        <f>$F$6</f>
        <v>Powder Coating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177</v>
      </c>
      <c r="M319" s="538"/>
      <c r="N319" s="540" t="str">
        <f>$K$6</f>
        <v>Black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247</v>
      </c>
      <c r="M320" s="538"/>
      <c r="N320" s="543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248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249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250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251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252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253</v>
      </c>
      <c r="D327" s="538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246</v>
      </c>
      <c r="M329" s="538"/>
      <c r="N329" s="540" t="str">
        <f>$F$6</f>
        <v>Powder Coating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177</v>
      </c>
      <c r="M330" s="538"/>
      <c r="N330" s="540" t="str">
        <f>$K$6</f>
        <v>Black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247</v>
      </c>
      <c r="M331" s="538"/>
      <c r="N331" s="543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248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249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250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251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252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253</v>
      </c>
      <c r="D338" s="538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246</v>
      </c>
      <c r="M340" s="538"/>
      <c r="N340" s="540" t="str">
        <f>$F$6</f>
        <v>Powder Coating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177</v>
      </c>
      <c r="M341" s="538"/>
      <c r="N341" s="540" t="str">
        <f>$K$6</f>
        <v>Black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247</v>
      </c>
      <c r="M342" s="538"/>
      <c r="N342" s="543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248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249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250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251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252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253</v>
      </c>
      <c r="D349" s="538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246</v>
      </c>
      <c r="M351" s="538"/>
      <c r="N351" s="540" t="str">
        <f>$F$6</f>
        <v>Powder Coating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177</v>
      </c>
      <c r="M352" s="538"/>
      <c r="N352" s="540" t="str">
        <f>$K$6</f>
        <v>Black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247</v>
      </c>
      <c r="M353" s="538"/>
      <c r="N353" s="543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248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249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250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251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252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253</v>
      </c>
      <c r="D360" s="538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246</v>
      </c>
      <c r="M362" s="538"/>
      <c r="N362" s="540" t="str">
        <f>$F$6</f>
        <v>Powder Coating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177</v>
      </c>
      <c r="M363" s="538"/>
      <c r="N363" s="540" t="str">
        <f>$K$6</f>
        <v>Black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247</v>
      </c>
      <c r="M364" s="538"/>
      <c r="N364" s="543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248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249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250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251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252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253</v>
      </c>
      <c r="D371" s="538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246</v>
      </c>
      <c r="M373" s="538"/>
      <c r="N373" s="540" t="str">
        <f>$F$6</f>
        <v>Powder Coating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177</v>
      </c>
      <c r="M374" s="538"/>
      <c r="N374" s="540" t="str">
        <f>$K$6</f>
        <v>Black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247</v>
      </c>
      <c r="M375" s="538"/>
      <c r="N375" s="543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248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249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250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251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252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253</v>
      </c>
      <c r="D382" s="538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246</v>
      </c>
      <c r="M384" s="538"/>
      <c r="N384" s="540" t="str">
        <f>$F$6</f>
        <v>Powder Coating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177</v>
      </c>
      <c r="M385" s="538"/>
      <c r="N385" s="540" t="str">
        <f>$K$6</f>
        <v>Black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247</v>
      </c>
      <c r="M386" s="538"/>
      <c r="N386" s="543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248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249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250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251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252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253</v>
      </c>
      <c r="D393" s="538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246</v>
      </c>
      <c r="M395" s="538"/>
      <c r="N395" s="540" t="str">
        <f>$F$6</f>
        <v>Powder Coating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177</v>
      </c>
      <c r="M396" s="538"/>
      <c r="N396" s="540" t="str">
        <f>$K$6</f>
        <v>Black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247</v>
      </c>
      <c r="M397" s="538"/>
      <c r="N397" s="543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248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249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250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251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252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253</v>
      </c>
      <c r="D404" s="538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246</v>
      </c>
      <c r="M406" s="538"/>
      <c r="N406" s="540" t="str">
        <f>$F$6</f>
        <v>Powder Coating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177</v>
      </c>
      <c r="M407" s="538"/>
      <c r="N407" s="540" t="str">
        <f>$K$6</f>
        <v>Black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247</v>
      </c>
      <c r="M408" s="538"/>
      <c r="N408" s="543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248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249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250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251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252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253</v>
      </c>
      <c r="D415" s="538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246</v>
      </c>
      <c r="M417" s="538"/>
      <c r="N417" s="540" t="str">
        <f>$F$6</f>
        <v>Powder Coating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177</v>
      </c>
      <c r="M418" s="538"/>
      <c r="N418" s="540" t="str">
        <f>$K$6</f>
        <v>Black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247</v>
      </c>
      <c r="M419" s="538"/>
      <c r="N419" s="543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248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249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250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251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252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253</v>
      </c>
      <c r="D426" s="538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246</v>
      </c>
      <c r="M428" s="538"/>
      <c r="N428" s="540" t="str">
        <f>$F$6</f>
        <v>Powder Coating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177</v>
      </c>
      <c r="M429" s="538"/>
      <c r="N429" s="540" t="str">
        <f>$K$6</f>
        <v>Black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247</v>
      </c>
      <c r="M430" s="538"/>
      <c r="N430" s="543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248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249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250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251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252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253</v>
      </c>
      <c r="D437" s="538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246</v>
      </c>
      <c r="M439" s="538"/>
      <c r="N439" s="540" t="str">
        <f>$F$6</f>
        <v>Powder Coating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177</v>
      </c>
      <c r="M440" s="538"/>
      <c r="N440" s="540" t="str">
        <f>$K$6</f>
        <v>Black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247</v>
      </c>
      <c r="M441" s="538"/>
      <c r="N441" s="543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248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249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250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251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252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253</v>
      </c>
      <c r="D448" s="538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246</v>
      </c>
      <c r="M450" s="538"/>
      <c r="N450" s="540" t="str">
        <f>$F$6</f>
        <v>Powder Coating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177</v>
      </c>
      <c r="M451" s="538"/>
      <c r="N451" s="540" t="str">
        <f>$K$6</f>
        <v>Black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247</v>
      </c>
      <c r="M452" s="538"/>
      <c r="N452" s="543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248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249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250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251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252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253</v>
      </c>
      <c r="D459" s="538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246</v>
      </c>
      <c r="M461" s="538"/>
      <c r="N461" s="540" t="str">
        <f>$F$6</f>
        <v>Powder Coating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177</v>
      </c>
      <c r="M462" s="538"/>
      <c r="N462" s="540" t="str">
        <f>$K$6</f>
        <v>Black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247</v>
      </c>
      <c r="M463" s="538"/>
      <c r="N463" s="543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248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249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250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251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252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253</v>
      </c>
      <c r="D470" s="538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246</v>
      </c>
      <c r="M472" s="538"/>
      <c r="N472" s="540" t="str">
        <f>$F$6</f>
        <v>Powder Coating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177</v>
      </c>
      <c r="M473" s="538"/>
      <c r="N473" s="540" t="str">
        <f>$K$6</f>
        <v>Black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247</v>
      </c>
      <c r="M474" s="538"/>
      <c r="N474" s="543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248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249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250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251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252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253</v>
      </c>
      <c r="D481" s="538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246</v>
      </c>
      <c r="M483" s="538"/>
      <c r="N483" s="540" t="str">
        <f>$F$6</f>
        <v>Powder Coating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177</v>
      </c>
      <c r="M484" s="538"/>
      <c r="N484" s="540" t="str">
        <f>$K$6</f>
        <v>Black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247</v>
      </c>
      <c r="M485" s="538"/>
      <c r="N485" s="543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248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249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250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251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252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253</v>
      </c>
      <c r="D492" s="538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246</v>
      </c>
      <c r="M494" s="538"/>
      <c r="N494" s="540" t="str">
        <f>$F$6</f>
        <v>Powder Coating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177</v>
      </c>
      <c r="M495" s="538"/>
      <c r="N495" s="540" t="str">
        <f>$K$6</f>
        <v>Black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247</v>
      </c>
      <c r="M496" s="538"/>
      <c r="N496" s="543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248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249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250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251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252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253</v>
      </c>
      <c r="D503" s="538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246</v>
      </c>
      <c r="M505" s="538"/>
      <c r="N505" s="540" t="str">
        <f>$F$6</f>
        <v>Powder Coating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177</v>
      </c>
      <c r="M506" s="538"/>
      <c r="N506" s="540" t="str">
        <f>$K$6</f>
        <v>Black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247</v>
      </c>
      <c r="M507" s="538"/>
      <c r="N507" s="543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248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249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250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251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252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253</v>
      </c>
      <c r="D514" s="538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246</v>
      </c>
      <c r="M516" s="538"/>
      <c r="N516" s="540" t="str">
        <f>$F$6</f>
        <v>Powder Coating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177</v>
      </c>
      <c r="M517" s="538"/>
      <c r="N517" s="540" t="str">
        <f>$K$6</f>
        <v>Black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247</v>
      </c>
      <c r="M518" s="538"/>
      <c r="N518" s="543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248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249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250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251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252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253</v>
      </c>
      <c r="D525" s="538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246</v>
      </c>
      <c r="M527" s="538"/>
      <c r="N527" s="540" t="str">
        <f>$F$6</f>
        <v>Powder Coating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177</v>
      </c>
      <c r="M528" s="538"/>
      <c r="N528" s="540" t="str">
        <f>$K$6</f>
        <v>Black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247</v>
      </c>
      <c r="M529" s="538"/>
      <c r="N529" s="543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248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249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250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251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252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253</v>
      </c>
      <c r="D536" s="538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246</v>
      </c>
      <c r="M538" s="538"/>
      <c r="N538" s="540" t="str">
        <f>$F$6</f>
        <v>Powder Coating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177</v>
      </c>
      <c r="M539" s="538"/>
      <c r="N539" s="540" t="str">
        <f>$K$6</f>
        <v>Black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247</v>
      </c>
      <c r="M540" s="538"/>
      <c r="N540" s="543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248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249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250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251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252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253</v>
      </c>
      <c r="D547" s="538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246</v>
      </c>
      <c r="M549" s="538"/>
      <c r="N549" s="540" t="str">
        <f>$F$6</f>
        <v>Powder Coating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177</v>
      </c>
      <c r="M550" s="538"/>
      <c r="N550" s="540" t="str">
        <f>$K$6</f>
        <v>Black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247</v>
      </c>
      <c r="M551" s="538"/>
      <c r="N551" s="543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248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249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250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251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252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253</v>
      </c>
      <c r="D558" s="538"/>
      <c r="E558" s="289">
        <f>'BD Team'!B59</f>
        <v>0</v>
      </c>
      <c r="F558" s="288" t="s">
        <v>254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246</v>
      </c>
      <c r="M560" s="538"/>
      <c r="N560" s="540" t="str">
        <f>$F$6</f>
        <v>Powder Coating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177</v>
      </c>
      <c r="M561" s="538"/>
      <c r="N561" s="540" t="str">
        <f>$K$6</f>
        <v>Black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247</v>
      </c>
      <c r="M562" s="538"/>
      <c r="N562" s="543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248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249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250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251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252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253</v>
      </c>
      <c r="D569" s="538"/>
      <c r="E569" s="289">
        <f>'BD Team'!B60</f>
        <v>0</v>
      </c>
      <c r="F569" s="288" t="s">
        <v>254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246</v>
      </c>
      <c r="M571" s="538"/>
      <c r="N571" s="540" t="str">
        <f>$F$6</f>
        <v>Powder Coating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177</v>
      </c>
      <c r="M572" s="538"/>
      <c r="N572" s="540" t="str">
        <f>$K$6</f>
        <v>Black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247</v>
      </c>
      <c r="M573" s="538"/>
      <c r="N573" s="543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248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249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250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251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252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253</v>
      </c>
      <c r="D580" s="538"/>
      <c r="E580" s="289">
        <f>'BD Team'!B61</f>
        <v>0</v>
      </c>
      <c r="F580" s="288" t="s">
        <v>254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246</v>
      </c>
      <c r="M582" s="538"/>
      <c r="N582" s="540" t="str">
        <f>$F$6</f>
        <v>Powder Coating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177</v>
      </c>
      <c r="M583" s="538"/>
      <c r="N583" s="540" t="str">
        <f>$K$6</f>
        <v>Black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247</v>
      </c>
      <c r="M584" s="538"/>
      <c r="N584" s="543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248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249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250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251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252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253</v>
      </c>
      <c r="D591" s="538"/>
      <c r="E591" s="289">
        <f>'BD Team'!B62</f>
        <v>0</v>
      </c>
      <c r="F591" s="288" t="s">
        <v>254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246</v>
      </c>
      <c r="M593" s="538"/>
      <c r="N593" s="540" t="str">
        <f>$F$6</f>
        <v>Powder Coating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177</v>
      </c>
      <c r="M594" s="538"/>
      <c r="N594" s="540" t="str">
        <f>$K$6</f>
        <v>Black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247</v>
      </c>
      <c r="M595" s="538"/>
      <c r="N595" s="543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248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249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250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251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252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253</v>
      </c>
      <c r="D602" s="538"/>
      <c r="E602" s="289">
        <f>'BD Team'!B63</f>
        <v>0</v>
      </c>
      <c r="F602" s="288" t="s">
        <v>254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246</v>
      </c>
      <c r="M604" s="538"/>
      <c r="N604" s="540" t="str">
        <f>$F$6</f>
        <v>Powder Coating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177</v>
      </c>
      <c r="M605" s="538"/>
      <c r="N605" s="540" t="str">
        <f>$K$6</f>
        <v>Black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247</v>
      </c>
      <c r="M606" s="538"/>
      <c r="N606" s="543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248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249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250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251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252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253</v>
      </c>
      <c r="D613" s="538"/>
      <c r="E613" s="289">
        <f>'BD Team'!B64</f>
        <v>0</v>
      </c>
      <c r="F613" s="288" t="s">
        <v>254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246</v>
      </c>
      <c r="M615" s="538"/>
      <c r="N615" s="540" t="str">
        <f>$F$6</f>
        <v>Powder Coating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177</v>
      </c>
      <c r="M616" s="538"/>
      <c r="N616" s="540" t="str">
        <f>$K$6</f>
        <v>Black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247</v>
      </c>
      <c r="M617" s="538"/>
      <c r="N617" s="543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248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249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250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251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252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253</v>
      </c>
      <c r="D624" s="538"/>
      <c r="E624" s="289">
        <f>'BD Team'!B65</f>
        <v>0</v>
      </c>
      <c r="F624" s="288" t="s">
        <v>254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246</v>
      </c>
      <c r="M626" s="538"/>
      <c r="N626" s="540" t="str">
        <f>$F$6</f>
        <v>Powder Coating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177</v>
      </c>
      <c r="M627" s="538"/>
      <c r="N627" s="540" t="str">
        <f>$K$6</f>
        <v>Black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247</v>
      </c>
      <c r="M628" s="538"/>
      <c r="N628" s="543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248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249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250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251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252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253</v>
      </c>
      <c r="D635" s="538"/>
      <c r="E635" s="289">
        <f>'BD Team'!B66</f>
        <v>0</v>
      </c>
      <c r="F635" s="288" t="s">
        <v>254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246</v>
      </c>
      <c r="M637" s="538"/>
      <c r="N637" s="540" t="str">
        <f>$F$6</f>
        <v>Powder Coating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177</v>
      </c>
      <c r="M638" s="538"/>
      <c r="N638" s="540" t="str">
        <f>$K$6</f>
        <v>Black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247</v>
      </c>
      <c r="M639" s="538"/>
      <c r="N639" s="543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248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249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250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251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252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253</v>
      </c>
      <c r="D646" s="538"/>
      <c r="E646" s="289">
        <f>'BD Team'!B67</f>
        <v>0</v>
      </c>
      <c r="F646" s="288" t="s">
        <v>254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246</v>
      </c>
      <c r="M648" s="538"/>
      <c r="N648" s="540" t="str">
        <f>$F$6</f>
        <v>Powder Coating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177</v>
      </c>
      <c r="M649" s="538"/>
      <c r="N649" s="540" t="str">
        <f>$K$6</f>
        <v>Black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247</v>
      </c>
      <c r="M650" s="538"/>
      <c r="N650" s="543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248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249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250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251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252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253</v>
      </c>
      <c r="D657" s="538"/>
      <c r="E657" s="289">
        <f>'BD Team'!B68</f>
        <v>0</v>
      </c>
      <c r="F657" s="288" t="s">
        <v>254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246</v>
      </c>
      <c r="M659" s="538"/>
      <c r="N659" s="540" t="str">
        <f>$F$6</f>
        <v>Powder Coating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177</v>
      </c>
      <c r="M660" s="538"/>
      <c r="N660" s="540" t="str">
        <f>$K$6</f>
        <v>Black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247</v>
      </c>
      <c r="M661" s="538"/>
      <c r="N661" s="543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248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249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250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251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252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253</v>
      </c>
      <c r="D668" s="538"/>
      <c r="E668" s="289">
        <f>'BD Team'!B69</f>
        <v>0</v>
      </c>
      <c r="F668" s="288" t="s">
        <v>254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246</v>
      </c>
      <c r="M670" s="538"/>
      <c r="N670" s="540" t="str">
        <f>$F$6</f>
        <v>Powder Coating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177</v>
      </c>
      <c r="M671" s="538"/>
      <c r="N671" s="540" t="str">
        <f>$K$6</f>
        <v>Black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247</v>
      </c>
      <c r="M672" s="538"/>
      <c r="N672" s="543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248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249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250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251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252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253</v>
      </c>
      <c r="D679" s="538"/>
      <c r="E679" s="289">
        <f>'BD Team'!B70</f>
        <v>0</v>
      </c>
      <c r="F679" s="288" t="s">
        <v>254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246</v>
      </c>
      <c r="M681" s="538"/>
      <c r="N681" s="540" t="str">
        <f>$F$6</f>
        <v>Powder Coating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177</v>
      </c>
      <c r="M682" s="538"/>
      <c r="N682" s="540" t="str">
        <f>$K$6</f>
        <v>Black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247</v>
      </c>
      <c r="M683" s="538"/>
      <c r="N683" s="543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248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249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250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251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252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253</v>
      </c>
      <c r="D690" s="538"/>
      <c r="E690" s="289">
        <f>'BD Team'!B71</f>
        <v>0</v>
      </c>
      <c r="F690" s="288" t="s">
        <v>254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246</v>
      </c>
      <c r="M692" s="538"/>
      <c r="N692" s="540" t="str">
        <f>$F$6</f>
        <v>Powder Coating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177</v>
      </c>
      <c r="M693" s="538"/>
      <c r="N693" s="540" t="str">
        <f>$K$6</f>
        <v>Black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247</v>
      </c>
      <c r="M694" s="538"/>
      <c r="N694" s="543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248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249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250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251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252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253</v>
      </c>
      <c r="D701" s="538"/>
      <c r="E701" s="289">
        <f>'BD Team'!B72</f>
        <v>0</v>
      </c>
      <c r="F701" s="288" t="s">
        <v>254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246</v>
      </c>
      <c r="M703" s="538"/>
      <c r="N703" s="540" t="str">
        <f>$F$6</f>
        <v>Powder Coating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177</v>
      </c>
      <c r="M704" s="538"/>
      <c r="N704" s="540" t="str">
        <f>$K$6</f>
        <v>Black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247</v>
      </c>
      <c r="M705" s="538"/>
      <c r="N705" s="543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248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249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250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251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252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253</v>
      </c>
      <c r="D712" s="538"/>
      <c r="E712" s="289">
        <f>'BD Team'!B73</f>
        <v>0</v>
      </c>
      <c r="F712" s="288" t="s">
        <v>254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246</v>
      </c>
      <c r="M714" s="538"/>
      <c r="N714" s="540" t="str">
        <f>$F$6</f>
        <v>Powder Coating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177</v>
      </c>
      <c r="M715" s="538"/>
      <c r="N715" s="540" t="str">
        <f>$K$6</f>
        <v>Black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247</v>
      </c>
      <c r="M716" s="538"/>
      <c r="N716" s="543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248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249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250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251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252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253</v>
      </c>
      <c r="D723" s="538"/>
      <c r="E723" s="289">
        <f>'BD Team'!B74</f>
        <v>0</v>
      </c>
      <c r="F723" s="288" t="s">
        <v>254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246</v>
      </c>
      <c r="M725" s="538"/>
      <c r="N725" s="540" t="str">
        <f>$F$6</f>
        <v>Powder Coating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177</v>
      </c>
      <c r="M726" s="538"/>
      <c r="N726" s="540" t="str">
        <f>$K$6</f>
        <v>Black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247</v>
      </c>
      <c r="M727" s="538"/>
      <c r="N727" s="543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248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249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250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251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252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253</v>
      </c>
      <c r="D734" s="538"/>
      <c r="E734" s="289">
        <f>'BD Team'!B75</f>
        <v>0</v>
      </c>
      <c r="F734" s="288" t="s">
        <v>254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246</v>
      </c>
      <c r="M736" s="538"/>
      <c r="N736" s="540" t="str">
        <f>$F$6</f>
        <v>Powder Coating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177</v>
      </c>
      <c r="M737" s="538"/>
      <c r="N737" s="540" t="str">
        <f>$K$6</f>
        <v>Black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247</v>
      </c>
      <c r="M738" s="538"/>
      <c r="N738" s="543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248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249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250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251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252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253</v>
      </c>
      <c r="D745" s="538"/>
      <c r="E745" s="289">
        <f>'BD Team'!B76</f>
        <v>0</v>
      </c>
      <c r="F745" s="288" t="s">
        <v>254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246</v>
      </c>
      <c r="M747" s="538"/>
      <c r="N747" s="540" t="str">
        <f>$F$6</f>
        <v>Powder Coating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177</v>
      </c>
      <c r="M748" s="538"/>
      <c r="N748" s="540" t="str">
        <f>$K$6</f>
        <v>Black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247</v>
      </c>
      <c r="M749" s="538"/>
      <c r="N749" s="543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248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249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250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251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252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253</v>
      </c>
      <c r="D756" s="538"/>
      <c r="E756" s="289">
        <f>'BD Team'!B77</f>
        <v>0</v>
      </c>
      <c r="F756" s="288" t="s">
        <v>254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246</v>
      </c>
      <c r="M758" s="538"/>
      <c r="N758" s="540" t="str">
        <f>$F$6</f>
        <v>Powder Coating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177</v>
      </c>
      <c r="M759" s="538"/>
      <c r="N759" s="540" t="str">
        <f>$K$6</f>
        <v>Black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247</v>
      </c>
      <c r="M760" s="538"/>
      <c r="N760" s="543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248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249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250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251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252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253</v>
      </c>
      <c r="D767" s="538"/>
      <c r="E767" s="289">
        <f>'BD Team'!B78</f>
        <v>0</v>
      </c>
      <c r="F767" s="288" t="s">
        <v>254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246</v>
      </c>
      <c r="M769" s="538"/>
      <c r="N769" s="540" t="str">
        <f>$F$6</f>
        <v>Powder Coating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177</v>
      </c>
      <c r="M770" s="538"/>
      <c r="N770" s="540" t="str">
        <f>$K$6</f>
        <v>Black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247</v>
      </c>
      <c r="M771" s="538"/>
      <c r="N771" s="543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248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249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250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251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252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253</v>
      </c>
      <c r="D778" s="538"/>
      <c r="E778" s="289">
        <f>'BD Team'!B79</f>
        <v>0</v>
      </c>
      <c r="F778" s="288" t="s">
        <v>254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246</v>
      </c>
      <c r="M780" s="538"/>
      <c r="N780" s="540" t="str">
        <f>$F$6</f>
        <v>Powder Coating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177</v>
      </c>
      <c r="M781" s="538"/>
      <c r="N781" s="540" t="str">
        <f>$K$6</f>
        <v>Black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247</v>
      </c>
      <c r="M782" s="538"/>
      <c r="N782" s="543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248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249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250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251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252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253</v>
      </c>
      <c r="D789" s="538"/>
      <c r="E789" s="289">
        <f>'BD Team'!B80</f>
        <v>0</v>
      </c>
      <c r="F789" s="288" t="s">
        <v>254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246</v>
      </c>
      <c r="M791" s="538"/>
      <c r="N791" s="540" t="str">
        <f>$F$6</f>
        <v>Powder Coating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177</v>
      </c>
      <c r="M792" s="538"/>
      <c r="N792" s="540" t="str">
        <f>$K$6</f>
        <v>Black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247</v>
      </c>
      <c r="M793" s="538"/>
      <c r="N793" s="543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248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249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250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251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252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253</v>
      </c>
      <c r="D800" s="538"/>
      <c r="E800" s="289">
        <f>'BD Team'!B81</f>
        <v>0</v>
      </c>
      <c r="F800" s="288" t="s">
        <v>254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246</v>
      </c>
      <c r="M802" s="538"/>
      <c r="N802" s="540" t="str">
        <f>$F$6</f>
        <v>Powder Coating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177</v>
      </c>
      <c r="M803" s="538"/>
      <c r="N803" s="540" t="str">
        <f>$K$6</f>
        <v>Black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247</v>
      </c>
      <c r="M804" s="538"/>
      <c r="N804" s="543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248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249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250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251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252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253</v>
      </c>
      <c r="D811" s="538"/>
      <c r="E811" s="289">
        <f>'BD Team'!B82</f>
        <v>0</v>
      </c>
      <c r="F811" s="288" t="s">
        <v>254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246</v>
      </c>
      <c r="M813" s="538"/>
      <c r="N813" s="540" t="str">
        <f>$F$6</f>
        <v>Powder Coating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177</v>
      </c>
      <c r="M814" s="538"/>
      <c r="N814" s="540" t="str">
        <f>$K$6</f>
        <v>Black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247</v>
      </c>
      <c r="M815" s="538"/>
      <c r="N815" s="543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248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249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250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251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252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253</v>
      </c>
      <c r="D822" s="538"/>
      <c r="E822" s="289">
        <f>'BD Team'!B83</f>
        <v>0</v>
      </c>
      <c r="F822" s="288" t="s">
        <v>254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246</v>
      </c>
      <c r="M824" s="538"/>
      <c r="N824" s="540" t="str">
        <f>$F$6</f>
        <v>Powder Coating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177</v>
      </c>
      <c r="M825" s="538"/>
      <c r="N825" s="540" t="str">
        <f>$K$6</f>
        <v>Black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247</v>
      </c>
      <c r="M826" s="538"/>
      <c r="N826" s="543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248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249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250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251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252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253</v>
      </c>
      <c r="D833" s="538"/>
      <c r="E833" s="289">
        <f>'BD Team'!B84</f>
        <v>0</v>
      </c>
      <c r="F833" s="288" t="s">
        <v>254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246</v>
      </c>
      <c r="M835" s="538"/>
      <c r="N835" s="540" t="str">
        <f>$F$6</f>
        <v>Powder Coating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177</v>
      </c>
      <c r="M836" s="538"/>
      <c r="N836" s="540" t="str">
        <f>$K$6</f>
        <v>Black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247</v>
      </c>
      <c r="M837" s="538"/>
      <c r="N837" s="543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248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249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250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251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252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253</v>
      </c>
      <c r="D844" s="538"/>
      <c r="E844" s="289">
        <f>'BD Team'!B85</f>
        <v>0</v>
      </c>
      <c r="F844" s="288" t="s">
        <v>254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246</v>
      </c>
      <c r="M846" s="538"/>
      <c r="N846" s="540" t="str">
        <f>$F$6</f>
        <v>Powder Coating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177</v>
      </c>
      <c r="M847" s="538"/>
      <c r="N847" s="540" t="str">
        <f>$K$6</f>
        <v>Black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247</v>
      </c>
      <c r="M848" s="538"/>
      <c r="N848" s="543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248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249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250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251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252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253</v>
      </c>
      <c r="D855" s="538"/>
      <c r="E855" s="289">
        <f>'BD Team'!B86</f>
        <v>0</v>
      </c>
      <c r="F855" s="288" t="s">
        <v>254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246</v>
      </c>
      <c r="M857" s="538"/>
      <c r="N857" s="540" t="str">
        <f>$F$6</f>
        <v>Powder Coating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177</v>
      </c>
      <c r="M858" s="538"/>
      <c r="N858" s="540" t="str">
        <f>$K$6</f>
        <v>Black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247</v>
      </c>
      <c r="M859" s="538"/>
      <c r="N859" s="543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248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249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250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251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252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253</v>
      </c>
      <c r="D866" s="538"/>
      <c r="E866" s="289">
        <f>'BD Team'!B87</f>
        <v>0</v>
      </c>
      <c r="F866" s="288" t="s">
        <v>254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246</v>
      </c>
      <c r="M868" s="538"/>
      <c r="N868" s="540" t="str">
        <f>$F$6</f>
        <v>Powder Coating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177</v>
      </c>
      <c r="M869" s="538"/>
      <c r="N869" s="540" t="str">
        <f>$K$6</f>
        <v>Black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247</v>
      </c>
      <c r="M870" s="538"/>
      <c r="N870" s="543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248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249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250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251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252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253</v>
      </c>
      <c r="D877" s="538"/>
      <c r="E877" s="289">
        <f>'BD Team'!B88</f>
        <v>0</v>
      </c>
      <c r="F877" s="288" t="s">
        <v>254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246</v>
      </c>
      <c r="M879" s="538"/>
      <c r="N879" s="540" t="str">
        <f>$F$6</f>
        <v>Powder Coating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177</v>
      </c>
      <c r="M880" s="538"/>
      <c r="N880" s="540" t="str">
        <f>$K$6</f>
        <v>Black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247</v>
      </c>
      <c r="M881" s="538"/>
      <c r="N881" s="543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248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249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250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251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252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253</v>
      </c>
      <c r="D888" s="538"/>
      <c r="E888" s="289">
        <f>'BD Team'!B89</f>
        <v>0</v>
      </c>
      <c r="F888" s="288" t="s">
        <v>254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246</v>
      </c>
      <c r="M890" s="538"/>
      <c r="N890" s="540" t="str">
        <f>$F$6</f>
        <v>Powder Coating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177</v>
      </c>
      <c r="M891" s="538"/>
      <c r="N891" s="540" t="str">
        <f>$K$6</f>
        <v>Black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247</v>
      </c>
      <c r="M892" s="538"/>
      <c r="N892" s="543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248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249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250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251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252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253</v>
      </c>
      <c r="D899" s="538"/>
      <c r="E899" s="289">
        <f>'BD Team'!B90</f>
        <v>0</v>
      </c>
      <c r="F899" s="288" t="s">
        <v>254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246</v>
      </c>
      <c r="M901" s="538"/>
      <c r="N901" s="540" t="str">
        <f>$F$6</f>
        <v>Powder Coating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177</v>
      </c>
      <c r="M902" s="538"/>
      <c r="N902" s="540" t="str">
        <f>$K$6</f>
        <v>Black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247</v>
      </c>
      <c r="M903" s="538"/>
      <c r="N903" s="543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248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249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250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251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252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253</v>
      </c>
      <c r="D910" s="538"/>
      <c r="E910" s="289">
        <f>'BD Team'!B91</f>
        <v>0</v>
      </c>
      <c r="F910" s="288" t="s">
        <v>254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246</v>
      </c>
      <c r="M912" s="538"/>
      <c r="N912" s="540" t="str">
        <f>$F$6</f>
        <v>Powder Coating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177</v>
      </c>
      <c r="M913" s="538"/>
      <c r="N913" s="540" t="str">
        <f>$K$6</f>
        <v>Black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247</v>
      </c>
      <c r="M914" s="538"/>
      <c r="N914" s="543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248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249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250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251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252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253</v>
      </c>
      <c r="D921" s="538"/>
      <c r="E921" s="289">
        <f>'BD Team'!B92</f>
        <v>0</v>
      </c>
      <c r="F921" s="288" t="s">
        <v>254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246</v>
      </c>
      <c r="M923" s="538"/>
      <c r="N923" s="540" t="str">
        <f>$F$6</f>
        <v>Powder Coating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177</v>
      </c>
      <c r="M924" s="538"/>
      <c r="N924" s="540" t="str">
        <f>$K$6</f>
        <v>Black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247</v>
      </c>
      <c r="M925" s="538"/>
      <c r="N925" s="543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248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249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250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251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252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253</v>
      </c>
      <c r="D932" s="538"/>
      <c r="E932" s="289">
        <f>'BD Team'!B93</f>
        <v>0</v>
      </c>
      <c r="F932" s="288" t="s">
        <v>254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246</v>
      </c>
      <c r="M934" s="538"/>
      <c r="N934" s="540" t="str">
        <f>$F$6</f>
        <v>Powder Coating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177</v>
      </c>
      <c r="M935" s="538"/>
      <c r="N935" s="540" t="str">
        <f>$K$6</f>
        <v>Black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247</v>
      </c>
      <c r="M936" s="538"/>
      <c r="N936" s="543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248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249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250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251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252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253</v>
      </c>
      <c r="D943" s="538"/>
      <c r="E943" s="289">
        <f>'BD Team'!B94</f>
        <v>0</v>
      </c>
      <c r="F943" s="288" t="s">
        <v>254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246</v>
      </c>
      <c r="M945" s="538"/>
      <c r="N945" s="540" t="str">
        <f>$F$6</f>
        <v>Powder Coating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177</v>
      </c>
      <c r="M946" s="538"/>
      <c r="N946" s="540" t="str">
        <f>$K$6</f>
        <v>Black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247</v>
      </c>
      <c r="M947" s="538"/>
      <c r="N947" s="543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248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249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250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251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252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253</v>
      </c>
      <c r="D954" s="538"/>
      <c r="E954" s="289">
        <f>'BD Team'!B95</f>
        <v>0</v>
      </c>
      <c r="F954" s="288" t="s">
        <v>254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246</v>
      </c>
      <c r="M956" s="538"/>
      <c r="N956" s="540" t="str">
        <f>$F$6</f>
        <v>Powder Coating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177</v>
      </c>
      <c r="M957" s="538"/>
      <c r="N957" s="540" t="str">
        <f>$K$6</f>
        <v>Black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247</v>
      </c>
      <c r="M958" s="538"/>
      <c r="N958" s="543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248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249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250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251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252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253</v>
      </c>
      <c r="D965" s="538"/>
      <c r="E965" s="289">
        <f>'BD Team'!B96</f>
        <v>0</v>
      </c>
      <c r="F965" s="288" t="s">
        <v>254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246</v>
      </c>
      <c r="M967" s="538"/>
      <c r="N967" s="540" t="str">
        <f>$F$6</f>
        <v>Powder Coating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177</v>
      </c>
      <c r="M968" s="538"/>
      <c r="N968" s="540" t="str">
        <f>$K$6</f>
        <v>Black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247</v>
      </c>
      <c r="M969" s="538"/>
      <c r="N969" s="543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248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249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250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251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252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253</v>
      </c>
      <c r="D976" s="538"/>
      <c r="E976" s="289">
        <f>'BD Team'!B97</f>
        <v>0</v>
      </c>
      <c r="F976" s="288" t="s">
        <v>254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246</v>
      </c>
      <c r="M978" s="538"/>
      <c r="N978" s="540" t="str">
        <f>$F$6</f>
        <v>Powder Coating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177</v>
      </c>
      <c r="M979" s="538"/>
      <c r="N979" s="540" t="str">
        <f>$K$6</f>
        <v>Black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247</v>
      </c>
      <c r="M980" s="538"/>
      <c r="N980" s="543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248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249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250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251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252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253</v>
      </c>
      <c r="D987" s="538"/>
      <c r="E987" s="289">
        <f>'BD Team'!B98</f>
        <v>0</v>
      </c>
      <c r="F987" s="288" t="s">
        <v>254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246</v>
      </c>
      <c r="M989" s="538"/>
      <c r="N989" s="540" t="str">
        <f>$F$6</f>
        <v>Powder Coating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177</v>
      </c>
      <c r="M990" s="538"/>
      <c r="N990" s="540" t="str">
        <f>$K$6</f>
        <v>Black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247</v>
      </c>
      <c r="M991" s="538"/>
      <c r="N991" s="543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248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249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250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251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252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253</v>
      </c>
      <c r="D998" s="538"/>
      <c r="E998" s="289">
        <f>'BD Team'!B99</f>
        <v>0</v>
      </c>
      <c r="F998" s="288" t="s">
        <v>254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246</v>
      </c>
      <c r="M1000" s="538"/>
      <c r="N1000" s="540" t="str">
        <f>$F$6</f>
        <v>Powder Coating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177</v>
      </c>
      <c r="M1001" s="538"/>
      <c r="N1001" s="540" t="str">
        <f>$K$6</f>
        <v>Black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247</v>
      </c>
      <c r="M1002" s="538"/>
      <c r="N1002" s="543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248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249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250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251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252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253</v>
      </c>
      <c r="D1009" s="538"/>
      <c r="E1009" s="289">
        <f>'BD Team'!B100</f>
        <v>0</v>
      </c>
      <c r="F1009" s="288" t="s">
        <v>254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246</v>
      </c>
      <c r="M1011" s="538"/>
      <c r="N1011" s="540" t="str">
        <f>$F$6</f>
        <v>Powder Coating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177</v>
      </c>
      <c r="M1012" s="538"/>
      <c r="N1012" s="540" t="str">
        <f>$K$6</f>
        <v>Black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247</v>
      </c>
      <c r="M1013" s="538"/>
      <c r="N1013" s="543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248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249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250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251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252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253</v>
      </c>
      <c r="D1020" s="538"/>
      <c r="E1020" s="289">
        <f>'BD Team'!B101</f>
        <v>0</v>
      </c>
      <c r="F1020" s="288" t="s">
        <v>254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246</v>
      </c>
      <c r="M1022" s="538"/>
      <c r="N1022" s="540" t="str">
        <f>$F$6</f>
        <v>Powder Coating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177</v>
      </c>
      <c r="M1023" s="538"/>
      <c r="N1023" s="540" t="str">
        <f>$K$6</f>
        <v>Black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247</v>
      </c>
      <c r="M1024" s="538"/>
      <c r="N1024" s="543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248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249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250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251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252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253</v>
      </c>
      <c r="D1031" s="538"/>
      <c r="E1031" s="289">
        <f>'BD Team'!B102</f>
        <v>0</v>
      </c>
      <c r="F1031" s="288" t="s">
        <v>254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246</v>
      </c>
      <c r="M1033" s="538"/>
      <c r="N1033" s="540" t="str">
        <f>$F$6</f>
        <v>Powder Coating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177</v>
      </c>
      <c r="M1034" s="538"/>
      <c r="N1034" s="540" t="str">
        <f>$K$6</f>
        <v>Black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247</v>
      </c>
      <c r="M1035" s="538"/>
      <c r="N1035" s="543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248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249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250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251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252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253</v>
      </c>
      <c r="D1042" s="538"/>
      <c r="E1042" s="289">
        <f>'BD Team'!B103</f>
        <v>0</v>
      </c>
      <c r="F1042" s="288" t="s">
        <v>254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246</v>
      </c>
      <c r="M1044" s="538"/>
      <c r="N1044" s="540" t="str">
        <f>$F$6</f>
        <v>Powder Coating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177</v>
      </c>
      <c r="M1045" s="538"/>
      <c r="N1045" s="540" t="str">
        <f>$K$6</f>
        <v>Black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247</v>
      </c>
      <c r="M1046" s="538"/>
      <c r="N1046" s="543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248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249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250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251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252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253</v>
      </c>
      <c r="D1053" s="538"/>
      <c r="E1053" s="289">
        <f>'BD Team'!B104</f>
        <v>0</v>
      </c>
      <c r="F1053" s="288" t="s">
        <v>254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246</v>
      </c>
      <c r="M1055" s="538"/>
      <c r="N1055" s="540" t="str">
        <f>$F$6</f>
        <v>Powder Coating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177</v>
      </c>
      <c r="M1056" s="538"/>
      <c r="N1056" s="540" t="str">
        <f>$K$6</f>
        <v>Black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247</v>
      </c>
      <c r="M1057" s="538"/>
      <c r="N1057" s="543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248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249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250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251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252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253</v>
      </c>
      <c r="D1064" s="538"/>
      <c r="E1064" s="289">
        <f>'BD Team'!B105</f>
        <v>0</v>
      </c>
      <c r="F1064" s="288" t="s">
        <v>254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246</v>
      </c>
      <c r="M1066" s="538"/>
      <c r="N1066" s="540" t="str">
        <f>$F$6</f>
        <v>Powder Coating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177</v>
      </c>
      <c r="M1067" s="538"/>
      <c r="N1067" s="540" t="str">
        <f>$K$6</f>
        <v>Black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247</v>
      </c>
      <c r="M1068" s="538"/>
      <c r="N1068" s="543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248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249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250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251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252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253</v>
      </c>
      <c r="D1075" s="538"/>
      <c r="E1075" s="289">
        <f>'BD Team'!B106</f>
        <v>0</v>
      </c>
      <c r="F1075" s="288" t="s">
        <v>254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246</v>
      </c>
      <c r="M1077" s="538"/>
      <c r="N1077" s="540" t="str">
        <f>$F$6</f>
        <v>Powder Coating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177</v>
      </c>
      <c r="M1078" s="538"/>
      <c r="N1078" s="540" t="str">
        <f>$K$6</f>
        <v>Black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247</v>
      </c>
      <c r="M1079" s="538"/>
      <c r="N1079" s="543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248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249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250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251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252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253</v>
      </c>
      <c r="D1086" s="538"/>
      <c r="E1086" s="289">
        <f>'BD Team'!B107</f>
        <v>0</v>
      </c>
      <c r="F1086" s="288" t="s">
        <v>254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246</v>
      </c>
      <c r="M1088" s="538"/>
      <c r="N1088" s="540" t="str">
        <f>$F$6</f>
        <v>Powder Coating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177</v>
      </c>
      <c r="M1089" s="538"/>
      <c r="N1089" s="540" t="str">
        <f>$K$6</f>
        <v>Black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247</v>
      </c>
      <c r="M1090" s="538"/>
      <c r="N1090" s="543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248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249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250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251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252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253</v>
      </c>
      <c r="D1097" s="538"/>
      <c r="E1097" s="289">
        <f>'BD Team'!B108</f>
        <v>0</v>
      </c>
      <c r="F1097" s="288" t="s">
        <v>254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246</v>
      </c>
      <c r="M1099" s="538"/>
      <c r="N1099" s="540" t="str">
        <f>$F$6</f>
        <v>Powder Coating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177</v>
      </c>
      <c r="M1100" s="538"/>
      <c r="N1100" s="540" t="str">
        <f>$K$6</f>
        <v>Black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247</v>
      </c>
      <c r="M1101" s="538"/>
      <c r="N1101" s="543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248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249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250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251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252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566</v>
      </c>
    </row>
    <row r="5" spans="3:5">
      <c r="C5" s="236" t="s">
        <v>395</v>
      </c>
      <c r="D5" s="236" t="s">
        <v>393</v>
      </c>
      <c r="E5" s="309">
        <f>ROUND(Pricing!U104,0.1)/40</f>
        <v>16.975000000000001</v>
      </c>
    </row>
    <row r="6" spans="3:5">
      <c r="C6" s="236" t="s">
        <v>83</v>
      </c>
      <c r="D6" s="236" t="s">
        <v>392</v>
      </c>
      <c r="E6" s="309">
        <f>ROUND(Pricing!V104,0.1)</f>
        <v>35</v>
      </c>
    </row>
    <row r="7" spans="3:5">
      <c r="C7" s="236" t="s">
        <v>399</v>
      </c>
      <c r="D7" s="236" t="s">
        <v>391</v>
      </c>
      <c r="E7" s="309">
        <f>ROUND(Pricing!W104,0.1)</f>
        <v>566</v>
      </c>
    </row>
    <row r="8" spans="3:5">
      <c r="C8" s="236" t="s">
        <v>396</v>
      </c>
      <c r="D8" s="236" t="s">
        <v>391</v>
      </c>
      <c r="E8" s="309">
        <f>ROUND(Pricing!X104,0.1)</f>
        <v>1132</v>
      </c>
    </row>
    <row r="9" spans="3:5">
      <c r="C9" t="s">
        <v>222</v>
      </c>
      <c r="D9" s="236" t="s">
        <v>394</v>
      </c>
      <c r="E9" s="309">
        <f>ROUND(Pricing!Y104,0.1)</f>
        <v>340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9"/>
  <sheetViews>
    <sheetView topLeftCell="A13" workbookViewId="0">
      <selection activeCell="A30" sqref="A30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CW1</v>
      </c>
      <c r="B2" s="318" t="str">
        <f>'BD Team'!C9</f>
        <v>M15000</v>
      </c>
      <c r="C2" s="318" t="str">
        <f>'BD Team'!D9</f>
        <v>FIXED GLASS CORNOR WINDOW</v>
      </c>
      <c r="D2" s="318" t="str">
        <f>'BD Team'!E9</f>
        <v>10MM</v>
      </c>
      <c r="E2" s="318" t="str">
        <f>'BD Team'!G9</f>
        <v>GF - LIVING ROOM</v>
      </c>
      <c r="F2" s="318" t="str">
        <f>'BD Team'!F9</f>
        <v>NO</v>
      </c>
      <c r="I2" s="318">
        <f>'BD Team'!H9</f>
        <v>4344</v>
      </c>
      <c r="J2" s="318">
        <f>'BD Team'!I9</f>
        <v>2364</v>
      </c>
      <c r="K2" s="318">
        <f>'BD Team'!J9</f>
        <v>1</v>
      </c>
      <c r="L2" s="319">
        <f>'BD Team'!K9</f>
        <v>161.44999999999999</v>
      </c>
      <c r="M2" s="318">
        <f>Pricing!O4</f>
        <v>1589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W1</v>
      </c>
      <c r="B3" s="318" t="str">
        <f>'BD Team'!C10</f>
        <v>M900</v>
      </c>
      <c r="C3" s="318" t="str">
        <f>'BD Team'!D10</f>
        <v>3 TRACK 2 SHUTTER SLIDING WINDOW</v>
      </c>
      <c r="D3" s="318" t="str">
        <f>'BD Team'!E10</f>
        <v>6MM</v>
      </c>
      <c r="E3" s="318" t="str">
        <f>'BD Team'!G10</f>
        <v>GF - FIRST LIVING</v>
      </c>
      <c r="F3" s="318" t="str">
        <f>'BD Team'!F10</f>
        <v>SS</v>
      </c>
      <c r="I3" s="318">
        <f>'BD Team'!H10</f>
        <v>2350</v>
      </c>
      <c r="J3" s="318">
        <f>'BD Team'!I10</f>
        <v>1246</v>
      </c>
      <c r="K3" s="318">
        <f>'BD Team'!J10</f>
        <v>1</v>
      </c>
      <c r="L3" s="319">
        <f>'BD Team'!K10</f>
        <v>167.64999999999998</v>
      </c>
      <c r="M3" s="318">
        <f>Pricing!O5</f>
        <v>1002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W2</v>
      </c>
      <c r="B4" s="318" t="str">
        <f>'BD Team'!C11</f>
        <v>M15000</v>
      </c>
      <c r="C4" s="318" t="str">
        <f>'BD Team'!D11</f>
        <v>SIDE HUNG WINDOW</v>
      </c>
      <c r="D4" s="318" t="str">
        <f>'BD Team'!E11</f>
        <v>6MM</v>
      </c>
      <c r="E4" s="318" t="str">
        <f>'BD Team'!G11</f>
        <v>GF - MASTER BEDROOM</v>
      </c>
      <c r="F4" s="318" t="str">
        <f>'BD Team'!F11</f>
        <v>NO</v>
      </c>
      <c r="I4" s="318">
        <f>'BD Team'!H11</f>
        <v>680</v>
      </c>
      <c r="J4" s="318">
        <f>'BD Team'!I11</f>
        <v>1270</v>
      </c>
      <c r="K4" s="318">
        <f>'BD Team'!J11</f>
        <v>1</v>
      </c>
      <c r="L4" s="319">
        <f>'BD Team'!K11</f>
        <v>176.7</v>
      </c>
      <c r="M4" s="318">
        <f>Pricing!O6</f>
        <v>1002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W3</v>
      </c>
      <c r="B5" s="318" t="str">
        <f>'BD Team'!C12</f>
        <v>M15000</v>
      </c>
      <c r="C5" s="318" t="str">
        <f>'BD Team'!D12</f>
        <v>SIDE HUNG WINDOW</v>
      </c>
      <c r="D5" s="318" t="str">
        <f>'BD Team'!E12</f>
        <v>6MM</v>
      </c>
      <c r="E5" s="318" t="str">
        <f>'BD Team'!G12</f>
        <v>GF - MASTER BEDROOM</v>
      </c>
      <c r="F5" s="318" t="str">
        <f>'BD Team'!F12</f>
        <v>NO</v>
      </c>
      <c r="I5" s="318">
        <f>'BD Team'!H12</f>
        <v>686</v>
      </c>
      <c r="J5" s="318">
        <f>'BD Team'!I12</f>
        <v>1270</v>
      </c>
      <c r="K5" s="318">
        <f>'BD Team'!J12</f>
        <v>1</v>
      </c>
      <c r="L5" s="319">
        <f>'BD Team'!K12</f>
        <v>177</v>
      </c>
      <c r="M5" s="318">
        <f>Pricing!O7</f>
        <v>1002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V1</v>
      </c>
      <c r="B6" s="318" t="str">
        <f>'BD Team'!C13</f>
        <v>M940</v>
      </c>
      <c r="C6" s="318" t="str">
        <f>'BD Team'!D13</f>
        <v>FIXED GLASS WITH GLASS LOUVERS AND EXHAUST PROVISION</v>
      </c>
      <c r="D6" s="318" t="str">
        <f>'BD Team'!E13</f>
        <v>6MM (F)</v>
      </c>
      <c r="E6" s="318" t="str">
        <f>'BD Team'!G13</f>
        <v>GF - MASTER TOILET</v>
      </c>
      <c r="F6" s="318" t="str">
        <f>'BD Team'!F13</f>
        <v>NO</v>
      </c>
      <c r="I6" s="318">
        <f>'BD Team'!H13</f>
        <v>548</v>
      </c>
      <c r="J6" s="318">
        <f>'BD Team'!I13</f>
        <v>788</v>
      </c>
      <c r="K6" s="318">
        <f>'BD Team'!J13</f>
        <v>1</v>
      </c>
      <c r="L6" s="319">
        <f>'BD Team'!K13</f>
        <v>29.67</v>
      </c>
      <c r="M6" s="318">
        <f>Pricing!O8</f>
        <v>2003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V2</v>
      </c>
      <c r="B7" s="318" t="str">
        <f>'BD Team'!C14</f>
        <v>M940</v>
      </c>
      <c r="C7" s="318" t="str">
        <f>'BD Team'!D14</f>
        <v>FIXED GLASS WITH GLASS LOUVERS AND EXHAUST PROVISION</v>
      </c>
      <c r="D7" s="318" t="str">
        <f>'BD Team'!E14</f>
        <v>6MM (F)</v>
      </c>
      <c r="E7" s="318" t="str">
        <f>'BD Team'!G14</f>
        <v>GF - MASTER TOILET</v>
      </c>
      <c r="F7" s="318" t="str">
        <f>'BD Team'!F14</f>
        <v>NO</v>
      </c>
      <c r="I7" s="318">
        <f>'BD Team'!H14</f>
        <v>458</v>
      </c>
      <c r="J7" s="318">
        <f>'BD Team'!I14</f>
        <v>788</v>
      </c>
      <c r="K7" s="318">
        <f>'BD Team'!J14</f>
        <v>1</v>
      </c>
      <c r="L7" s="319">
        <f>'BD Team'!K14</f>
        <v>27.22</v>
      </c>
      <c r="M7" s="318">
        <f>Pricing!O9</f>
        <v>2003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W4</v>
      </c>
      <c r="B8" s="318" t="str">
        <f>'BD Team'!C15</f>
        <v>M900</v>
      </c>
      <c r="C8" s="318" t="str">
        <f>'BD Team'!D15</f>
        <v>3 TRACK 2 SHUTTER SLIDING WINDOW</v>
      </c>
      <c r="D8" s="318" t="str">
        <f>'BD Team'!E15</f>
        <v>6MM</v>
      </c>
      <c r="E8" s="318" t="str">
        <f>'BD Team'!G15</f>
        <v>GF - DINING HALL</v>
      </c>
      <c r="F8" s="318" t="str">
        <f>'BD Team'!F15</f>
        <v>SS</v>
      </c>
      <c r="I8" s="318">
        <f>'BD Team'!H15</f>
        <v>2338</v>
      </c>
      <c r="J8" s="318">
        <f>'BD Team'!I15</f>
        <v>1240</v>
      </c>
      <c r="K8" s="318">
        <f>'BD Team'!J15</f>
        <v>1</v>
      </c>
      <c r="L8" s="319">
        <f>'BD Team'!K15</f>
        <v>166.97</v>
      </c>
      <c r="M8" s="318">
        <f>Pricing!O10</f>
        <v>1002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W5</v>
      </c>
      <c r="B9" s="318" t="str">
        <f>'BD Team'!C16</f>
        <v>M900</v>
      </c>
      <c r="C9" s="318" t="str">
        <f>'BD Team'!D16</f>
        <v>3 TRACK 2 SHUTTER SLIDING WINDOW</v>
      </c>
      <c r="D9" s="318" t="str">
        <f>'BD Team'!E16</f>
        <v>6MM</v>
      </c>
      <c r="E9" s="318" t="str">
        <f>'BD Team'!G16</f>
        <v>GF - KITCHEN</v>
      </c>
      <c r="F9" s="318" t="str">
        <f>'BD Team'!F16</f>
        <v>SS</v>
      </c>
      <c r="I9" s="318">
        <f>'BD Team'!H16</f>
        <v>2364</v>
      </c>
      <c r="J9" s="318">
        <f>'BD Team'!I16</f>
        <v>992</v>
      </c>
      <c r="K9" s="318">
        <f>'BD Team'!J16</f>
        <v>1</v>
      </c>
      <c r="L9" s="319">
        <f>'BD Team'!K16</f>
        <v>154.46</v>
      </c>
      <c r="M9" s="318">
        <f>Pricing!O11</f>
        <v>1002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W2</v>
      </c>
      <c r="B10" s="318" t="str">
        <f>'BD Team'!C17</f>
        <v>M15000</v>
      </c>
      <c r="C10" s="318" t="str">
        <f>'BD Team'!D17</f>
        <v>SIDE HUNG WINDOW</v>
      </c>
      <c r="D10" s="318" t="str">
        <f>'BD Team'!E17</f>
        <v>6MM</v>
      </c>
      <c r="E10" s="318" t="str">
        <f>'BD Team'!G17</f>
        <v>1F - MASTER BEDROOM</v>
      </c>
      <c r="F10" s="318" t="str">
        <f>'BD Team'!F17</f>
        <v>NO</v>
      </c>
      <c r="I10" s="318">
        <f>'BD Team'!H17</f>
        <v>686</v>
      </c>
      <c r="J10" s="318">
        <f>'BD Team'!I17</f>
        <v>1500</v>
      </c>
      <c r="K10" s="318">
        <f>'BD Team'!J17</f>
        <v>1</v>
      </c>
      <c r="L10" s="319">
        <f>'BD Team'!K17</f>
        <v>188.72</v>
      </c>
      <c r="M10" s="318">
        <f>Pricing!O12</f>
        <v>1002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W3</v>
      </c>
      <c r="B11" s="318" t="str">
        <f>'BD Team'!C18</f>
        <v>M15000</v>
      </c>
      <c r="C11" s="318" t="str">
        <f>'BD Team'!D18</f>
        <v>SIDE HUNG WINDOW</v>
      </c>
      <c r="D11" s="318" t="str">
        <f>'BD Team'!E18</f>
        <v>6MM</v>
      </c>
      <c r="E11" s="318" t="str">
        <f>'BD Team'!G18</f>
        <v>1F - MASTER BEDROOM</v>
      </c>
      <c r="F11" s="318" t="str">
        <f>'BD Team'!F18</f>
        <v>NO</v>
      </c>
      <c r="I11" s="318">
        <f>'BD Team'!H18</f>
        <v>686</v>
      </c>
      <c r="J11" s="318">
        <f>'BD Team'!I18</f>
        <v>1500</v>
      </c>
      <c r="K11" s="318">
        <f>'BD Team'!J18</f>
        <v>1</v>
      </c>
      <c r="L11" s="319">
        <f>'BD Team'!K18</f>
        <v>188.72</v>
      </c>
      <c r="M11" s="318">
        <f>Pricing!O13</f>
        <v>1002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V3</v>
      </c>
      <c r="B12" s="318" t="str">
        <f>'BD Team'!C19</f>
        <v>M940</v>
      </c>
      <c r="C12" s="318" t="str">
        <f>'BD Team'!D19</f>
        <v>FIXED GLASS WITH GLASS LOUVERS AND EXHAUST PROVISION</v>
      </c>
      <c r="D12" s="318" t="str">
        <f>'BD Team'!E19</f>
        <v>6MM (F)</v>
      </c>
      <c r="E12" s="318" t="str">
        <f>'BD Team'!G19</f>
        <v>1F - MASTER VENTILATOR</v>
      </c>
      <c r="F12" s="318" t="str">
        <f>'BD Team'!F19</f>
        <v>NO</v>
      </c>
      <c r="I12" s="318">
        <f>'BD Team'!H19</f>
        <v>840</v>
      </c>
      <c r="J12" s="318">
        <f>'BD Team'!I19</f>
        <v>538</v>
      </c>
      <c r="K12" s="318">
        <f>'BD Team'!J19</f>
        <v>1</v>
      </c>
      <c r="L12" s="319">
        <f>'BD Team'!K19</f>
        <v>33.26</v>
      </c>
      <c r="M12" s="318">
        <f>Pricing!O14</f>
        <v>2003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V4</v>
      </c>
      <c r="B13" s="318" t="str">
        <f>'BD Team'!C20</f>
        <v>M940</v>
      </c>
      <c r="C13" s="318" t="str">
        <f>'BD Team'!D20</f>
        <v>FIXED GLASS WITH GLASS LOUVERS AND EXHAUST PROVISION</v>
      </c>
      <c r="D13" s="318" t="str">
        <f>'BD Team'!E20</f>
        <v>6MM (F)</v>
      </c>
      <c r="E13" s="318" t="str">
        <f>'BD Team'!G20</f>
        <v>1F - MASTER VENTILATOR</v>
      </c>
      <c r="F13" s="318" t="str">
        <f>'BD Team'!F20</f>
        <v>NO</v>
      </c>
      <c r="I13" s="318">
        <f>'BD Team'!H20</f>
        <v>788</v>
      </c>
      <c r="J13" s="318">
        <f>'BD Team'!I20</f>
        <v>504</v>
      </c>
      <c r="K13" s="318">
        <f>'BD Team'!J20</f>
        <v>1</v>
      </c>
      <c r="L13" s="319">
        <f>'BD Team'!K20</f>
        <v>31.09</v>
      </c>
      <c r="M13" s="318">
        <f>Pricing!O15</f>
        <v>2003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CW2</v>
      </c>
      <c r="B14" s="318" t="str">
        <f>'BD Team'!C21</f>
        <v>M15000</v>
      </c>
      <c r="C14" s="318" t="str">
        <f>'BD Team'!D21</f>
        <v>FIXED GLASS CORNOR WINDOW</v>
      </c>
      <c r="D14" s="318" t="str">
        <f>'BD Team'!E21</f>
        <v>10MM</v>
      </c>
      <c r="E14" s="318" t="str">
        <f>'BD Team'!G21</f>
        <v>1F - DAUGHTER BEDROOM</v>
      </c>
      <c r="F14" s="318" t="str">
        <f>'BD Team'!F21</f>
        <v>NO</v>
      </c>
      <c r="I14" s="318">
        <f>'BD Team'!H21</f>
        <v>4344</v>
      </c>
      <c r="J14" s="318">
        <f>'BD Team'!I21</f>
        <v>2338</v>
      </c>
      <c r="K14" s="318">
        <f>'BD Team'!J21</f>
        <v>1</v>
      </c>
      <c r="L14" s="319">
        <f>'BD Team'!K21</f>
        <v>160.72999999999999</v>
      </c>
      <c r="M14" s="318">
        <f>Pricing!O16</f>
        <v>1589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V5</v>
      </c>
      <c r="B15" s="318" t="str">
        <f>'BD Team'!C22</f>
        <v>M940</v>
      </c>
      <c r="C15" s="318" t="str">
        <f>'BD Team'!D22</f>
        <v>FIXED GLASS WITH GLASS LOUVERS AND EXHAUST PROVISION</v>
      </c>
      <c r="D15" s="318" t="str">
        <f>'BD Team'!E22</f>
        <v>6MM (F)</v>
      </c>
      <c r="E15" s="318" t="str">
        <f>'BD Team'!G22</f>
        <v>1F - DAUGHTER VENTILATOR</v>
      </c>
      <c r="F15" s="318" t="str">
        <f>'BD Team'!F22</f>
        <v>NO</v>
      </c>
      <c r="I15" s="318">
        <f>'BD Team'!H22</f>
        <v>686</v>
      </c>
      <c r="J15" s="318">
        <f>'BD Team'!I22</f>
        <v>686</v>
      </c>
      <c r="K15" s="318">
        <f>'BD Team'!J22</f>
        <v>1</v>
      </c>
      <c r="L15" s="319">
        <f>'BD Team'!K22</f>
        <v>31.62</v>
      </c>
      <c r="M15" s="318">
        <f>Pricing!O17</f>
        <v>2003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V6</v>
      </c>
      <c r="B16" s="318" t="str">
        <f>'BD Team'!C23</f>
        <v>M940</v>
      </c>
      <c r="C16" s="318" t="str">
        <f>'BD Team'!D23</f>
        <v>FIXED GLASS WITH GLASS LOUVERS AND EXHAUST PROVISION</v>
      </c>
      <c r="D16" s="318" t="str">
        <f>'BD Team'!E23</f>
        <v>6MM (F)</v>
      </c>
      <c r="E16" s="318" t="str">
        <f>'BD Team'!G23</f>
        <v>1F - DAUGHTER VENTILATOR</v>
      </c>
      <c r="F16" s="318" t="str">
        <f>'BD Team'!F23</f>
        <v>NO</v>
      </c>
      <c r="I16" s="318">
        <f>'BD Team'!H23</f>
        <v>814</v>
      </c>
      <c r="J16" s="318">
        <f>'BD Team'!I23</f>
        <v>538</v>
      </c>
      <c r="K16" s="318">
        <f>'BD Team'!J23</f>
        <v>1</v>
      </c>
      <c r="L16" s="319">
        <f>'BD Team'!K23</f>
        <v>32.5</v>
      </c>
      <c r="M16" s="318">
        <f>Pricing!O18</f>
        <v>2003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SD1</v>
      </c>
      <c r="B17" s="318" t="str">
        <f>'BD Team'!C24</f>
        <v>M14600</v>
      </c>
      <c r="C17" s="318" t="str">
        <f>'BD Team'!D24</f>
        <v>3 TRACK 2 SHUTTER SLIDING DOOR</v>
      </c>
      <c r="D17" s="318" t="str">
        <f>'BD Team'!E24</f>
        <v>6MM</v>
      </c>
      <c r="E17" s="318" t="str">
        <f>'BD Team'!G24</f>
        <v>1F - SON BEDROOM</v>
      </c>
      <c r="F17" s="318" t="str">
        <f>'BD Team'!F24</f>
        <v>SS</v>
      </c>
      <c r="I17" s="318">
        <f>'BD Team'!H24</f>
        <v>2364</v>
      </c>
      <c r="J17" s="318">
        <f>'BD Team'!I24</f>
        <v>2186</v>
      </c>
      <c r="K17" s="318">
        <f>'BD Team'!J24</f>
        <v>1</v>
      </c>
      <c r="L17" s="319">
        <f>'BD Team'!K24</f>
        <v>539.66</v>
      </c>
      <c r="M17" s="318">
        <f>Pricing!O19</f>
        <v>1002</v>
      </c>
      <c r="N17" s="318">
        <f>Pricing!Q19</f>
        <v>538.19999999999993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W6</v>
      </c>
      <c r="B18" s="318" t="str">
        <f>'BD Team'!C25</f>
        <v>M940</v>
      </c>
      <c r="C18" s="318" t="str">
        <f>'BD Team'!D25</f>
        <v>FIXED GLASS</v>
      </c>
      <c r="D18" s="318" t="str">
        <f>'BD Team'!E25</f>
        <v>6MM</v>
      </c>
      <c r="E18" s="318" t="str">
        <f>'BD Team'!G25</f>
        <v>1F - SON BEDROOM</v>
      </c>
      <c r="F18" s="318" t="str">
        <f>'BD Team'!F25</f>
        <v>NO</v>
      </c>
      <c r="I18" s="318">
        <f>'BD Team'!H25</f>
        <v>1270</v>
      </c>
      <c r="J18" s="318">
        <f>'BD Team'!I25</f>
        <v>1270</v>
      </c>
      <c r="K18" s="318">
        <f>'BD Team'!J25</f>
        <v>1</v>
      </c>
      <c r="L18" s="319">
        <f>'BD Team'!K25</f>
        <v>30.22</v>
      </c>
      <c r="M18" s="318">
        <f>Pricing!O20</f>
        <v>1002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V7</v>
      </c>
      <c r="B19" s="318" t="str">
        <f>'BD Team'!C26</f>
        <v>M940</v>
      </c>
      <c r="C19" s="318" t="str">
        <f>'BD Team'!D26</f>
        <v>FIXED GLASS WITH GLASS LOUVERS AND EXHAUST PROVISION</v>
      </c>
      <c r="D19" s="318" t="str">
        <f>'BD Team'!E26</f>
        <v>6MM (F)</v>
      </c>
      <c r="E19" s="318" t="str">
        <f>'BD Team'!G26</f>
        <v>1F - SERVANT VENTILATOR</v>
      </c>
      <c r="F19" s="318" t="str">
        <f>'BD Team'!F26</f>
        <v>NO</v>
      </c>
      <c r="I19" s="318">
        <f>'BD Team'!H26</f>
        <v>534</v>
      </c>
      <c r="J19" s="318">
        <f>'BD Team'!I26</f>
        <v>840</v>
      </c>
      <c r="K19" s="318">
        <f>'BD Team'!J26</f>
        <v>1</v>
      </c>
      <c r="L19" s="319">
        <f>'BD Team'!K26</f>
        <v>30.15</v>
      </c>
      <c r="M19" s="318">
        <f>Pricing!O21</f>
        <v>2003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V8</v>
      </c>
      <c r="B20" s="318" t="str">
        <f>'BD Team'!C27</f>
        <v>M940</v>
      </c>
      <c r="C20" s="318" t="str">
        <f>'BD Team'!D27</f>
        <v>FIXED GLASS WITH GLASS LOUVERS AND EXHAUST PROVISION</v>
      </c>
      <c r="D20" s="318" t="str">
        <f>'BD Team'!E27</f>
        <v>6MM (F)</v>
      </c>
      <c r="E20" s="318" t="str">
        <f>'BD Team'!G27</f>
        <v>1F - POOJA</v>
      </c>
      <c r="F20" s="318" t="str">
        <f>'BD Team'!F27</f>
        <v>NO</v>
      </c>
      <c r="I20" s="318">
        <f>'BD Team'!H27</f>
        <v>840</v>
      </c>
      <c r="J20" s="318">
        <f>'BD Team'!I27</f>
        <v>534</v>
      </c>
      <c r="K20" s="318">
        <f>'BD Team'!J27</f>
        <v>1</v>
      </c>
      <c r="L20" s="319">
        <f>'BD Team'!K27</f>
        <v>33.18</v>
      </c>
      <c r="M20" s="318">
        <f>Pricing!O22</f>
        <v>2003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CW3</v>
      </c>
      <c r="B21" s="318" t="str">
        <f>'BD Team'!C28</f>
        <v>M15000</v>
      </c>
      <c r="C21" s="318" t="str">
        <f>'BD Team'!D28</f>
        <v>FIXED GLASS CORNOR WINDOW</v>
      </c>
      <c r="D21" s="318" t="str">
        <f>'BD Team'!E28</f>
        <v>10MM</v>
      </c>
      <c r="E21" s="318" t="str">
        <f>'BD Team'!G28</f>
        <v>1F - POOJA LIVING</v>
      </c>
      <c r="F21" s="318" t="str">
        <f>'BD Team'!F28</f>
        <v>NO</v>
      </c>
      <c r="I21" s="318">
        <f>'BD Team'!H28</f>
        <v>6886</v>
      </c>
      <c r="J21" s="318">
        <f>'BD Team'!I28</f>
        <v>2540</v>
      </c>
      <c r="K21" s="318">
        <f>'BD Team'!J28</f>
        <v>1</v>
      </c>
      <c r="L21" s="319">
        <f>'BD Team'!K28</f>
        <v>260.02999999999997</v>
      </c>
      <c r="M21" s="318">
        <f>Pricing!O23</f>
        <v>1589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CW4</v>
      </c>
      <c r="B22" s="318" t="str">
        <f>'BD Team'!C29</f>
        <v>M15000</v>
      </c>
      <c r="C22" s="318" t="str">
        <f>'BD Team'!D29</f>
        <v>FIXED GLASS CORNOR WINDOW</v>
      </c>
      <c r="D22" s="318" t="str">
        <f>'BD Team'!E29</f>
        <v>10MM</v>
      </c>
      <c r="E22" s="318" t="str">
        <f>'BD Team'!G29</f>
        <v>2F - GYM ROOM</v>
      </c>
      <c r="F22" s="318" t="str">
        <f>'BD Team'!F29</f>
        <v>NO</v>
      </c>
      <c r="I22" s="318">
        <f>'BD Team'!H29</f>
        <v>4344</v>
      </c>
      <c r="J22" s="318">
        <f>'BD Team'!I29</f>
        <v>2338</v>
      </c>
      <c r="K22" s="318">
        <f>'BD Team'!J29</f>
        <v>1</v>
      </c>
      <c r="L22" s="319">
        <f>'BD Team'!K29</f>
        <v>160.72999999999999</v>
      </c>
      <c r="M22" s="318">
        <f>Pricing!O24</f>
        <v>1589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V8</v>
      </c>
      <c r="B23" s="318" t="str">
        <f>'BD Team'!C30</f>
        <v>M940</v>
      </c>
      <c r="C23" s="318" t="str">
        <f>'BD Team'!D30</f>
        <v>FIXED GLASS WITH GLASS LOUVERS AND EXHAUST PROVISION</v>
      </c>
      <c r="D23" s="318" t="str">
        <f>'BD Team'!E30</f>
        <v>6MM (F)</v>
      </c>
      <c r="E23" s="318" t="str">
        <f>'BD Team'!G30</f>
        <v>2F - GYM ROOM</v>
      </c>
      <c r="F23" s="318" t="str">
        <f>'BD Team'!F30</f>
        <v>NO</v>
      </c>
      <c r="I23" s="318">
        <f>'BD Team'!H30</f>
        <v>662</v>
      </c>
      <c r="J23" s="318">
        <f>'BD Team'!I30</f>
        <v>534</v>
      </c>
      <c r="K23" s="318">
        <f>'BD Team'!J30</f>
        <v>1</v>
      </c>
      <c r="L23" s="319">
        <f>'BD Team'!K30</f>
        <v>27.98</v>
      </c>
      <c r="M23" s="318">
        <f>Pricing!O25</f>
        <v>2003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V9</v>
      </c>
      <c r="B24" s="318" t="str">
        <f>'BD Team'!C31</f>
        <v>M940</v>
      </c>
      <c r="C24" s="318" t="str">
        <f>'BD Team'!D31</f>
        <v>FIXED GLASS WITH GLASS LOUVERS AND EXHAUST PROVISION</v>
      </c>
      <c r="D24" s="318" t="str">
        <f>'BD Team'!E31</f>
        <v>6MM (F)</v>
      </c>
      <c r="E24" s="318" t="str">
        <f>'BD Team'!G31</f>
        <v>2F - GYM ROOM</v>
      </c>
      <c r="F24" s="318" t="str">
        <f>'BD Team'!F31</f>
        <v>NO</v>
      </c>
      <c r="I24" s="318">
        <f>'BD Team'!H31</f>
        <v>662</v>
      </c>
      <c r="J24" s="318">
        <f>'BD Team'!I31</f>
        <v>534</v>
      </c>
      <c r="K24" s="318">
        <f>'BD Team'!J31</f>
        <v>1</v>
      </c>
      <c r="L24" s="319">
        <f>'BD Team'!K31</f>
        <v>27.98</v>
      </c>
      <c r="M24" s="318">
        <f>Pricing!O26</f>
        <v>2003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SD2</v>
      </c>
      <c r="B25" s="318" t="str">
        <f>'BD Team'!C32</f>
        <v>M900</v>
      </c>
      <c r="C25" s="318" t="str">
        <f>'BD Team'!D32</f>
        <v>3 TRACK 2 SHUTTER SLIDING WINDOW</v>
      </c>
      <c r="D25" s="318" t="str">
        <f>'BD Team'!E32</f>
        <v>6MM</v>
      </c>
      <c r="E25" s="318" t="str">
        <f>'BD Team'!G32</f>
        <v>2F - STUDY LIVING</v>
      </c>
      <c r="F25" s="318" t="str">
        <f>'BD Team'!F32</f>
        <v>SS</v>
      </c>
      <c r="I25" s="318">
        <f>'BD Team'!H32</f>
        <v>2364</v>
      </c>
      <c r="J25" s="318">
        <f>'BD Team'!I32</f>
        <v>1474</v>
      </c>
      <c r="K25" s="318">
        <f>'BD Team'!J32</f>
        <v>1</v>
      </c>
      <c r="L25" s="319">
        <f>'BD Team'!K32</f>
        <v>180.29000000000002</v>
      </c>
      <c r="M25" s="318">
        <f>Pricing!O27</f>
        <v>1002</v>
      </c>
      <c r="N25" s="318">
        <f>Pricing!Q27</f>
        <v>538.19999999999993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SD3</v>
      </c>
      <c r="B26" s="318" t="str">
        <f>'BD Team'!C33</f>
        <v>M14600</v>
      </c>
      <c r="C26" s="318" t="str">
        <f>'BD Team'!D33</f>
        <v>3 TRACK 2 SHUTTER SLIDING DOOR</v>
      </c>
      <c r="D26" s="318" t="str">
        <f>'BD Team'!E33</f>
        <v>6MM</v>
      </c>
      <c r="E26" s="318" t="str">
        <f>'BD Team'!G33</f>
        <v>2F - STUDY LIVING</v>
      </c>
      <c r="F26" s="318" t="str">
        <f>'BD Team'!F33</f>
        <v>SS</v>
      </c>
      <c r="I26" s="318">
        <f>'BD Team'!H33</f>
        <v>1716</v>
      </c>
      <c r="J26" s="318">
        <f>'BD Team'!I33</f>
        <v>2084</v>
      </c>
      <c r="K26" s="318">
        <f>'BD Team'!J33</f>
        <v>1</v>
      </c>
      <c r="L26" s="319">
        <f>'BD Team'!K33</f>
        <v>484.17</v>
      </c>
      <c r="M26" s="318">
        <f>Pricing!O28</f>
        <v>1002</v>
      </c>
      <c r="N26" s="318">
        <f>Pricing!Q28</f>
        <v>538.19999999999993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SD4</v>
      </c>
      <c r="B27" s="318" t="str">
        <f>'BD Team'!C34</f>
        <v>M14600</v>
      </c>
      <c r="C27" s="318" t="str">
        <f>'BD Team'!D34</f>
        <v>3 TRACK 2 SHUTTER SLIDING DOOR</v>
      </c>
      <c r="D27" s="318" t="str">
        <f>'BD Team'!E34</f>
        <v>6MM</v>
      </c>
      <c r="E27" s="318" t="str">
        <f>'BD Team'!G34</f>
        <v>2F - BAR</v>
      </c>
      <c r="F27" s="318" t="str">
        <f>'BD Team'!F34</f>
        <v>SS</v>
      </c>
      <c r="I27" s="318">
        <f>'BD Team'!H34</f>
        <v>2286</v>
      </c>
      <c r="J27" s="318">
        <f>'BD Team'!I34</f>
        <v>2084</v>
      </c>
      <c r="K27" s="318">
        <f>'BD Team'!J34</f>
        <v>1</v>
      </c>
      <c r="L27" s="319">
        <f>'BD Team'!K34</f>
        <v>523</v>
      </c>
      <c r="M27" s="318">
        <f>Pricing!O29</f>
        <v>1002</v>
      </c>
      <c r="N27" s="318">
        <f>Pricing!Q29</f>
        <v>538.19999999999993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V10</v>
      </c>
      <c r="B28" s="318" t="str">
        <f>'BD Team'!C35</f>
        <v>M940</v>
      </c>
      <c r="C28" s="318" t="str">
        <f>'BD Team'!D35</f>
        <v>FIXED GLASS WITH GLASS LOUVERS AND EXHAUST PROVISION</v>
      </c>
      <c r="D28" s="318" t="str">
        <f>'BD Team'!E35</f>
        <v>6MM (F)</v>
      </c>
      <c r="E28" s="318" t="str">
        <f>'BD Team'!G35</f>
        <v>2F - BAR</v>
      </c>
      <c r="F28" s="318" t="str">
        <f>'BD Team'!F35</f>
        <v>NO</v>
      </c>
      <c r="I28" s="318">
        <f>'BD Team'!H35</f>
        <v>686</v>
      </c>
      <c r="J28" s="318">
        <f>'BD Team'!I35</f>
        <v>534</v>
      </c>
      <c r="K28" s="318">
        <f>'BD Team'!J35</f>
        <v>1</v>
      </c>
      <c r="L28" s="319">
        <f>'BD Team'!K35</f>
        <v>28.68</v>
      </c>
      <c r="M28" s="318">
        <f>Pricing!O30</f>
        <v>2003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SD5</v>
      </c>
      <c r="B29" s="318" t="str">
        <f>'BD Team'!C36</f>
        <v>M900</v>
      </c>
      <c r="C29" s="318" t="str">
        <f>'BD Team'!D36</f>
        <v>3 TRACK 2 SHUTTER SLIDING WINDOW</v>
      </c>
      <c r="D29" s="318" t="str">
        <f>'BD Team'!E36</f>
        <v>20MM</v>
      </c>
      <c r="E29" s="318" t="str">
        <f>'BD Team'!G36</f>
        <v>2F -HOME THEATER</v>
      </c>
      <c r="F29" s="318" t="str">
        <f>'BD Team'!F36</f>
        <v>SS</v>
      </c>
      <c r="I29" s="318">
        <f>'BD Team'!H36</f>
        <v>1804</v>
      </c>
      <c r="J29" s="318">
        <f>'BD Team'!I36</f>
        <v>1372</v>
      </c>
      <c r="K29" s="318">
        <f>'BD Team'!J36</f>
        <v>1</v>
      </c>
      <c r="L29" s="319">
        <f>'BD Team'!K36</f>
        <v>202.57</v>
      </c>
      <c r="M29" s="318">
        <f>Pricing!O31</f>
        <v>2805</v>
      </c>
      <c r="N29" s="318">
        <f>Pricing!Q31</f>
        <v>538.19999999999993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3" sqref="E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488</v>
      </c>
      <c r="F2" s="137"/>
      <c r="G2" s="163"/>
      <c r="H2" s="331" t="s">
        <v>184</v>
      </c>
      <c r="I2" s="332"/>
      <c r="J2" s="165" t="s">
        <v>425</v>
      </c>
      <c r="K2" s="167"/>
      <c r="L2" s="104" t="s">
        <v>207</v>
      </c>
      <c r="M2" s="104" t="s">
        <v>380</v>
      </c>
    </row>
    <row r="3" spans="1:13" s="104" customFormat="1">
      <c r="A3" s="330" t="s">
        <v>127</v>
      </c>
      <c r="B3" s="330"/>
      <c r="C3" s="330"/>
      <c r="D3" s="330"/>
      <c r="E3" s="162" t="s">
        <v>422</v>
      </c>
      <c r="F3" s="136" t="s">
        <v>182</v>
      </c>
      <c r="G3" s="162" t="s">
        <v>424</v>
      </c>
      <c r="H3" s="331" t="s">
        <v>185</v>
      </c>
      <c r="I3" s="332"/>
      <c r="J3" s="166">
        <v>43734</v>
      </c>
      <c r="K3" s="167"/>
      <c r="L3" s="104" t="s">
        <v>257</v>
      </c>
      <c r="M3" s="104" t="s">
        <v>381</v>
      </c>
    </row>
    <row r="4" spans="1:13" s="104" customFormat="1" ht="18">
      <c r="A4" s="330" t="s">
        <v>168</v>
      </c>
      <c r="B4" s="330"/>
      <c r="C4" s="330"/>
      <c r="D4" s="330"/>
      <c r="E4" s="162" t="s">
        <v>415</v>
      </c>
      <c r="F4" s="135"/>
      <c r="G4" s="164"/>
      <c r="H4" s="331" t="s">
        <v>186</v>
      </c>
      <c r="I4" s="332"/>
      <c r="J4" s="165" t="s">
        <v>401</v>
      </c>
      <c r="K4" s="167"/>
      <c r="L4" s="104" t="s">
        <v>258</v>
      </c>
      <c r="M4" s="104" t="s">
        <v>382</v>
      </c>
    </row>
    <row r="5" spans="1:13" s="104" customFormat="1">
      <c r="A5" s="330" t="s">
        <v>176</v>
      </c>
      <c r="B5" s="330"/>
      <c r="C5" s="330"/>
      <c r="D5" s="330"/>
      <c r="E5" s="162" t="s">
        <v>423</v>
      </c>
      <c r="F5" s="136" t="s">
        <v>183</v>
      </c>
      <c r="G5" s="162" t="s">
        <v>260</v>
      </c>
      <c r="H5" s="331" t="s">
        <v>374</v>
      </c>
      <c r="I5" s="332"/>
      <c r="J5" s="165"/>
      <c r="K5" s="167"/>
      <c r="L5" s="104" t="s">
        <v>259</v>
      </c>
      <c r="M5" s="104" t="s">
        <v>383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384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401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270</v>
      </c>
      <c r="F9" s="113" t="s">
        <v>429</v>
      </c>
      <c r="G9" s="113" t="s">
        <v>430</v>
      </c>
      <c r="H9" s="113">
        <v>4344</v>
      </c>
      <c r="I9" s="113">
        <v>2364</v>
      </c>
      <c r="J9" s="113">
        <v>1</v>
      </c>
      <c r="K9" s="123">
        <v>161.44999999999999</v>
      </c>
    </row>
    <row r="10" spans="1:13" ht="20.100000000000001" customHeight="1">
      <c r="A10" s="113">
        <v>2</v>
      </c>
      <c r="B10" s="113" t="s">
        <v>431</v>
      </c>
      <c r="C10" s="113" t="s">
        <v>432</v>
      </c>
      <c r="D10" s="113" t="s">
        <v>433</v>
      </c>
      <c r="E10" s="113" t="s">
        <v>434</v>
      </c>
      <c r="F10" s="113" t="s">
        <v>435</v>
      </c>
      <c r="G10" s="113" t="s">
        <v>436</v>
      </c>
      <c r="H10" s="113">
        <v>2350</v>
      </c>
      <c r="I10" s="113">
        <v>1246</v>
      </c>
      <c r="J10" s="113">
        <v>1</v>
      </c>
      <c r="K10" s="123">
        <f>122.57+45.08</f>
        <v>167.64999999999998</v>
      </c>
      <c r="L10" s="47" t="s">
        <v>282</v>
      </c>
    </row>
    <row r="11" spans="1:13" ht="20.100000000000001" customHeight="1">
      <c r="A11" s="113">
        <v>3</v>
      </c>
      <c r="B11" s="113" t="s">
        <v>437</v>
      </c>
      <c r="C11" s="113" t="s">
        <v>427</v>
      </c>
      <c r="D11" s="113" t="s">
        <v>438</v>
      </c>
      <c r="E11" s="113" t="s">
        <v>434</v>
      </c>
      <c r="F11" s="113" t="s">
        <v>429</v>
      </c>
      <c r="G11" s="113" t="s">
        <v>439</v>
      </c>
      <c r="H11" s="113">
        <v>680</v>
      </c>
      <c r="I11" s="113">
        <v>1270</v>
      </c>
      <c r="J11" s="113">
        <v>1</v>
      </c>
      <c r="K11" s="123">
        <v>176.7</v>
      </c>
      <c r="L11" s="47" t="s">
        <v>281</v>
      </c>
    </row>
    <row r="12" spans="1:13" ht="20.100000000000001" customHeight="1">
      <c r="A12" s="113">
        <v>4</v>
      </c>
      <c r="B12" s="113" t="s">
        <v>440</v>
      </c>
      <c r="C12" s="113" t="s">
        <v>427</v>
      </c>
      <c r="D12" s="113" t="s">
        <v>438</v>
      </c>
      <c r="E12" s="113" t="s">
        <v>434</v>
      </c>
      <c r="F12" s="113" t="s">
        <v>429</v>
      </c>
      <c r="G12" s="113" t="s">
        <v>439</v>
      </c>
      <c r="H12" s="113">
        <v>686</v>
      </c>
      <c r="I12" s="113">
        <v>1270</v>
      </c>
      <c r="J12" s="113">
        <v>1</v>
      </c>
      <c r="K12" s="123">
        <v>177</v>
      </c>
      <c r="L12" s="47" t="s">
        <v>365</v>
      </c>
    </row>
    <row r="13" spans="1:13" ht="20.100000000000001" customHeight="1">
      <c r="A13" s="113">
        <v>5</v>
      </c>
      <c r="B13" s="113" t="s">
        <v>487</v>
      </c>
      <c r="C13" s="113" t="s">
        <v>441</v>
      </c>
      <c r="D13" s="113" t="s">
        <v>442</v>
      </c>
      <c r="E13" s="113" t="s">
        <v>443</v>
      </c>
      <c r="F13" s="113" t="s">
        <v>429</v>
      </c>
      <c r="G13" s="113" t="s">
        <v>444</v>
      </c>
      <c r="H13" s="113">
        <v>548</v>
      </c>
      <c r="I13" s="113">
        <v>788</v>
      </c>
      <c r="J13" s="113">
        <v>1</v>
      </c>
      <c r="K13" s="123">
        <v>29.67</v>
      </c>
      <c r="L13" s="47" t="s">
        <v>366</v>
      </c>
    </row>
    <row r="14" spans="1:13">
      <c r="A14" s="113">
        <v>6</v>
      </c>
      <c r="B14" s="113" t="s">
        <v>445</v>
      </c>
      <c r="C14" s="113" t="s">
        <v>441</v>
      </c>
      <c r="D14" s="113" t="s">
        <v>442</v>
      </c>
      <c r="E14" s="113" t="s">
        <v>443</v>
      </c>
      <c r="F14" s="113" t="s">
        <v>429</v>
      </c>
      <c r="G14" s="113" t="s">
        <v>444</v>
      </c>
      <c r="H14" s="113">
        <v>458</v>
      </c>
      <c r="I14" s="113">
        <v>788</v>
      </c>
      <c r="J14" s="113">
        <v>1</v>
      </c>
      <c r="K14" s="123">
        <v>27.22</v>
      </c>
      <c r="L14" s="47" t="s">
        <v>367</v>
      </c>
    </row>
    <row r="15" spans="1:13" ht="20.100000000000001" customHeight="1">
      <c r="A15" s="113">
        <v>7</v>
      </c>
      <c r="B15" s="113" t="s">
        <v>446</v>
      </c>
      <c r="C15" s="113" t="s">
        <v>432</v>
      </c>
      <c r="D15" s="113" t="s">
        <v>433</v>
      </c>
      <c r="E15" s="113" t="s">
        <v>434</v>
      </c>
      <c r="F15" s="113" t="s">
        <v>435</v>
      </c>
      <c r="G15" s="113" t="s">
        <v>447</v>
      </c>
      <c r="H15" s="113">
        <v>2338</v>
      </c>
      <c r="I15" s="113">
        <v>1240</v>
      </c>
      <c r="J15" s="113">
        <v>1</v>
      </c>
      <c r="K15" s="123">
        <f>122.09+44.88</f>
        <v>166.97</v>
      </c>
      <c r="L15" s="47" t="s">
        <v>368</v>
      </c>
    </row>
    <row r="16" spans="1:13" ht="20.100000000000001" customHeight="1">
      <c r="A16" s="113">
        <v>8</v>
      </c>
      <c r="B16" s="113" t="s">
        <v>448</v>
      </c>
      <c r="C16" s="113" t="s">
        <v>432</v>
      </c>
      <c r="D16" s="113" t="s">
        <v>433</v>
      </c>
      <c r="E16" s="113" t="s">
        <v>434</v>
      </c>
      <c r="F16" s="113" t="s">
        <v>435</v>
      </c>
      <c r="G16" s="113" t="s">
        <v>449</v>
      </c>
      <c r="H16" s="113">
        <v>2364</v>
      </c>
      <c r="I16" s="113">
        <v>992</v>
      </c>
      <c r="J16" s="113">
        <v>1</v>
      </c>
      <c r="K16" s="123">
        <f>113.09+41.37</f>
        <v>154.46</v>
      </c>
      <c r="L16" s="47" t="s">
        <v>369</v>
      </c>
    </row>
    <row r="17" spans="1:13" ht="20.100000000000001" customHeight="1">
      <c r="A17" s="113">
        <v>9</v>
      </c>
      <c r="B17" s="113" t="s">
        <v>437</v>
      </c>
      <c r="C17" s="113" t="s">
        <v>427</v>
      </c>
      <c r="D17" s="113" t="s">
        <v>438</v>
      </c>
      <c r="E17" s="113" t="s">
        <v>434</v>
      </c>
      <c r="F17" s="113" t="s">
        <v>429</v>
      </c>
      <c r="G17" s="113" t="s">
        <v>450</v>
      </c>
      <c r="H17" s="113">
        <v>686</v>
      </c>
      <c r="I17" s="113">
        <v>1500</v>
      </c>
      <c r="J17" s="113">
        <v>1</v>
      </c>
      <c r="K17" s="123">
        <v>188.72</v>
      </c>
      <c r="L17" s="47" t="s">
        <v>370</v>
      </c>
    </row>
    <row r="18" spans="1:13" ht="20.100000000000001" customHeight="1">
      <c r="A18" s="113">
        <v>10</v>
      </c>
      <c r="B18" s="113" t="s">
        <v>440</v>
      </c>
      <c r="C18" s="113" t="s">
        <v>427</v>
      </c>
      <c r="D18" s="113" t="s">
        <v>438</v>
      </c>
      <c r="E18" s="113" t="s">
        <v>434</v>
      </c>
      <c r="F18" s="113" t="s">
        <v>429</v>
      </c>
      <c r="G18" s="113" t="s">
        <v>450</v>
      </c>
      <c r="H18" s="113">
        <v>686</v>
      </c>
      <c r="I18" s="113">
        <v>1500</v>
      </c>
      <c r="J18" s="113">
        <v>1</v>
      </c>
      <c r="K18" s="123">
        <v>188.72</v>
      </c>
      <c r="L18" s="47" t="s">
        <v>371</v>
      </c>
    </row>
    <row r="19" spans="1:13" ht="20.100000000000001" customHeight="1">
      <c r="A19" s="113">
        <v>11</v>
      </c>
      <c r="B19" s="113" t="s">
        <v>451</v>
      </c>
      <c r="C19" s="113" t="s">
        <v>441</v>
      </c>
      <c r="D19" s="113" t="s">
        <v>442</v>
      </c>
      <c r="E19" s="113" t="s">
        <v>443</v>
      </c>
      <c r="F19" s="113" t="s">
        <v>429</v>
      </c>
      <c r="G19" s="113" t="s">
        <v>452</v>
      </c>
      <c r="H19" s="113">
        <v>840</v>
      </c>
      <c r="I19" s="113">
        <v>538</v>
      </c>
      <c r="J19" s="113">
        <v>1</v>
      </c>
      <c r="K19" s="123">
        <v>33.26</v>
      </c>
      <c r="L19" s="47" t="s">
        <v>372</v>
      </c>
    </row>
    <row r="20" spans="1:13">
      <c r="A20" s="113">
        <v>12</v>
      </c>
      <c r="B20" s="113" t="s">
        <v>453</v>
      </c>
      <c r="C20" s="113" t="s">
        <v>441</v>
      </c>
      <c r="D20" s="113" t="s">
        <v>442</v>
      </c>
      <c r="E20" s="113" t="s">
        <v>443</v>
      </c>
      <c r="F20" s="113" t="s">
        <v>429</v>
      </c>
      <c r="G20" s="113" t="s">
        <v>452</v>
      </c>
      <c r="H20" s="113">
        <v>788</v>
      </c>
      <c r="I20" s="113">
        <v>504</v>
      </c>
      <c r="J20" s="113">
        <v>1</v>
      </c>
      <c r="K20" s="123">
        <v>31.09</v>
      </c>
      <c r="L20" s="47" t="s">
        <v>385</v>
      </c>
    </row>
    <row r="21" spans="1:13" ht="20.100000000000001" customHeight="1">
      <c r="A21" s="113">
        <v>13</v>
      </c>
      <c r="B21" s="113" t="s">
        <v>454</v>
      </c>
      <c r="C21" s="113" t="s">
        <v>427</v>
      </c>
      <c r="D21" s="113" t="s">
        <v>428</v>
      </c>
      <c r="E21" s="113" t="s">
        <v>270</v>
      </c>
      <c r="F21" s="113" t="s">
        <v>429</v>
      </c>
      <c r="G21" s="113" t="s">
        <v>455</v>
      </c>
      <c r="H21" s="113">
        <v>4344</v>
      </c>
      <c r="I21" s="113">
        <v>2338</v>
      </c>
      <c r="J21" s="113">
        <v>1</v>
      </c>
      <c r="K21" s="123">
        <v>160.72999999999999</v>
      </c>
      <c r="L21" s="47" t="s">
        <v>386</v>
      </c>
    </row>
    <row r="22" spans="1:13" ht="20.100000000000001" customHeight="1">
      <c r="A22" s="113">
        <v>14</v>
      </c>
      <c r="B22" s="113" t="s">
        <v>456</v>
      </c>
      <c r="C22" s="113" t="s">
        <v>441</v>
      </c>
      <c r="D22" s="113" t="s">
        <v>442</v>
      </c>
      <c r="E22" s="113" t="s">
        <v>443</v>
      </c>
      <c r="F22" s="113" t="s">
        <v>429</v>
      </c>
      <c r="G22" s="113" t="s">
        <v>457</v>
      </c>
      <c r="H22" s="113">
        <v>686</v>
      </c>
      <c r="I22" s="113">
        <v>686</v>
      </c>
      <c r="J22" s="113">
        <v>1</v>
      </c>
      <c r="K22" s="123">
        <v>31.62</v>
      </c>
      <c r="L22" s="47" t="s">
        <v>387</v>
      </c>
    </row>
    <row r="23" spans="1:13" ht="20.100000000000001" customHeight="1">
      <c r="A23" s="113">
        <v>15</v>
      </c>
      <c r="B23" s="113" t="s">
        <v>458</v>
      </c>
      <c r="C23" s="113" t="s">
        <v>441</v>
      </c>
      <c r="D23" s="113" t="s">
        <v>442</v>
      </c>
      <c r="E23" s="113" t="s">
        <v>443</v>
      </c>
      <c r="F23" s="113" t="s">
        <v>429</v>
      </c>
      <c r="G23" s="113" t="s">
        <v>457</v>
      </c>
      <c r="H23" s="113">
        <v>814</v>
      </c>
      <c r="I23" s="113">
        <v>538</v>
      </c>
      <c r="J23" s="113">
        <v>1</v>
      </c>
      <c r="K23" s="123">
        <v>32.5</v>
      </c>
      <c r="L23" s="47" t="s">
        <v>402</v>
      </c>
    </row>
    <row r="24" spans="1:13" ht="20.100000000000001" customHeight="1">
      <c r="A24" s="113">
        <v>16</v>
      </c>
      <c r="B24" s="113" t="s">
        <v>459</v>
      </c>
      <c r="C24" s="113" t="s">
        <v>460</v>
      </c>
      <c r="D24" s="113" t="s">
        <v>461</v>
      </c>
      <c r="E24" s="113" t="s">
        <v>434</v>
      </c>
      <c r="F24" s="113" t="s">
        <v>435</v>
      </c>
      <c r="G24" s="113" t="s">
        <v>462</v>
      </c>
      <c r="H24" s="113">
        <v>2364</v>
      </c>
      <c r="I24" s="113">
        <v>2186</v>
      </c>
      <c r="J24" s="113">
        <v>1</v>
      </c>
      <c r="K24" s="123">
        <v>539.66</v>
      </c>
      <c r="L24" s="47" t="s">
        <v>415</v>
      </c>
    </row>
    <row r="25" spans="1:13" ht="20.100000000000001" customHeight="1">
      <c r="A25" s="113">
        <v>17</v>
      </c>
      <c r="B25" s="113" t="s">
        <v>463</v>
      </c>
      <c r="C25" s="113" t="s">
        <v>441</v>
      </c>
      <c r="D25" s="113" t="s">
        <v>464</v>
      </c>
      <c r="E25" s="113" t="s">
        <v>434</v>
      </c>
      <c r="F25" s="113" t="s">
        <v>429</v>
      </c>
      <c r="G25" s="113" t="s">
        <v>462</v>
      </c>
      <c r="H25" s="113">
        <v>1270</v>
      </c>
      <c r="I25" s="113">
        <v>1270</v>
      </c>
      <c r="J25" s="113">
        <v>1</v>
      </c>
      <c r="K25" s="123">
        <v>30.22</v>
      </c>
      <c r="L25" s="47" t="s">
        <v>416</v>
      </c>
    </row>
    <row r="26" spans="1:13">
      <c r="A26" s="113">
        <v>18</v>
      </c>
      <c r="B26" s="113" t="s">
        <v>465</v>
      </c>
      <c r="C26" s="113" t="s">
        <v>441</v>
      </c>
      <c r="D26" s="113" t="s">
        <v>442</v>
      </c>
      <c r="E26" s="113" t="s">
        <v>443</v>
      </c>
      <c r="F26" s="113" t="s">
        <v>429</v>
      </c>
      <c r="G26" s="113" t="s">
        <v>466</v>
      </c>
      <c r="H26" s="113">
        <v>534</v>
      </c>
      <c r="I26" s="113">
        <v>840</v>
      </c>
      <c r="J26" s="113">
        <v>1</v>
      </c>
      <c r="K26" s="123">
        <v>30.15</v>
      </c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 t="s">
        <v>467</v>
      </c>
      <c r="C27" s="113" t="s">
        <v>441</v>
      </c>
      <c r="D27" s="113" t="s">
        <v>442</v>
      </c>
      <c r="E27" s="113" t="s">
        <v>443</v>
      </c>
      <c r="F27" s="113" t="s">
        <v>429</v>
      </c>
      <c r="G27" s="113" t="s">
        <v>468</v>
      </c>
      <c r="H27" s="113">
        <v>840</v>
      </c>
      <c r="I27" s="113">
        <v>534</v>
      </c>
      <c r="J27" s="113">
        <v>1</v>
      </c>
      <c r="K27" s="123">
        <v>33.18</v>
      </c>
    </row>
    <row r="28" spans="1:13" ht="20.100000000000001" customHeight="1">
      <c r="A28" s="113">
        <v>20</v>
      </c>
      <c r="B28" s="113" t="s">
        <v>469</v>
      </c>
      <c r="C28" s="113" t="s">
        <v>427</v>
      </c>
      <c r="D28" s="113" t="s">
        <v>428</v>
      </c>
      <c r="E28" s="113" t="s">
        <v>270</v>
      </c>
      <c r="F28" s="113" t="s">
        <v>429</v>
      </c>
      <c r="G28" s="113" t="s">
        <v>470</v>
      </c>
      <c r="H28" s="113">
        <v>6886</v>
      </c>
      <c r="I28" s="113">
        <v>2540</v>
      </c>
      <c r="J28" s="113">
        <v>1</v>
      </c>
      <c r="K28" s="123">
        <v>260.02999999999997</v>
      </c>
    </row>
    <row r="29" spans="1:13" ht="20.100000000000001" customHeight="1">
      <c r="A29" s="113">
        <v>21</v>
      </c>
      <c r="B29" s="113" t="s">
        <v>471</v>
      </c>
      <c r="C29" s="113" t="s">
        <v>427</v>
      </c>
      <c r="D29" s="113" t="s">
        <v>428</v>
      </c>
      <c r="E29" s="113" t="s">
        <v>270</v>
      </c>
      <c r="F29" s="113" t="s">
        <v>429</v>
      </c>
      <c r="G29" s="113" t="s">
        <v>472</v>
      </c>
      <c r="H29" s="113">
        <v>4344</v>
      </c>
      <c r="I29" s="113">
        <v>2338</v>
      </c>
      <c r="J29" s="113">
        <v>1</v>
      </c>
      <c r="K29" s="123">
        <v>160.72999999999999</v>
      </c>
    </row>
    <row r="30" spans="1:13" ht="20.100000000000001" customHeight="1">
      <c r="A30" s="113">
        <v>22</v>
      </c>
      <c r="B30" s="113" t="s">
        <v>467</v>
      </c>
      <c r="C30" s="113" t="s">
        <v>441</v>
      </c>
      <c r="D30" s="113" t="s">
        <v>442</v>
      </c>
      <c r="E30" s="113" t="s">
        <v>443</v>
      </c>
      <c r="F30" s="113" t="s">
        <v>429</v>
      </c>
      <c r="G30" s="113" t="s">
        <v>472</v>
      </c>
      <c r="H30" s="113">
        <v>662</v>
      </c>
      <c r="I30" s="113">
        <v>534</v>
      </c>
      <c r="J30" s="113">
        <v>1</v>
      </c>
      <c r="K30" s="123">
        <v>27.98</v>
      </c>
    </row>
    <row r="31" spans="1:13" ht="20.100000000000001" customHeight="1">
      <c r="A31" s="113">
        <v>23</v>
      </c>
      <c r="B31" s="113" t="s">
        <v>473</v>
      </c>
      <c r="C31" s="113" t="s">
        <v>441</v>
      </c>
      <c r="D31" s="113" t="s">
        <v>442</v>
      </c>
      <c r="E31" s="113" t="s">
        <v>443</v>
      </c>
      <c r="F31" s="113" t="s">
        <v>429</v>
      </c>
      <c r="G31" s="113" t="s">
        <v>472</v>
      </c>
      <c r="H31" s="113">
        <v>662</v>
      </c>
      <c r="I31" s="113">
        <v>534</v>
      </c>
      <c r="J31" s="113">
        <v>1</v>
      </c>
      <c r="K31" s="123">
        <v>27.98</v>
      </c>
    </row>
    <row r="32" spans="1:13">
      <c r="A32" s="113">
        <v>24</v>
      </c>
      <c r="B32" s="113" t="s">
        <v>474</v>
      </c>
      <c r="C32" s="113" t="s">
        <v>432</v>
      </c>
      <c r="D32" s="113" t="s">
        <v>433</v>
      </c>
      <c r="E32" s="113" t="s">
        <v>434</v>
      </c>
      <c r="F32" s="113" t="s">
        <v>435</v>
      </c>
      <c r="G32" s="113" t="s">
        <v>475</v>
      </c>
      <c r="H32" s="113">
        <v>2364</v>
      </c>
      <c r="I32" s="113">
        <v>1474</v>
      </c>
      <c r="J32" s="113">
        <v>1</v>
      </c>
      <c r="K32" s="123">
        <f>131.65+48.64</f>
        <v>180.29000000000002</v>
      </c>
    </row>
    <row r="33" spans="1:11" ht="20.100000000000001" customHeight="1">
      <c r="A33" s="113">
        <v>25</v>
      </c>
      <c r="B33" s="113" t="s">
        <v>476</v>
      </c>
      <c r="C33" s="113" t="s">
        <v>460</v>
      </c>
      <c r="D33" s="113" t="s">
        <v>461</v>
      </c>
      <c r="E33" s="113" t="s">
        <v>434</v>
      </c>
      <c r="F33" s="113" t="s">
        <v>435</v>
      </c>
      <c r="G33" s="113" t="s">
        <v>475</v>
      </c>
      <c r="H33" s="113">
        <v>1716</v>
      </c>
      <c r="I33" s="113">
        <v>2084</v>
      </c>
      <c r="J33" s="113">
        <v>1</v>
      </c>
      <c r="K33" s="123">
        <v>484.17</v>
      </c>
    </row>
    <row r="34" spans="1:11" ht="20.100000000000001" customHeight="1">
      <c r="A34" s="113">
        <v>26</v>
      </c>
      <c r="B34" s="113" t="s">
        <v>477</v>
      </c>
      <c r="C34" s="113" t="s">
        <v>460</v>
      </c>
      <c r="D34" s="113" t="s">
        <v>461</v>
      </c>
      <c r="E34" s="113" t="s">
        <v>434</v>
      </c>
      <c r="F34" s="113" t="s">
        <v>435</v>
      </c>
      <c r="G34" s="113" t="s">
        <v>478</v>
      </c>
      <c r="H34" s="113">
        <v>2286</v>
      </c>
      <c r="I34" s="113">
        <v>2084</v>
      </c>
      <c r="J34" s="113">
        <v>1</v>
      </c>
      <c r="K34" s="123">
        <v>523</v>
      </c>
    </row>
    <row r="35" spans="1:11" ht="20.100000000000001" customHeight="1">
      <c r="A35" s="113">
        <v>27</v>
      </c>
      <c r="B35" s="113" t="s">
        <v>479</v>
      </c>
      <c r="C35" s="113" t="s">
        <v>441</v>
      </c>
      <c r="D35" s="113" t="s">
        <v>442</v>
      </c>
      <c r="E35" s="113" t="s">
        <v>443</v>
      </c>
      <c r="F35" s="113" t="s">
        <v>429</v>
      </c>
      <c r="G35" s="113" t="s">
        <v>478</v>
      </c>
      <c r="H35" s="113">
        <v>686</v>
      </c>
      <c r="I35" s="113">
        <v>534</v>
      </c>
      <c r="J35" s="113">
        <v>1</v>
      </c>
      <c r="K35" s="123">
        <v>28.68</v>
      </c>
    </row>
    <row r="36" spans="1:11" ht="20.100000000000001" customHeight="1">
      <c r="A36" s="113">
        <v>28</v>
      </c>
      <c r="B36" s="113" t="s">
        <v>480</v>
      </c>
      <c r="C36" s="113" t="s">
        <v>432</v>
      </c>
      <c r="D36" s="113" t="s">
        <v>433</v>
      </c>
      <c r="E36" s="113" t="s">
        <v>482</v>
      </c>
      <c r="F36" s="113" t="s">
        <v>435</v>
      </c>
      <c r="G36" s="113" t="s">
        <v>481</v>
      </c>
      <c r="H36" s="113">
        <v>1804</v>
      </c>
      <c r="I36" s="113">
        <v>1372</v>
      </c>
      <c r="J36" s="113">
        <v>1</v>
      </c>
      <c r="K36" s="123">
        <f>160.54+42.03</f>
        <v>202.57</v>
      </c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34" sqref="P3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CW1</v>
      </c>
      <c r="C4" s="118" t="str">
        <f>'BD Team'!C9</f>
        <v>M15000</v>
      </c>
      <c r="D4" s="118" t="str">
        <f>'BD Team'!D9</f>
        <v>FIXED GLASS CORNOR WINDOW</v>
      </c>
      <c r="E4" s="118" t="str">
        <f>'BD Team'!F9</f>
        <v>NO</v>
      </c>
      <c r="F4" s="121" t="str">
        <f>'BD Team'!G9</f>
        <v>GF - LIVING ROOM</v>
      </c>
      <c r="G4" s="118">
        <f>'BD Team'!H9</f>
        <v>4344</v>
      </c>
      <c r="H4" s="118">
        <f>'BD Team'!I9</f>
        <v>2364</v>
      </c>
      <c r="I4" s="118">
        <f>'BD Team'!J9</f>
        <v>1</v>
      </c>
      <c r="J4" s="103">
        <f t="shared" ref="J4:J53" si="0">G4*H4*I4*10.764/1000000</f>
        <v>110.53784102399999</v>
      </c>
      <c r="K4" s="172">
        <f>'BD Team'!K9</f>
        <v>161.44999999999999</v>
      </c>
      <c r="L4" s="171">
        <f>K4*I4</f>
        <v>161.44999999999999</v>
      </c>
      <c r="M4" s="170">
        <f>L4*'Changable Values'!$D$4</f>
        <v>13400.349999999999</v>
      </c>
      <c r="N4" s="170" t="str">
        <f>'BD Team'!E9</f>
        <v>10MM</v>
      </c>
      <c r="O4" s="172">
        <v>1589</v>
      </c>
      <c r="P4" s="241"/>
      <c r="Q4" s="173"/>
      <c r="R4" s="185"/>
      <c r="S4" s="312"/>
      <c r="T4" s="313">
        <f>(G4+H4)*I4*2/300</f>
        <v>44.72</v>
      </c>
      <c r="U4" s="313">
        <f>SUM(G4:H4)*I4*2*4/1000</f>
        <v>53.664000000000001</v>
      </c>
      <c r="V4" s="313">
        <f>SUM(G4:H4)*I4*5*5*4/(1000*240)</f>
        <v>2.7949999999999999</v>
      </c>
      <c r="W4" s="313">
        <f>T4</f>
        <v>44.72</v>
      </c>
      <c r="X4" s="313">
        <f>W4*2</f>
        <v>89.44</v>
      </c>
      <c r="Y4" s="313">
        <f>SUM(G4:H4)*I4*4/1000</f>
        <v>26.832000000000001</v>
      </c>
    </row>
    <row r="5" spans="1:25">
      <c r="A5" s="118">
        <f>'BD Team'!A10</f>
        <v>2</v>
      </c>
      <c r="B5" s="118" t="str">
        <f>'BD Team'!B10</f>
        <v>W1</v>
      </c>
      <c r="C5" s="118" t="str">
        <f>'BD Team'!C10</f>
        <v>M900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GF - FIRST LIVING</v>
      </c>
      <c r="G5" s="118">
        <f>'BD Team'!H10</f>
        <v>2350</v>
      </c>
      <c r="H5" s="118">
        <f>'BD Team'!I10</f>
        <v>1246</v>
      </c>
      <c r="I5" s="118">
        <f>'BD Team'!J10</f>
        <v>1</v>
      </c>
      <c r="J5" s="103">
        <f t="shared" si="0"/>
        <v>31.518068399999997</v>
      </c>
      <c r="K5" s="172">
        <f>'BD Team'!K10</f>
        <v>167.64999999999998</v>
      </c>
      <c r="L5" s="171">
        <f t="shared" ref="L5:L53" si="1">K5*I5</f>
        <v>167.64999999999998</v>
      </c>
      <c r="M5" s="170">
        <f>L5*'Changable Values'!$D$4</f>
        <v>13914.949999999999</v>
      </c>
      <c r="N5" s="170" t="str">
        <f>'BD Team'!E10</f>
        <v>6MM</v>
      </c>
      <c r="O5" s="172">
        <v>1002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23.973333333333333</v>
      </c>
      <c r="U5" s="313">
        <f t="shared" ref="U5:U68" si="3">SUM(G5:H5)*I5*2*4/1000</f>
        <v>28.768000000000001</v>
      </c>
      <c r="V5" s="313">
        <f t="shared" ref="V5:V68" si="4">SUM(G5:H5)*I5*5*5*4/(1000*240)</f>
        <v>1.4983333333333333</v>
      </c>
      <c r="W5" s="313">
        <f t="shared" ref="W5:W68" si="5">T5</f>
        <v>23.973333333333333</v>
      </c>
      <c r="X5" s="313">
        <f t="shared" ref="X5:X68" si="6">W5*2</f>
        <v>47.946666666666665</v>
      </c>
      <c r="Y5" s="313">
        <f t="shared" ref="Y5:Y68" si="7">SUM(G5:H5)*I5*4/1000</f>
        <v>14.384</v>
      </c>
    </row>
    <row r="6" spans="1:25">
      <c r="A6" s="118">
        <f>'BD Team'!A11</f>
        <v>3</v>
      </c>
      <c r="B6" s="118" t="str">
        <f>'BD Team'!B11</f>
        <v>W2</v>
      </c>
      <c r="C6" s="118" t="str">
        <f>'BD Team'!C11</f>
        <v>M15000</v>
      </c>
      <c r="D6" s="118" t="str">
        <f>'BD Team'!D11</f>
        <v>SIDE HUNG WINDOW</v>
      </c>
      <c r="E6" s="118" t="str">
        <f>'BD Team'!F11</f>
        <v>NO</v>
      </c>
      <c r="F6" s="121" t="str">
        <f>'BD Team'!G11</f>
        <v>GF - MASTER BEDROOM</v>
      </c>
      <c r="G6" s="118">
        <f>'BD Team'!H11</f>
        <v>680</v>
      </c>
      <c r="H6" s="118">
        <f>'BD Team'!I11</f>
        <v>1270</v>
      </c>
      <c r="I6" s="118">
        <f>'BD Team'!J11</f>
        <v>1</v>
      </c>
      <c r="J6" s="103">
        <f t="shared" si="0"/>
        <v>9.2957903999999978</v>
      </c>
      <c r="K6" s="172">
        <f>'BD Team'!K11</f>
        <v>176.7</v>
      </c>
      <c r="L6" s="171">
        <f t="shared" si="1"/>
        <v>176.7</v>
      </c>
      <c r="M6" s="170">
        <f>L6*'Changable Values'!$D$4</f>
        <v>14666.099999999999</v>
      </c>
      <c r="N6" s="170" t="str">
        <f>'BD Team'!E11</f>
        <v>6MM</v>
      </c>
      <c r="O6" s="172">
        <v>1002</v>
      </c>
      <c r="P6" s="241"/>
      <c r="Q6" s="173"/>
      <c r="R6" s="185"/>
      <c r="S6" s="312"/>
      <c r="T6" s="313">
        <f t="shared" si="2"/>
        <v>13</v>
      </c>
      <c r="U6" s="313">
        <f t="shared" si="3"/>
        <v>15.6</v>
      </c>
      <c r="V6" s="313">
        <f t="shared" si="4"/>
        <v>0.8125</v>
      </c>
      <c r="W6" s="313">
        <f t="shared" si="5"/>
        <v>13</v>
      </c>
      <c r="X6" s="313">
        <f t="shared" si="6"/>
        <v>26</v>
      </c>
      <c r="Y6" s="313">
        <f t="shared" si="7"/>
        <v>7.8</v>
      </c>
    </row>
    <row r="7" spans="1:25">
      <c r="A7" s="118">
        <f>'BD Team'!A12</f>
        <v>4</v>
      </c>
      <c r="B7" s="118" t="str">
        <f>'BD Team'!B12</f>
        <v>W3</v>
      </c>
      <c r="C7" s="118" t="str">
        <f>'BD Team'!C12</f>
        <v>M15000</v>
      </c>
      <c r="D7" s="118" t="str">
        <f>'BD Team'!D12</f>
        <v>SIDE HUNG WINDOW</v>
      </c>
      <c r="E7" s="118" t="str">
        <f>'BD Team'!F12</f>
        <v>NO</v>
      </c>
      <c r="F7" s="121" t="str">
        <f>'BD Team'!G12</f>
        <v>GF - MASTER BEDROOM</v>
      </c>
      <c r="G7" s="118">
        <f>'BD Team'!H12</f>
        <v>686</v>
      </c>
      <c r="H7" s="118">
        <f>'BD Team'!I12</f>
        <v>1270</v>
      </c>
      <c r="I7" s="118">
        <f>'BD Team'!J12</f>
        <v>1</v>
      </c>
      <c r="J7" s="103">
        <f t="shared" si="0"/>
        <v>9.37781208</v>
      </c>
      <c r="K7" s="172">
        <f>'BD Team'!K12</f>
        <v>177</v>
      </c>
      <c r="L7" s="171">
        <f t="shared" si="1"/>
        <v>177</v>
      </c>
      <c r="M7" s="170">
        <f>L7*'Changable Values'!$D$4</f>
        <v>14691</v>
      </c>
      <c r="N7" s="170" t="str">
        <f>'BD Team'!E12</f>
        <v>6MM</v>
      </c>
      <c r="O7" s="172">
        <v>1002</v>
      </c>
      <c r="P7" s="241"/>
      <c r="Q7" s="173"/>
      <c r="R7" s="185"/>
      <c r="S7" s="312"/>
      <c r="T7" s="313">
        <f t="shared" si="2"/>
        <v>13.04</v>
      </c>
      <c r="U7" s="313">
        <f t="shared" si="3"/>
        <v>15.648</v>
      </c>
      <c r="V7" s="313">
        <f t="shared" si="4"/>
        <v>0.81499999999999995</v>
      </c>
      <c r="W7" s="313">
        <f t="shared" si="5"/>
        <v>13.04</v>
      </c>
      <c r="X7" s="313">
        <f t="shared" si="6"/>
        <v>26.08</v>
      </c>
      <c r="Y7" s="313">
        <f t="shared" si="7"/>
        <v>7.8239999999999998</v>
      </c>
    </row>
    <row r="8" spans="1:25">
      <c r="A8" s="118">
        <f>'BD Team'!A13</f>
        <v>5</v>
      </c>
      <c r="B8" s="118" t="str">
        <f>'BD Team'!B13</f>
        <v>V1</v>
      </c>
      <c r="C8" s="118" t="str">
        <f>'BD Team'!C13</f>
        <v>M940</v>
      </c>
      <c r="D8" s="118" t="str">
        <f>'BD Team'!D13</f>
        <v>FIXED GLASS WITH GLASS LOUVERS AND EXHAUST PROVISION</v>
      </c>
      <c r="E8" s="118" t="str">
        <f>'BD Team'!F13</f>
        <v>NO</v>
      </c>
      <c r="F8" s="121" t="str">
        <f>'BD Team'!G13</f>
        <v>GF - MASTER TOILET</v>
      </c>
      <c r="G8" s="118">
        <f>'BD Team'!H13</f>
        <v>548</v>
      </c>
      <c r="H8" s="118">
        <f>'BD Team'!I13</f>
        <v>788</v>
      </c>
      <c r="I8" s="118">
        <f>'BD Team'!J13</f>
        <v>1</v>
      </c>
      <c r="J8" s="103">
        <f t="shared" si="0"/>
        <v>4.6481535359999997</v>
      </c>
      <c r="K8" s="172">
        <f>'BD Team'!K13</f>
        <v>29.67</v>
      </c>
      <c r="L8" s="171">
        <f t="shared" si="1"/>
        <v>29.67</v>
      </c>
      <c r="M8" s="170">
        <f>L8*'Changable Values'!$D$4</f>
        <v>2462.61</v>
      </c>
      <c r="N8" s="170" t="str">
        <f>'BD Team'!E13</f>
        <v>6MM (F)</v>
      </c>
      <c r="O8" s="172">
        <v>2003</v>
      </c>
      <c r="P8" s="241"/>
      <c r="Q8" s="173"/>
      <c r="R8" s="185"/>
      <c r="S8" s="312"/>
      <c r="T8" s="313">
        <f t="shared" si="2"/>
        <v>8.9066666666666663</v>
      </c>
      <c r="U8" s="313">
        <f t="shared" si="3"/>
        <v>10.688000000000001</v>
      </c>
      <c r="V8" s="313">
        <f t="shared" si="4"/>
        <v>0.55666666666666664</v>
      </c>
      <c r="W8" s="313">
        <f t="shared" si="5"/>
        <v>8.9066666666666663</v>
      </c>
      <c r="X8" s="313">
        <f t="shared" si="6"/>
        <v>17.813333333333333</v>
      </c>
      <c r="Y8" s="313">
        <f t="shared" si="7"/>
        <v>5.3440000000000003</v>
      </c>
    </row>
    <row r="9" spans="1:25">
      <c r="A9" s="118">
        <f>'BD Team'!A14</f>
        <v>6</v>
      </c>
      <c r="B9" s="118" t="str">
        <f>'BD Team'!B14</f>
        <v>V2</v>
      </c>
      <c r="C9" s="118" t="str">
        <f>'BD Team'!C14</f>
        <v>M940</v>
      </c>
      <c r="D9" s="118" t="str">
        <f>'BD Team'!D14</f>
        <v>FIXED GLASS WITH GLASS LOUVERS AND EXHAUST PROVISION</v>
      </c>
      <c r="E9" s="118" t="str">
        <f>'BD Team'!F14</f>
        <v>NO</v>
      </c>
      <c r="F9" s="121" t="str">
        <f>'BD Team'!G14</f>
        <v>GF - MASTER TOILET</v>
      </c>
      <c r="G9" s="118">
        <f>'BD Team'!H14</f>
        <v>458</v>
      </c>
      <c r="H9" s="118">
        <f>'BD Team'!I14</f>
        <v>788</v>
      </c>
      <c r="I9" s="118">
        <f>'BD Team'!J14</f>
        <v>1</v>
      </c>
      <c r="J9" s="103">
        <f t="shared" si="0"/>
        <v>3.8847706560000002</v>
      </c>
      <c r="K9" s="172">
        <f>'BD Team'!K14</f>
        <v>27.22</v>
      </c>
      <c r="L9" s="171">
        <f t="shared" si="1"/>
        <v>27.22</v>
      </c>
      <c r="M9" s="170">
        <f>L9*'Changable Values'!$D$4</f>
        <v>2259.2599999999998</v>
      </c>
      <c r="N9" s="170" t="str">
        <f>'BD Team'!E14</f>
        <v>6MM (F)</v>
      </c>
      <c r="O9" s="172">
        <v>2003</v>
      </c>
      <c r="P9" s="241"/>
      <c r="Q9" s="173"/>
      <c r="R9" s="185"/>
      <c r="S9" s="312"/>
      <c r="T9" s="313">
        <f t="shared" si="2"/>
        <v>8.3066666666666666</v>
      </c>
      <c r="U9" s="313">
        <f t="shared" si="3"/>
        <v>9.968</v>
      </c>
      <c r="V9" s="313">
        <f t="shared" si="4"/>
        <v>0.51916666666666667</v>
      </c>
      <c r="W9" s="313">
        <f t="shared" si="5"/>
        <v>8.3066666666666666</v>
      </c>
      <c r="X9" s="313">
        <f t="shared" si="6"/>
        <v>16.613333333333333</v>
      </c>
      <c r="Y9" s="313">
        <f t="shared" si="7"/>
        <v>4.984</v>
      </c>
    </row>
    <row r="10" spans="1:25">
      <c r="A10" s="118">
        <f>'BD Team'!A15</f>
        <v>7</v>
      </c>
      <c r="B10" s="118" t="str">
        <f>'BD Team'!B15</f>
        <v>W4</v>
      </c>
      <c r="C10" s="118" t="str">
        <f>'BD Team'!C15</f>
        <v>M900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GF - DINING HALL</v>
      </c>
      <c r="G10" s="118">
        <f>'BD Team'!H15</f>
        <v>2338</v>
      </c>
      <c r="H10" s="118">
        <f>'BD Team'!I15</f>
        <v>1240</v>
      </c>
      <c r="I10" s="118">
        <f>'BD Team'!J15</f>
        <v>1</v>
      </c>
      <c r="J10" s="103">
        <f t="shared" si="0"/>
        <v>31.206127679999998</v>
      </c>
      <c r="K10" s="172">
        <f>'BD Team'!K15</f>
        <v>166.97</v>
      </c>
      <c r="L10" s="171">
        <f t="shared" si="1"/>
        <v>166.97</v>
      </c>
      <c r="M10" s="170">
        <f>L10*'Changable Values'!$D$4</f>
        <v>13858.51</v>
      </c>
      <c r="N10" s="170" t="str">
        <f>'BD Team'!E15</f>
        <v>6MM</v>
      </c>
      <c r="O10" s="172">
        <v>1002</v>
      </c>
      <c r="P10" s="241"/>
      <c r="Q10" s="173">
        <f t="shared" ref="Q10:Q11" si="8">50*10.764</f>
        <v>538.19999999999993</v>
      </c>
      <c r="R10" s="185"/>
      <c r="S10" s="312"/>
      <c r="T10" s="313">
        <f t="shared" si="2"/>
        <v>23.853333333333332</v>
      </c>
      <c r="U10" s="313">
        <f t="shared" si="3"/>
        <v>28.623999999999999</v>
      </c>
      <c r="V10" s="313">
        <f t="shared" si="4"/>
        <v>1.4908333333333332</v>
      </c>
      <c r="W10" s="313">
        <f t="shared" si="5"/>
        <v>23.853333333333332</v>
      </c>
      <c r="X10" s="313">
        <f t="shared" si="6"/>
        <v>47.706666666666663</v>
      </c>
      <c r="Y10" s="313">
        <f t="shared" si="7"/>
        <v>14.311999999999999</v>
      </c>
    </row>
    <row r="11" spans="1:25">
      <c r="A11" s="118">
        <f>'BD Team'!A16</f>
        <v>8</v>
      </c>
      <c r="B11" s="118" t="str">
        <f>'BD Team'!B16</f>
        <v>W5</v>
      </c>
      <c r="C11" s="118" t="str">
        <f>'BD Team'!C16</f>
        <v>M900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GF - KITCHEN</v>
      </c>
      <c r="G11" s="118">
        <f>'BD Team'!H16</f>
        <v>2364</v>
      </c>
      <c r="H11" s="118">
        <f>'BD Team'!I16</f>
        <v>992</v>
      </c>
      <c r="I11" s="118">
        <f>'BD Team'!J16</f>
        <v>1</v>
      </c>
      <c r="J11" s="103">
        <f t="shared" si="0"/>
        <v>25.242527231999997</v>
      </c>
      <c r="K11" s="172">
        <f>'BD Team'!K16</f>
        <v>154.46</v>
      </c>
      <c r="L11" s="171">
        <f t="shared" si="1"/>
        <v>154.46</v>
      </c>
      <c r="M11" s="170">
        <f>L11*'Changable Values'!$D$4</f>
        <v>12820.18</v>
      </c>
      <c r="N11" s="170" t="str">
        <f>'BD Team'!E16</f>
        <v>6MM</v>
      </c>
      <c r="O11" s="172">
        <v>1002</v>
      </c>
      <c r="P11" s="241"/>
      <c r="Q11" s="173">
        <f t="shared" si="8"/>
        <v>538.19999999999993</v>
      </c>
      <c r="R11" s="185"/>
      <c r="S11" s="312"/>
      <c r="T11" s="313">
        <f t="shared" si="2"/>
        <v>22.373333333333335</v>
      </c>
      <c r="U11" s="313">
        <f t="shared" si="3"/>
        <v>26.847999999999999</v>
      </c>
      <c r="V11" s="313">
        <f t="shared" si="4"/>
        <v>1.3983333333333334</v>
      </c>
      <c r="W11" s="313">
        <f t="shared" si="5"/>
        <v>22.373333333333335</v>
      </c>
      <c r="X11" s="313">
        <f t="shared" si="6"/>
        <v>44.74666666666667</v>
      </c>
      <c r="Y11" s="313">
        <f t="shared" si="7"/>
        <v>13.423999999999999</v>
      </c>
    </row>
    <row r="12" spans="1:25">
      <c r="A12" s="118">
        <f>'BD Team'!A17</f>
        <v>9</v>
      </c>
      <c r="B12" s="118" t="str">
        <f>'BD Team'!B17</f>
        <v>W2</v>
      </c>
      <c r="C12" s="118" t="str">
        <f>'BD Team'!C17</f>
        <v>M15000</v>
      </c>
      <c r="D12" s="118" t="str">
        <f>'BD Team'!D17</f>
        <v>SIDE HUNG WINDOW</v>
      </c>
      <c r="E12" s="118" t="str">
        <f>'BD Team'!F17</f>
        <v>NO</v>
      </c>
      <c r="F12" s="121" t="str">
        <f>'BD Team'!G17</f>
        <v>1F - MASTER BEDROOM</v>
      </c>
      <c r="G12" s="118">
        <f>'BD Team'!H17</f>
        <v>686</v>
      </c>
      <c r="H12" s="118">
        <f>'BD Team'!I17</f>
        <v>1500</v>
      </c>
      <c r="I12" s="118">
        <f>'BD Team'!J17</f>
        <v>1</v>
      </c>
      <c r="J12" s="103">
        <f t="shared" si="0"/>
        <v>11.076155999999999</v>
      </c>
      <c r="K12" s="172">
        <f>'BD Team'!K17</f>
        <v>188.72</v>
      </c>
      <c r="L12" s="171">
        <f t="shared" si="1"/>
        <v>188.72</v>
      </c>
      <c r="M12" s="170">
        <f>L12*'Changable Values'!$D$4</f>
        <v>15663.76</v>
      </c>
      <c r="N12" s="170" t="str">
        <f>'BD Team'!E17</f>
        <v>6MM</v>
      </c>
      <c r="O12" s="172">
        <v>1002</v>
      </c>
      <c r="P12" s="241"/>
      <c r="Q12" s="173"/>
      <c r="R12" s="185"/>
      <c r="S12" s="312"/>
      <c r="T12" s="313">
        <f t="shared" si="2"/>
        <v>14.573333333333334</v>
      </c>
      <c r="U12" s="313">
        <f t="shared" si="3"/>
        <v>17.488</v>
      </c>
      <c r="V12" s="313">
        <f t="shared" si="4"/>
        <v>0.91083333333333338</v>
      </c>
      <c r="W12" s="313">
        <f t="shared" si="5"/>
        <v>14.573333333333334</v>
      </c>
      <c r="X12" s="313">
        <f t="shared" si="6"/>
        <v>29.146666666666668</v>
      </c>
      <c r="Y12" s="313">
        <f t="shared" si="7"/>
        <v>8.7439999999999998</v>
      </c>
    </row>
    <row r="13" spans="1:25">
      <c r="A13" s="118">
        <f>'BD Team'!A18</f>
        <v>10</v>
      </c>
      <c r="B13" s="118" t="str">
        <f>'BD Team'!B18</f>
        <v>W3</v>
      </c>
      <c r="C13" s="118" t="str">
        <f>'BD Team'!C18</f>
        <v>M15000</v>
      </c>
      <c r="D13" s="118" t="str">
        <f>'BD Team'!D18</f>
        <v>SIDE HUNG WINDOW</v>
      </c>
      <c r="E13" s="118" t="str">
        <f>'BD Team'!F18</f>
        <v>NO</v>
      </c>
      <c r="F13" s="121" t="str">
        <f>'BD Team'!G18</f>
        <v>1F - MASTER BEDROOM</v>
      </c>
      <c r="G13" s="118">
        <f>'BD Team'!H18</f>
        <v>686</v>
      </c>
      <c r="H13" s="118">
        <f>'BD Team'!I18</f>
        <v>1500</v>
      </c>
      <c r="I13" s="118">
        <f>'BD Team'!J18</f>
        <v>1</v>
      </c>
      <c r="J13" s="103">
        <f t="shared" si="0"/>
        <v>11.076155999999999</v>
      </c>
      <c r="K13" s="172">
        <f>'BD Team'!K18</f>
        <v>188.72</v>
      </c>
      <c r="L13" s="171">
        <f t="shared" si="1"/>
        <v>188.72</v>
      </c>
      <c r="M13" s="170">
        <f>L13*'Changable Values'!$D$4</f>
        <v>15663.76</v>
      </c>
      <c r="N13" s="170" t="str">
        <f>'BD Team'!E18</f>
        <v>6MM</v>
      </c>
      <c r="O13" s="172">
        <v>1002</v>
      </c>
      <c r="P13" s="241"/>
      <c r="Q13" s="173"/>
      <c r="R13" s="185"/>
      <c r="S13" s="312"/>
      <c r="T13" s="313">
        <f t="shared" si="2"/>
        <v>14.573333333333334</v>
      </c>
      <c r="U13" s="313">
        <f t="shared" si="3"/>
        <v>17.488</v>
      </c>
      <c r="V13" s="313">
        <f t="shared" si="4"/>
        <v>0.91083333333333338</v>
      </c>
      <c r="W13" s="313">
        <f t="shared" si="5"/>
        <v>14.573333333333334</v>
      </c>
      <c r="X13" s="313">
        <f t="shared" si="6"/>
        <v>29.146666666666668</v>
      </c>
      <c r="Y13" s="313">
        <f t="shared" si="7"/>
        <v>8.7439999999999998</v>
      </c>
    </row>
    <row r="14" spans="1:25">
      <c r="A14" s="118">
        <f>'BD Team'!A19</f>
        <v>11</v>
      </c>
      <c r="B14" s="118" t="str">
        <f>'BD Team'!B19</f>
        <v>V3</v>
      </c>
      <c r="C14" s="118" t="str">
        <f>'BD Team'!C19</f>
        <v>M940</v>
      </c>
      <c r="D14" s="118" t="str">
        <f>'BD Team'!D19</f>
        <v>FIXED GLASS WITH GLASS LOUVERS AND EXHAUST PROVISION</v>
      </c>
      <c r="E14" s="118" t="str">
        <f>'BD Team'!F19</f>
        <v>NO</v>
      </c>
      <c r="F14" s="121" t="str">
        <f>'BD Team'!G19</f>
        <v>1F - MASTER VENTILATOR</v>
      </c>
      <c r="G14" s="118">
        <f>'BD Team'!H19</f>
        <v>840</v>
      </c>
      <c r="H14" s="118">
        <f>'BD Team'!I19</f>
        <v>538</v>
      </c>
      <c r="I14" s="118">
        <f>'BD Team'!J19</f>
        <v>1</v>
      </c>
      <c r="J14" s="103">
        <f t="shared" si="0"/>
        <v>4.8644668800000002</v>
      </c>
      <c r="K14" s="172">
        <f>'BD Team'!K19</f>
        <v>33.26</v>
      </c>
      <c r="L14" s="171">
        <f t="shared" si="1"/>
        <v>33.26</v>
      </c>
      <c r="M14" s="170">
        <f>L14*'Changable Values'!$D$4</f>
        <v>2760.58</v>
      </c>
      <c r="N14" s="170" t="str">
        <f>'BD Team'!E19</f>
        <v>6MM (F)</v>
      </c>
      <c r="O14" s="172">
        <v>2003</v>
      </c>
      <c r="P14" s="241"/>
      <c r="Q14" s="173"/>
      <c r="R14" s="185"/>
      <c r="S14" s="312"/>
      <c r="T14" s="313">
        <f t="shared" si="2"/>
        <v>9.1866666666666674</v>
      </c>
      <c r="U14" s="313">
        <f t="shared" si="3"/>
        <v>11.023999999999999</v>
      </c>
      <c r="V14" s="313">
        <f t="shared" si="4"/>
        <v>0.57416666666666671</v>
      </c>
      <c r="W14" s="313">
        <f t="shared" si="5"/>
        <v>9.1866666666666674</v>
      </c>
      <c r="X14" s="313">
        <f t="shared" si="6"/>
        <v>18.373333333333335</v>
      </c>
      <c r="Y14" s="313">
        <f t="shared" si="7"/>
        <v>5.5119999999999996</v>
      </c>
    </row>
    <row r="15" spans="1:25">
      <c r="A15" s="118">
        <f>'BD Team'!A20</f>
        <v>12</v>
      </c>
      <c r="B15" s="118" t="str">
        <f>'BD Team'!B20</f>
        <v>V4</v>
      </c>
      <c r="C15" s="118" t="str">
        <f>'BD Team'!C20</f>
        <v>M940</v>
      </c>
      <c r="D15" s="118" t="str">
        <f>'BD Team'!D20</f>
        <v>FIXED GLASS WITH GLASS LOUVERS AND EXHAUST PROVISION</v>
      </c>
      <c r="E15" s="118" t="str">
        <f>'BD Team'!F20</f>
        <v>NO</v>
      </c>
      <c r="F15" s="121" t="str">
        <f>'BD Team'!G20</f>
        <v>1F - MASTER VENTILATOR</v>
      </c>
      <c r="G15" s="118">
        <f>'BD Team'!H20</f>
        <v>788</v>
      </c>
      <c r="H15" s="118">
        <f>'BD Team'!I20</f>
        <v>504</v>
      </c>
      <c r="I15" s="118">
        <f>'BD Team'!J20</f>
        <v>1</v>
      </c>
      <c r="J15" s="103">
        <f t="shared" si="0"/>
        <v>4.2749441279999996</v>
      </c>
      <c r="K15" s="172">
        <f>'BD Team'!K20</f>
        <v>31.09</v>
      </c>
      <c r="L15" s="171">
        <f t="shared" si="1"/>
        <v>31.09</v>
      </c>
      <c r="M15" s="170">
        <f>L15*'Changable Values'!$D$4</f>
        <v>2580.4699999999998</v>
      </c>
      <c r="N15" s="170" t="str">
        <f>'BD Team'!E20</f>
        <v>6MM (F)</v>
      </c>
      <c r="O15" s="172">
        <v>2003</v>
      </c>
      <c r="P15" s="241"/>
      <c r="Q15" s="173"/>
      <c r="R15" s="185"/>
      <c r="S15" s="312"/>
      <c r="T15" s="313">
        <f t="shared" si="2"/>
        <v>8.6133333333333333</v>
      </c>
      <c r="U15" s="313">
        <f t="shared" si="3"/>
        <v>10.336</v>
      </c>
      <c r="V15" s="313">
        <f t="shared" si="4"/>
        <v>0.53833333333333333</v>
      </c>
      <c r="W15" s="313">
        <f t="shared" si="5"/>
        <v>8.6133333333333333</v>
      </c>
      <c r="X15" s="313">
        <f t="shared" si="6"/>
        <v>17.226666666666667</v>
      </c>
      <c r="Y15" s="313">
        <f t="shared" si="7"/>
        <v>5.1680000000000001</v>
      </c>
    </row>
    <row r="16" spans="1:25">
      <c r="A16" s="118">
        <f>'BD Team'!A21</f>
        <v>13</v>
      </c>
      <c r="B16" s="118" t="str">
        <f>'BD Team'!B21</f>
        <v>CW2</v>
      </c>
      <c r="C16" s="118" t="str">
        <f>'BD Team'!C21</f>
        <v>M15000</v>
      </c>
      <c r="D16" s="118" t="str">
        <f>'BD Team'!D21</f>
        <v>FIXED GLASS CORNOR WINDOW</v>
      </c>
      <c r="E16" s="118" t="str">
        <f>'BD Team'!F21</f>
        <v>NO</v>
      </c>
      <c r="F16" s="121" t="str">
        <f>'BD Team'!G21</f>
        <v>1F - DAUGHTER BEDROOM</v>
      </c>
      <c r="G16" s="118">
        <f>'BD Team'!H21</f>
        <v>4344</v>
      </c>
      <c r="H16" s="118">
        <f>'BD Team'!I21</f>
        <v>2338</v>
      </c>
      <c r="I16" s="118">
        <f>'BD Team'!J21</f>
        <v>1</v>
      </c>
      <c r="J16" s="103">
        <f t="shared" si="0"/>
        <v>109.322111808</v>
      </c>
      <c r="K16" s="172">
        <f>'BD Team'!K21</f>
        <v>160.72999999999999</v>
      </c>
      <c r="L16" s="171">
        <f t="shared" si="1"/>
        <v>160.72999999999999</v>
      </c>
      <c r="M16" s="170">
        <f>L16*'Changable Values'!$D$4</f>
        <v>13340.589999999998</v>
      </c>
      <c r="N16" s="170" t="str">
        <f>'BD Team'!E21</f>
        <v>10MM</v>
      </c>
      <c r="O16" s="172">
        <v>1589</v>
      </c>
      <c r="P16" s="241"/>
      <c r="Q16" s="173"/>
      <c r="R16" s="185"/>
      <c r="S16" s="312"/>
      <c r="T16" s="313">
        <f t="shared" si="2"/>
        <v>44.546666666666667</v>
      </c>
      <c r="U16" s="313">
        <f t="shared" si="3"/>
        <v>53.456000000000003</v>
      </c>
      <c r="V16" s="313">
        <f t="shared" si="4"/>
        <v>2.7841666666666667</v>
      </c>
      <c r="W16" s="313">
        <f t="shared" si="5"/>
        <v>44.546666666666667</v>
      </c>
      <c r="X16" s="313">
        <f t="shared" si="6"/>
        <v>89.093333333333334</v>
      </c>
      <c r="Y16" s="313">
        <f t="shared" si="7"/>
        <v>26.728000000000002</v>
      </c>
    </row>
    <row r="17" spans="1:25" ht="28.5">
      <c r="A17" s="118">
        <f>'BD Team'!A22</f>
        <v>14</v>
      </c>
      <c r="B17" s="118" t="str">
        <f>'BD Team'!B22</f>
        <v>V5</v>
      </c>
      <c r="C17" s="118" t="str">
        <f>'BD Team'!C22</f>
        <v>M940</v>
      </c>
      <c r="D17" s="118" t="str">
        <f>'BD Team'!D22</f>
        <v>FIXED GLASS WITH GLASS LOUVERS AND EXHAUST PROVISION</v>
      </c>
      <c r="E17" s="118" t="str">
        <f>'BD Team'!F22</f>
        <v>NO</v>
      </c>
      <c r="F17" s="121" t="str">
        <f>'BD Team'!G22</f>
        <v>1F - DAUGHTER VENTILATOR</v>
      </c>
      <c r="G17" s="118">
        <f>'BD Team'!H22</f>
        <v>686</v>
      </c>
      <c r="H17" s="118">
        <f>'BD Team'!I22</f>
        <v>686</v>
      </c>
      <c r="I17" s="118">
        <f>'BD Team'!J22</f>
        <v>1</v>
      </c>
      <c r="J17" s="103">
        <f t="shared" si="0"/>
        <v>5.0654953439999995</v>
      </c>
      <c r="K17" s="172">
        <f>'BD Team'!K22</f>
        <v>31.62</v>
      </c>
      <c r="L17" s="171">
        <f t="shared" si="1"/>
        <v>31.62</v>
      </c>
      <c r="M17" s="170">
        <f>L17*'Changable Values'!$D$4</f>
        <v>2624.46</v>
      </c>
      <c r="N17" s="170" t="str">
        <f>'BD Team'!E22</f>
        <v>6MM (F)</v>
      </c>
      <c r="O17" s="172">
        <v>2003</v>
      </c>
      <c r="P17" s="241"/>
      <c r="Q17" s="173"/>
      <c r="R17" s="185"/>
      <c r="S17" s="312"/>
      <c r="T17" s="313">
        <f t="shared" si="2"/>
        <v>9.1466666666666665</v>
      </c>
      <c r="U17" s="313">
        <f t="shared" si="3"/>
        <v>10.976000000000001</v>
      </c>
      <c r="V17" s="313">
        <f t="shared" si="4"/>
        <v>0.57166666666666666</v>
      </c>
      <c r="W17" s="313">
        <f t="shared" si="5"/>
        <v>9.1466666666666665</v>
      </c>
      <c r="X17" s="313">
        <f t="shared" si="6"/>
        <v>18.293333333333333</v>
      </c>
      <c r="Y17" s="313">
        <f t="shared" si="7"/>
        <v>5.4880000000000004</v>
      </c>
    </row>
    <row r="18" spans="1:25" ht="28.5">
      <c r="A18" s="118">
        <f>'BD Team'!A23</f>
        <v>15</v>
      </c>
      <c r="B18" s="118" t="str">
        <f>'BD Team'!B23</f>
        <v>V6</v>
      </c>
      <c r="C18" s="118" t="str">
        <f>'BD Team'!C23</f>
        <v>M940</v>
      </c>
      <c r="D18" s="118" t="str">
        <f>'BD Team'!D23</f>
        <v>FIXED GLASS WITH GLASS LOUVERS AND EXHAUST PROVISION</v>
      </c>
      <c r="E18" s="118" t="str">
        <f>'BD Team'!F23</f>
        <v>NO</v>
      </c>
      <c r="F18" s="121" t="str">
        <f>'BD Team'!G23</f>
        <v>1F - DAUGHTER VENTILATOR</v>
      </c>
      <c r="G18" s="118">
        <f>'BD Team'!H23</f>
        <v>814</v>
      </c>
      <c r="H18" s="118">
        <f>'BD Team'!I23</f>
        <v>538</v>
      </c>
      <c r="I18" s="118">
        <f>'BD Team'!J23</f>
        <v>1</v>
      </c>
      <c r="J18" s="103">
        <f t="shared" si="0"/>
        <v>4.7139000479999993</v>
      </c>
      <c r="K18" s="172">
        <f>'BD Team'!K23</f>
        <v>32.5</v>
      </c>
      <c r="L18" s="171">
        <f t="shared" si="1"/>
        <v>32.5</v>
      </c>
      <c r="M18" s="170">
        <f>L18*'Changable Values'!$D$4</f>
        <v>2697.5</v>
      </c>
      <c r="N18" s="170" t="str">
        <f>'BD Team'!E23</f>
        <v>6MM (F)</v>
      </c>
      <c r="O18" s="172">
        <v>2003</v>
      </c>
      <c r="P18" s="241"/>
      <c r="Q18" s="173"/>
      <c r="R18" s="185"/>
      <c r="S18" s="312"/>
      <c r="T18" s="313">
        <f t="shared" si="2"/>
        <v>9.0133333333333336</v>
      </c>
      <c r="U18" s="313">
        <f t="shared" si="3"/>
        <v>10.816000000000001</v>
      </c>
      <c r="V18" s="313">
        <f t="shared" si="4"/>
        <v>0.56333333333333335</v>
      </c>
      <c r="W18" s="313">
        <f t="shared" si="5"/>
        <v>9.0133333333333336</v>
      </c>
      <c r="X18" s="313">
        <f t="shared" si="6"/>
        <v>18.026666666666667</v>
      </c>
      <c r="Y18" s="313">
        <f t="shared" si="7"/>
        <v>5.4080000000000004</v>
      </c>
    </row>
    <row r="19" spans="1:25">
      <c r="A19" s="118">
        <f>'BD Team'!A24</f>
        <v>16</v>
      </c>
      <c r="B19" s="118" t="str">
        <f>'BD Team'!B24</f>
        <v>SD1</v>
      </c>
      <c r="C19" s="118" t="str">
        <f>'BD Team'!C24</f>
        <v>M14600</v>
      </c>
      <c r="D19" s="118" t="str">
        <f>'BD Team'!D24</f>
        <v>3 TRACK 2 SHUTTER SLIDING DOOR</v>
      </c>
      <c r="E19" s="118" t="str">
        <f>'BD Team'!F24</f>
        <v>SS</v>
      </c>
      <c r="F19" s="121" t="str">
        <f>'BD Team'!G24</f>
        <v>1F - SON BEDROOM</v>
      </c>
      <c r="G19" s="118">
        <f>'BD Team'!H24</f>
        <v>2364</v>
      </c>
      <c r="H19" s="118">
        <f>'BD Team'!I24</f>
        <v>2186</v>
      </c>
      <c r="I19" s="118">
        <f>'BD Team'!J24</f>
        <v>1</v>
      </c>
      <c r="J19" s="103">
        <f t="shared" si="0"/>
        <v>55.625165855999995</v>
      </c>
      <c r="K19" s="172">
        <f>'BD Team'!K24</f>
        <v>539.66</v>
      </c>
      <c r="L19" s="171">
        <f t="shared" si="1"/>
        <v>539.66</v>
      </c>
      <c r="M19" s="170">
        <f>L19*'Changable Values'!$D$4</f>
        <v>44791.78</v>
      </c>
      <c r="N19" s="170" t="str">
        <f>'BD Team'!E24</f>
        <v>6MM</v>
      </c>
      <c r="O19" s="172">
        <v>1002</v>
      </c>
      <c r="P19" s="241"/>
      <c r="Q19" s="173">
        <f>50*10.764</f>
        <v>538.19999999999993</v>
      </c>
      <c r="R19" s="185"/>
      <c r="S19" s="312"/>
      <c r="T19" s="313">
        <f t="shared" si="2"/>
        <v>30.333333333333332</v>
      </c>
      <c r="U19" s="313">
        <f t="shared" si="3"/>
        <v>36.4</v>
      </c>
      <c r="V19" s="313">
        <f t="shared" si="4"/>
        <v>1.8958333333333333</v>
      </c>
      <c r="W19" s="313">
        <f t="shared" si="5"/>
        <v>30.333333333333332</v>
      </c>
      <c r="X19" s="313">
        <f t="shared" si="6"/>
        <v>60.666666666666664</v>
      </c>
      <c r="Y19" s="313">
        <f t="shared" si="7"/>
        <v>18.2</v>
      </c>
    </row>
    <row r="20" spans="1:25">
      <c r="A20" s="118">
        <f>'BD Team'!A25</f>
        <v>17</v>
      </c>
      <c r="B20" s="118" t="str">
        <f>'BD Team'!B25</f>
        <v>W6</v>
      </c>
      <c r="C20" s="118" t="str">
        <f>'BD Team'!C25</f>
        <v>M940</v>
      </c>
      <c r="D20" s="118" t="str">
        <f>'BD Team'!D25</f>
        <v>FIXED GLASS</v>
      </c>
      <c r="E20" s="118" t="str">
        <f>'BD Team'!F25</f>
        <v>NO</v>
      </c>
      <c r="F20" s="121" t="str">
        <f>'BD Team'!G25</f>
        <v>1F - SON BEDROOM</v>
      </c>
      <c r="G20" s="118">
        <f>'BD Team'!H25</f>
        <v>1270</v>
      </c>
      <c r="H20" s="118">
        <f>'BD Team'!I25</f>
        <v>1270</v>
      </c>
      <c r="I20" s="118">
        <f>'BD Team'!J25</f>
        <v>1</v>
      </c>
      <c r="J20" s="103">
        <f t="shared" si="0"/>
        <v>17.361255599999996</v>
      </c>
      <c r="K20" s="172">
        <f>'BD Team'!K25</f>
        <v>30.22</v>
      </c>
      <c r="L20" s="171">
        <f t="shared" si="1"/>
        <v>30.22</v>
      </c>
      <c r="M20" s="170">
        <f>L20*'Changable Values'!$D$4</f>
        <v>2508.2599999999998</v>
      </c>
      <c r="N20" s="170" t="str">
        <f>'BD Team'!E25</f>
        <v>6MM</v>
      </c>
      <c r="O20" s="172">
        <v>1002</v>
      </c>
      <c r="P20" s="241"/>
      <c r="Q20" s="173"/>
      <c r="R20" s="185"/>
      <c r="S20" s="312"/>
      <c r="T20" s="313">
        <f t="shared" si="2"/>
        <v>16.933333333333334</v>
      </c>
      <c r="U20" s="313">
        <f t="shared" si="3"/>
        <v>20.32</v>
      </c>
      <c r="V20" s="313">
        <f t="shared" si="4"/>
        <v>1.0583333333333333</v>
      </c>
      <c r="W20" s="313">
        <f t="shared" si="5"/>
        <v>16.933333333333334</v>
      </c>
      <c r="X20" s="313">
        <f t="shared" si="6"/>
        <v>33.866666666666667</v>
      </c>
      <c r="Y20" s="313">
        <f t="shared" si="7"/>
        <v>10.16</v>
      </c>
    </row>
    <row r="21" spans="1:25">
      <c r="A21" s="118">
        <f>'BD Team'!A26</f>
        <v>18</v>
      </c>
      <c r="B21" s="118" t="str">
        <f>'BD Team'!B26</f>
        <v>V7</v>
      </c>
      <c r="C21" s="118" t="str">
        <f>'BD Team'!C26</f>
        <v>M940</v>
      </c>
      <c r="D21" s="118" t="str">
        <f>'BD Team'!D26</f>
        <v>FIXED GLASS WITH GLASS LOUVERS AND EXHAUST PROVISION</v>
      </c>
      <c r="E21" s="118" t="str">
        <f>'BD Team'!F26</f>
        <v>NO</v>
      </c>
      <c r="F21" s="121" t="str">
        <f>'BD Team'!G26</f>
        <v>1F - SERVANT VENTILATOR</v>
      </c>
      <c r="G21" s="118">
        <f>'BD Team'!H26</f>
        <v>534</v>
      </c>
      <c r="H21" s="118">
        <f>'BD Team'!I26</f>
        <v>840</v>
      </c>
      <c r="I21" s="118">
        <f>'BD Team'!J26</f>
        <v>1</v>
      </c>
      <c r="J21" s="103">
        <f t="shared" si="0"/>
        <v>4.8282998399999997</v>
      </c>
      <c r="K21" s="172">
        <f>'BD Team'!K26</f>
        <v>30.15</v>
      </c>
      <c r="L21" s="171">
        <f t="shared" si="1"/>
        <v>30.15</v>
      </c>
      <c r="M21" s="170">
        <f>L21*'Changable Values'!$D$4</f>
        <v>2502.4499999999998</v>
      </c>
      <c r="N21" s="170" t="str">
        <f>'BD Team'!E26</f>
        <v>6MM (F)</v>
      </c>
      <c r="O21" s="172">
        <v>2003</v>
      </c>
      <c r="P21" s="241"/>
      <c r="Q21" s="173"/>
      <c r="R21" s="185"/>
      <c r="S21" s="312"/>
      <c r="T21" s="313">
        <f t="shared" si="2"/>
        <v>9.16</v>
      </c>
      <c r="U21" s="313">
        <f t="shared" si="3"/>
        <v>10.992000000000001</v>
      </c>
      <c r="V21" s="313">
        <f t="shared" si="4"/>
        <v>0.57250000000000001</v>
      </c>
      <c r="W21" s="313">
        <f t="shared" si="5"/>
        <v>9.16</v>
      </c>
      <c r="X21" s="313">
        <f t="shared" si="6"/>
        <v>18.32</v>
      </c>
      <c r="Y21" s="313">
        <f t="shared" si="7"/>
        <v>5.4960000000000004</v>
      </c>
    </row>
    <row r="22" spans="1:25">
      <c r="A22" s="118">
        <f>'BD Team'!A27</f>
        <v>19</v>
      </c>
      <c r="B22" s="118" t="str">
        <f>'BD Team'!B27</f>
        <v>V8</v>
      </c>
      <c r="C22" s="118" t="str">
        <f>'BD Team'!C27</f>
        <v>M940</v>
      </c>
      <c r="D22" s="118" t="str">
        <f>'BD Team'!D27</f>
        <v>FIXED GLASS WITH GLASS LOUVERS AND EXHAUST PROVISION</v>
      </c>
      <c r="E22" s="118" t="str">
        <f>'BD Team'!F27</f>
        <v>NO</v>
      </c>
      <c r="F22" s="121" t="str">
        <f>'BD Team'!G27</f>
        <v>1F - POOJA</v>
      </c>
      <c r="G22" s="118">
        <f>'BD Team'!H27</f>
        <v>840</v>
      </c>
      <c r="H22" s="118">
        <f>'BD Team'!I27</f>
        <v>534</v>
      </c>
      <c r="I22" s="118">
        <f>'BD Team'!J27</f>
        <v>1</v>
      </c>
      <c r="J22" s="103">
        <f t="shared" si="0"/>
        <v>4.8282998399999997</v>
      </c>
      <c r="K22" s="172">
        <f>'BD Team'!K27</f>
        <v>33.18</v>
      </c>
      <c r="L22" s="171">
        <f t="shared" si="1"/>
        <v>33.18</v>
      </c>
      <c r="M22" s="170">
        <f>L22*'Changable Values'!$D$4</f>
        <v>2753.94</v>
      </c>
      <c r="N22" s="170" t="str">
        <f>'BD Team'!E27</f>
        <v>6MM (F)</v>
      </c>
      <c r="O22" s="172">
        <v>2003</v>
      </c>
      <c r="P22" s="241"/>
      <c r="Q22" s="173"/>
      <c r="R22" s="185"/>
      <c r="S22" s="312"/>
      <c r="T22" s="313">
        <f t="shared" si="2"/>
        <v>9.16</v>
      </c>
      <c r="U22" s="313">
        <f t="shared" si="3"/>
        <v>10.992000000000001</v>
      </c>
      <c r="V22" s="313">
        <f t="shared" si="4"/>
        <v>0.57250000000000001</v>
      </c>
      <c r="W22" s="313">
        <f t="shared" si="5"/>
        <v>9.16</v>
      </c>
      <c r="X22" s="313">
        <f t="shared" si="6"/>
        <v>18.32</v>
      </c>
      <c r="Y22" s="313">
        <f t="shared" si="7"/>
        <v>5.4960000000000004</v>
      </c>
    </row>
    <row r="23" spans="1:25">
      <c r="A23" s="118">
        <f>'BD Team'!A28</f>
        <v>20</v>
      </c>
      <c r="B23" s="118" t="str">
        <f>'BD Team'!B28</f>
        <v>CW3</v>
      </c>
      <c r="C23" s="118" t="str">
        <f>'BD Team'!C28</f>
        <v>M15000</v>
      </c>
      <c r="D23" s="118" t="str">
        <f>'BD Team'!D28</f>
        <v>FIXED GLASS CORNOR WINDOW</v>
      </c>
      <c r="E23" s="118" t="str">
        <f>'BD Team'!F28</f>
        <v>NO</v>
      </c>
      <c r="F23" s="121" t="str">
        <f>'BD Team'!G28</f>
        <v>1F - POOJA LIVING</v>
      </c>
      <c r="G23" s="118">
        <f>'BD Team'!H28</f>
        <v>6886</v>
      </c>
      <c r="H23" s="118">
        <f>'BD Team'!I28</f>
        <v>2540</v>
      </c>
      <c r="I23" s="118">
        <f>'BD Team'!J28</f>
        <v>1</v>
      </c>
      <c r="J23" s="103">
        <f t="shared" si="0"/>
        <v>188.26709615999999</v>
      </c>
      <c r="K23" s="172">
        <f>'BD Team'!K28</f>
        <v>260.02999999999997</v>
      </c>
      <c r="L23" s="171">
        <f t="shared" si="1"/>
        <v>260.02999999999997</v>
      </c>
      <c r="M23" s="170">
        <f>L23*'Changable Values'!$D$4</f>
        <v>21582.489999999998</v>
      </c>
      <c r="N23" s="170" t="str">
        <f>'BD Team'!E28</f>
        <v>10MM</v>
      </c>
      <c r="O23" s="172">
        <v>1589</v>
      </c>
      <c r="P23" s="241"/>
      <c r="Q23" s="173"/>
      <c r="R23" s="185"/>
      <c r="S23" s="312"/>
      <c r="T23" s="313">
        <f t="shared" si="2"/>
        <v>62.84</v>
      </c>
      <c r="U23" s="313">
        <f t="shared" si="3"/>
        <v>75.408000000000001</v>
      </c>
      <c r="V23" s="313">
        <f t="shared" si="4"/>
        <v>3.9275000000000002</v>
      </c>
      <c r="W23" s="313">
        <f t="shared" si="5"/>
        <v>62.84</v>
      </c>
      <c r="X23" s="313">
        <f t="shared" si="6"/>
        <v>125.68</v>
      </c>
      <c r="Y23" s="313">
        <f t="shared" si="7"/>
        <v>37.704000000000001</v>
      </c>
    </row>
    <row r="24" spans="1:25">
      <c r="A24" s="118">
        <f>'BD Team'!A29</f>
        <v>21</v>
      </c>
      <c r="B24" s="118" t="str">
        <f>'BD Team'!B29</f>
        <v>CW4</v>
      </c>
      <c r="C24" s="118" t="str">
        <f>'BD Team'!C29</f>
        <v>M15000</v>
      </c>
      <c r="D24" s="118" t="str">
        <f>'BD Team'!D29</f>
        <v>FIXED GLASS CORNOR WINDOW</v>
      </c>
      <c r="E24" s="118" t="str">
        <f>'BD Team'!F29</f>
        <v>NO</v>
      </c>
      <c r="F24" s="121" t="str">
        <f>'BD Team'!G29</f>
        <v>2F - GYM ROOM</v>
      </c>
      <c r="G24" s="118">
        <f>'BD Team'!H29</f>
        <v>4344</v>
      </c>
      <c r="H24" s="118">
        <f>'BD Team'!I29</f>
        <v>2338</v>
      </c>
      <c r="I24" s="118">
        <f>'BD Team'!J29</f>
        <v>1</v>
      </c>
      <c r="J24" s="103">
        <f t="shared" si="0"/>
        <v>109.322111808</v>
      </c>
      <c r="K24" s="172">
        <f>'BD Team'!K29</f>
        <v>160.72999999999999</v>
      </c>
      <c r="L24" s="171">
        <f t="shared" si="1"/>
        <v>160.72999999999999</v>
      </c>
      <c r="M24" s="170">
        <f>L24*'Changable Values'!$D$4</f>
        <v>13340.589999999998</v>
      </c>
      <c r="N24" s="170" t="str">
        <f>'BD Team'!E29</f>
        <v>10MM</v>
      </c>
      <c r="O24" s="172">
        <v>1589</v>
      </c>
      <c r="P24" s="241"/>
      <c r="Q24" s="173"/>
      <c r="R24" s="185"/>
      <c r="S24" s="312"/>
      <c r="T24" s="313">
        <f t="shared" si="2"/>
        <v>44.546666666666667</v>
      </c>
      <c r="U24" s="313">
        <f t="shared" si="3"/>
        <v>53.456000000000003</v>
      </c>
      <c r="V24" s="313">
        <f t="shared" si="4"/>
        <v>2.7841666666666667</v>
      </c>
      <c r="W24" s="313">
        <f t="shared" si="5"/>
        <v>44.546666666666667</v>
      </c>
      <c r="X24" s="313">
        <f t="shared" si="6"/>
        <v>89.093333333333334</v>
      </c>
      <c r="Y24" s="313">
        <f t="shared" si="7"/>
        <v>26.728000000000002</v>
      </c>
    </row>
    <row r="25" spans="1:25">
      <c r="A25" s="118">
        <f>'BD Team'!A30</f>
        <v>22</v>
      </c>
      <c r="B25" s="118" t="str">
        <f>'BD Team'!B30</f>
        <v>V8</v>
      </c>
      <c r="C25" s="118" t="str">
        <f>'BD Team'!C30</f>
        <v>M940</v>
      </c>
      <c r="D25" s="118" t="str">
        <f>'BD Team'!D30</f>
        <v>FIXED GLASS WITH GLASS LOUVERS AND EXHAUST PROVISION</v>
      </c>
      <c r="E25" s="118" t="str">
        <f>'BD Team'!F30</f>
        <v>NO</v>
      </c>
      <c r="F25" s="121" t="str">
        <f>'BD Team'!G30</f>
        <v>2F - GYM ROOM</v>
      </c>
      <c r="G25" s="118">
        <f>'BD Team'!H30</f>
        <v>662</v>
      </c>
      <c r="H25" s="118">
        <f>'BD Team'!I30</f>
        <v>534</v>
      </c>
      <c r="I25" s="118">
        <f>'BD Team'!J30</f>
        <v>1</v>
      </c>
      <c r="J25" s="103">
        <f t="shared" si="0"/>
        <v>3.8051601119999998</v>
      </c>
      <c r="K25" s="172">
        <f>'BD Team'!K30</f>
        <v>27.98</v>
      </c>
      <c r="L25" s="171">
        <f t="shared" si="1"/>
        <v>27.98</v>
      </c>
      <c r="M25" s="170">
        <f>L25*'Changable Values'!$D$4</f>
        <v>2322.34</v>
      </c>
      <c r="N25" s="170" t="str">
        <f>'BD Team'!E30</f>
        <v>6MM (F)</v>
      </c>
      <c r="O25" s="172">
        <v>2003</v>
      </c>
      <c r="P25" s="241"/>
      <c r="Q25" s="173"/>
      <c r="R25" s="185"/>
      <c r="S25" s="312"/>
      <c r="T25" s="313">
        <f t="shared" si="2"/>
        <v>7.9733333333333336</v>
      </c>
      <c r="U25" s="313">
        <f t="shared" si="3"/>
        <v>9.5679999999999996</v>
      </c>
      <c r="V25" s="313">
        <f t="shared" si="4"/>
        <v>0.49833333333333335</v>
      </c>
      <c r="W25" s="313">
        <f t="shared" si="5"/>
        <v>7.9733333333333336</v>
      </c>
      <c r="X25" s="313">
        <f t="shared" si="6"/>
        <v>15.946666666666667</v>
      </c>
      <c r="Y25" s="313">
        <f t="shared" si="7"/>
        <v>4.7839999999999998</v>
      </c>
    </row>
    <row r="26" spans="1:25">
      <c r="A26" s="118">
        <f>'BD Team'!A31</f>
        <v>23</v>
      </c>
      <c r="B26" s="118" t="str">
        <f>'BD Team'!B31</f>
        <v>V9</v>
      </c>
      <c r="C26" s="118" t="str">
        <f>'BD Team'!C31</f>
        <v>M940</v>
      </c>
      <c r="D26" s="118" t="str">
        <f>'BD Team'!D31</f>
        <v>FIXED GLASS WITH GLASS LOUVERS AND EXHAUST PROVISION</v>
      </c>
      <c r="E26" s="118" t="str">
        <f>'BD Team'!F31</f>
        <v>NO</v>
      </c>
      <c r="F26" s="121" t="str">
        <f>'BD Team'!G31</f>
        <v>2F - GYM ROOM</v>
      </c>
      <c r="G26" s="118">
        <f>'BD Team'!H31</f>
        <v>662</v>
      </c>
      <c r="H26" s="118">
        <f>'BD Team'!I31</f>
        <v>534</v>
      </c>
      <c r="I26" s="118">
        <f>'BD Team'!J31</f>
        <v>1</v>
      </c>
      <c r="J26" s="103">
        <f t="shared" si="0"/>
        <v>3.8051601119999998</v>
      </c>
      <c r="K26" s="172">
        <f>'BD Team'!K31</f>
        <v>27.98</v>
      </c>
      <c r="L26" s="171">
        <f t="shared" si="1"/>
        <v>27.98</v>
      </c>
      <c r="M26" s="170">
        <f>L26*'Changable Values'!$D$4</f>
        <v>2322.34</v>
      </c>
      <c r="N26" s="170" t="str">
        <f>'BD Team'!E31</f>
        <v>6MM (F)</v>
      </c>
      <c r="O26" s="172">
        <v>2003</v>
      </c>
      <c r="P26" s="241"/>
      <c r="Q26" s="173"/>
      <c r="R26" s="185"/>
      <c r="S26" s="312"/>
      <c r="T26" s="313">
        <f t="shared" si="2"/>
        <v>7.9733333333333336</v>
      </c>
      <c r="U26" s="313">
        <f t="shared" si="3"/>
        <v>9.5679999999999996</v>
      </c>
      <c r="V26" s="313">
        <f t="shared" si="4"/>
        <v>0.49833333333333335</v>
      </c>
      <c r="W26" s="313">
        <f t="shared" si="5"/>
        <v>7.9733333333333336</v>
      </c>
      <c r="X26" s="313">
        <f t="shared" si="6"/>
        <v>15.946666666666667</v>
      </c>
      <c r="Y26" s="313">
        <f t="shared" si="7"/>
        <v>4.7839999999999998</v>
      </c>
    </row>
    <row r="27" spans="1:25">
      <c r="A27" s="118">
        <f>'BD Team'!A32</f>
        <v>24</v>
      </c>
      <c r="B27" s="118" t="str">
        <f>'BD Team'!B32</f>
        <v>SD2</v>
      </c>
      <c r="C27" s="118" t="str">
        <f>'BD Team'!C32</f>
        <v>M900</v>
      </c>
      <c r="D27" s="118" t="str">
        <f>'BD Team'!D32</f>
        <v>3 TRACK 2 SHUTTER SLIDING WINDOW</v>
      </c>
      <c r="E27" s="118" t="str">
        <f>'BD Team'!F32</f>
        <v>SS</v>
      </c>
      <c r="F27" s="121" t="str">
        <f>'BD Team'!G32</f>
        <v>2F - STUDY LIVING</v>
      </c>
      <c r="G27" s="118">
        <f>'BD Team'!H32</f>
        <v>2364</v>
      </c>
      <c r="H27" s="118">
        <f>'BD Team'!I32</f>
        <v>1474</v>
      </c>
      <c r="I27" s="118">
        <f>'BD Team'!J32</f>
        <v>1</v>
      </c>
      <c r="J27" s="103">
        <f t="shared" si="0"/>
        <v>37.507545503999999</v>
      </c>
      <c r="K27" s="172">
        <f>'BD Team'!K32</f>
        <v>180.29000000000002</v>
      </c>
      <c r="L27" s="171">
        <f t="shared" si="1"/>
        <v>180.29000000000002</v>
      </c>
      <c r="M27" s="170">
        <f>L27*'Changable Values'!$D$4</f>
        <v>14964.070000000002</v>
      </c>
      <c r="N27" s="170" t="str">
        <f>'BD Team'!E32</f>
        <v>6MM</v>
      </c>
      <c r="O27" s="172">
        <v>1002</v>
      </c>
      <c r="P27" s="241"/>
      <c r="Q27" s="173">
        <f t="shared" ref="Q27:Q29" si="9">50*10.764</f>
        <v>538.19999999999993</v>
      </c>
      <c r="R27" s="185"/>
      <c r="S27" s="312"/>
      <c r="T27" s="313">
        <f t="shared" si="2"/>
        <v>25.586666666666666</v>
      </c>
      <c r="U27" s="313">
        <f t="shared" si="3"/>
        <v>30.704000000000001</v>
      </c>
      <c r="V27" s="313">
        <f t="shared" si="4"/>
        <v>1.5991666666666666</v>
      </c>
      <c r="W27" s="313">
        <f t="shared" si="5"/>
        <v>25.586666666666666</v>
      </c>
      <c r="X27" s="313">
        <f t="shared" si="6"/>
        <v>51.173333333333332</v>
      </c>
      <c r="Y27" s="313">
        <f t="shared" si="7"/>
        <v>15.352</v>
      </c>
    </row>
    <row r="28" spans="1:25">
      <c r="A28" s="118">
        <f>'BD Team'!A33</f>
        <v>25</v>
      </c>
      <c r="B28" s="118" t="str">
        <f>'BD Team'!B33</f>
        <v>SD3</v>
      </c>
      <c r="C28" s="118" t="str">
        <f>'BD Team'!C33</f>
        <v>M14600</v>
      </c>
      <c r="D28" s="118" t="str">
        <f>'BD Team'!D33</f>
        <v>3 TRACK 2 SHUTTER SLIDING DOOR</v>
      </c>
      <c r="E28" s="118" t="str">
        <f>'BD Team'!F33</f>
        <v>SS</v>
      </c>
      <c r="F28" s="121" t="str">
        <f>'BD Team'!G33</f>
        <v>2F - STUDY LIVING</v>
      </c>
      <c r="G28" s="118">
        <f>'BD Team'!H33</f>
        <v>1716</v>
      </c>
      <c r="H28" s="118">
        <f>'BD Team'!I33</f>
        <v>2084</v>
      </c>
      <c r="I28" s="118">
        <f>'BD Team'!J33</f>
        <v>1</v>
      </c>
      <c r="J28" s="103">
        <f t="shared" si="0"/>
        <v>38.493614015999995</v>
      </c>
      <c r="K28" s="172">
        <f>'BD Team'!K33</f>
        <v>484.17</v>
      </c>
      <c r="L28" s="171">
        <f t="shared" si="1"/>
        <v>484.17</v>
      </c>
      <c r="M28" s="170">
        <f>L28*'Changable Values'!$D$4</f>
        <v>40186.11</v>
      </c>
      <c r="N28" s="170" t="str">
        <f>'BD Team'!E33</f>
        <v>6MM</v>
      </c>
      <c r="O28" s="172">
        <v>1002</v>
      </c>
      <c r="P28" s="241"/>
      <c r="Q28" s="173">
        <f t="shared" si="9"/>
        <v>538.19999999999993</v>
      </c>
      <c r="R28" s="185"/>
      <c r="S28" s="312"/>
      <c r="T28" s="313">
        <f t="shared" si="2"/>
        <v>25.333333333333332</v>
      </c>
      <c r="U28" s="313">
        <f t="shared" si="3"/>
        <v>30.4</v>
      </c>
      <c r="V28" s="313">
        <f t="shared" si="4"/>
        <v>1.5833333333333333</v>
      </c>
      <c r="W28" s="313">
        <f t="shared" si="5"/>
        <v>25.333333333333332</v>
      </c>
      <c r="X28" s="313">
        <f t="shared" si="6"/>
        <v>50.666666666666664</v>
      </c>
      <c r="Y28" s="313">
        <f t="shared" si="7"/>
        <v>15.2</v>
      </c>
    </row>
    <row r="29" spans="1:25">
      <c r="A29" s="118">
        <f>'BD Team'!A34</f>
        <v>26</v>
      </c>
      <c r="B29" s="118" t="str">
        <f>'BD Team'!B34</f>
        <v>SD4</v>
      </c>
      <c r="C29" s="118" t="str">
        <f>'BD Team'!C34</f>
        <v>M14600</v>
      </c>
      <c r="D29" s="118" t="str">
        <f>'BD Team'!D34</f>
        <v>3 TRACK 2 SHUTTER SLIDING DOOR</v>
      </c>
      <c r="E29" s="118" t="str">
        <f>'BD Team'!F34</f>
        <v>SS</v>
      </c>
      <c r="F29" s="121" t="str">
        <f>'BD Team'!G34</f>
        <v>2F - BAR</v>
      </c>
      <c r="G29" s="118">
        <f>'BD Team'!H34</f>
        <v>2286</v>
      </c>
      <c r="H29" s="118">
        <f>'BD Team'!I34</f>
        <v>2084</v>
      </c>
      <c r="I29" s="118">
        <f>'BD Team'!J34</f>
        <v>1</v>
      </c>
      <c r="J29" s="103">
        <f t="shared" si="0"/>
        <v>51.279954335999996</v>
      </c>
      <c r="K29" s="172">
        <f>'BD Team'!K34</f>
        <v>523</v>
      </c>
      <c r="L29" s="171">
        <f t="shared" si="1"/>
        <v>523</v>
      </c>
      <c r="M29" s="170">
        <f>L29*'Changable Values'!$D$4</f>
        <v>43409</v>
      </c>
      <c r="N29" s="170" t="str">
        <f>'BD Team'!E34</f>
        <v>6MM</v>
      </c>
      <c r="O29" s="172">
        <v>1002</v>
      </c>
      <c r="P29" s="241"/>
      <c r="Q29" s="173">
        <f t="shared" si="9"/>
        <v>538.19999999999993</v>
      </c>
      <c r="R29" s="185"/>
      <c r="S29" s="312"/>
      <c r="T29" s="313">
        <f t="shared" si="2"/>
        <v>29.133333333333333</v>
      </c>
      <c r="U29" s="313">
        <f t="shared" si="3"/>
        <v>34.96</v>
      </c>
      <c r="V29" s="313">
        <f t="shared" si="4"/>
        <v>1.8208333333333333</v>
      </c>
      <c r="W29" s="313">
        <f t="shared" si="5"/>
        <v>29.133333333333333</v>
      </c>
      <c r="X29" s="313">
        <f t="shared" si="6"/>
        <v>58.266666666666666</v>
      </c>
      <c r="Y29" s="313">
        <f t="shared" si="7"/>
        <v>17.48</v>
      </c>
    </row>
    <row r="30" spans="1:25">
      <c r="A30" s="118">
        <f>'BD Team'!A35</f>
        <v>27</v>
      </c>
      <c r="B30" s="118" t="str">
        <f>'BD Team'!B35</f>
        <v>V10</v>
      </c>
      <c r="C30" s="118" t="str">
        <f>'BD Team'!C35</f>
        <v>M940</v>
      </c>
      <c r="D30" s="118" t="str">
        <f>'BD Team'!D35</f>
        <v>FIXED GLASS WITH GLASS LOUVERS AND EXHAUST PROVISION</v>
      </c>
      <c r="E30" s="118" t="str">
        <f>'BD Team'!F35</f>
        <v>NO</v>
      </c>
      <c r="F30" s="121" t="str">
        <f>'BD Team'!G35</f>
        <v>2F - BAR</v>
      </c>
      <c r="G30" s="118">
        <f>'BD Team'!H35</f>
        <v>686</v>
      </c>
      <c r="H30" s="118">
        <f>'BD Team'!I35</f>
        <v>534</v>
      </c>
      <c r="I30" s="118">
        <f>'BD Team'!J35</f>
        <v>1</v>
      </c>
      <c r="J30" s="103">
        <f t="shared" si="0"/>
        <v>3.943111536</v>
      </c>
      <c r="K30" s="172">
        <f>'BD Team'!K35</f>
        <v>28.68</v>
      </c>
      <c r="L30" s="171">
        <f t="shared" si="1"/>
        <v>28.68</v>
      </c>
      <c r="M30" s="170">
        <f>L30*'Changable Values'!$D$4</f>
        <v>2380.44</v>
      </c>
      <c r="N30" s="170" t="str">
        <f>'BD Team'!E35</f>
        <v>6MM (F)</v>
      </c>
      <c r="O30" s="172">
        <v>2003</v>
      </c>
      <c r="P30" s="241"/>
      <c r="Q30" s="173"/>
      <c r="R30" s="185"/>
      <c r="S30" s="312"/>
      <c r="T30" s="313">
        <f t="shared" si="2"/>
        <v>8.1333333333333329</v>
      </c>
      <c r="U30" s="313">
        <f t="shared" si="3"/>
        <v>9.76</v>
      </c>
      <c r="V30" s="313">
        <f t="shared" si="4"/>
        <v>0.5083333333333333</v>
      </c>
      <c r="W30" s="313">
        <f t="shared" si="5"/>
        <v>8.1333333333333329</v>
      </c>
      <c r="X30" s="313">
        <f t="shared" si="6"/>
        <v>16.266666666666666</v>
      </c>
      <c r="Y30" s="313">
        <f t="shared" si="7"/>
        <v>4.88</v>
      </c>
    </row>
    <row r="31" spans="1:25">
      <c r="A31" s="118">
        <f>'BD Team'!A36</f>
        <v>28</v>
      </c>
      <c r="B31" s="118" t="str">
        <f>'BD Team'!B36</f>
        <v>SD5</v>
      </c>
      <c r="C31" s="118" t="str">
        <f>'BD Team'!C36</f>
        <v>M900</v>
      </c>
      <c r="D31" s="118" t="str">
        <f>'BD Team'!D36</f>
        <v>3 TRACK 2 SHUTTER SLIDING WINDOW</v>
      </c>
      <c r="E31" s="118" t="str">
        <f>'BD Team'!F36</f>
        <v>SS</v>
      </c>
      <c r="F31" s="121" t="str">
        <f>'BD Team'!G36</f>
        <v>2F -HOME THEATER</v>
      </c>
      <c r="G31" s="118">
        <f>'BD Team'!H36</f>
        <v>1804</v>
      </c>
      <c r="H31" s="118">
        <f>'BD Team'!I36</f>
        <v>1372</v>
      </c>
      <c r="I31" s="118">
        <f>'BD Team'!J36</f>
        <v>1</v>
      </c>
      <c r="J31" s="103">
        <f t="shared" si="0"/>
        <v>26.641847231999996</v>
      </c>
      <c r="K31" s="172">
        <f>'BD Team'!K36</f>
        <v>202.57</v>
      </c>
      <c r="L31" s="171">
        <f t="shared" si="1"/>
        <v>202.57</v>
      </c>
      <c r="M31" s="170">
        <f>L31*'Changable Values'!$D$4</f>
        <v>16813.309999999998</v>
      </c>
      <c r="N31" s="170" t="str">
        <f>'BD Team'!E36</f>
        <v>20MM</v>
      </c>
      <c r="O31" s="172">
        <v>2805</v>
      </c>
      <c r="P31" s="241"/>
      <c r="Q31" s="173">
        <f>50*10.764</f>
        <v>538.19999999999993</v>
      </c>
      <c r="R31" s="185"/>
      <c r="S31" s="312"/>
      <c r="T31" s="313">
        <f t="shared" si="2"/>
        <v>21.173333333333332</v>
      </c>
      <c r="U31" s="313">
        <f t="shared" si="3"/>
        <v>25.408000000000001</v>
      </c>
      <c r="V31" s="313">
        <f t="shared" si="4"/>
        <v>1.3233333333333333</v>
      </c>
      <c r="W31" s="313">
        <f t="shared" si="5"/>
        <v>21.173333333333332</v>
      </c>
      <c r="X31" s="313">
        <f t="shared" si="6"/>
        <v>42.346666666666664</v>
      </c>
      <c r="Y31" s="313">
        <f t="shared" si="7"/>
        <v>12.704000000000001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4256.3999999999987</v>
      </c>
      <c r="L104" s="168">
        <f>SUM(L4:L103)</f>
        <v>4256.3999999999987</v>
      </c>
      <c r="M104" s="168">
        <f>SUM(M4:M103)</f>
        <v>353281.2</v>
      </c>
      <c r="T104" s="314">
        <f t="shared" ref="T104:Y104" si="18">SUM(T4:T103)</f>
        <v>566.10666666666668</v>
      </c>
      <c r="U104" s="314">
        <f t="shared" si="18"/>
        <v>679.32799999999997</v>
      </c>
      <c r="V104" s="314">
        <f t="shared" si="18"/>
        <v>35.381666666666668</v>
      </c>
      <c r="W104" s="314">
        <f t="shared" si="18"/>
        <v>566.10666666666668</v>
      </c>
      <c r="X104" s="314">
        <f t="shared" si="18"/>
        <v>1132.2133333333334</v>
      </c>
      <c r="Y104" s="314">
        <f t="shared" si="18"/>
        <v>339.66399999999999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1589.3639999999998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1190</v>
      </c>
      <c r="D4" s="255">
        <f>C4*D3</f>
        <v>27.37</v>
      </c>
      <c r="E4" s="255">
        <f>C4*E3</f>
        <v>47.6</v>
      </c>
      <c r="F4" s="255">
        <f>C4*F3</f>
        <v>59.5</v>
      </c>
      <c r="G4" s="255">
        <f>C4+D4+E4+F4</f>
        <v>1324.4699999999998</v>
      </c>
      <c r="H4" s="255">
        <f>G4*H3</f>
        <v>264.89399999999995</v>
      </c>
      <c r="I4" s="255">
        <f>G4+H4</f>
        <v>1589.3639999999998</v>
      </c>
      <c r="J4" s="255">
        <f>I4*J3</f>
        <v>0</v>
      </c>
      <c r="K4" s="255">
        <f>I4+J4</f>
        <v>1589.3639999999998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10</v>
      </c>
      <c r="B7" s="270">
        <v>10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1190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CORNOR WINDOW</v>
      </c>
      <c r="D8" s="131" t="str">
        <f>Pricing!B4</f>
        <v>CW1</v>
      </c>
      <c r="E8" s="132" t="str">
        <f>Pricing!N4</f>
        <v>10MM</v>
      </c>
      <c r="F8" s="68">
        <f>Pricing!G4</f>
        <v>4344</v>
      </c>
      <c r="G8" s="68">
        <f>Pricing!H4</f>
        <v>2364</v>
      </c>
      <c r="H8" s="100">
        <f t="shared" ref="H8:H57" si="0">(F8*G8)/1000000</f>
        <v>10.269216</v>
      </c>
      <c r="I8" s="70">
        <f>Pricing!I4</f>
        <v>1</v>
      </c>
      <c r="J8" s="69">
        <f t="shared" ref="J8" si="1">H8*I8</f>
        <v>10.269216</v>
      </c>
      <c r="K8" s="71">
        <f t="shared" ref="K8" si="2">J8*10.764</f>
        <v>110.53784102399999</v>
      </c>
      <c r="L8" s="69"/>
      <c r="M8" s="72"/>
      <c r="N8" s="72"/>
      <c r="O8" s="72">
        <f t="shared" ref="O8:O35" si="3">N8*M8*L8/1000000</f>
        <v>0</v>
      </c>
      <c r="P8" s="73">
        <f>Pricing!M4</f>
        <v>13400.349999999999</v>
      </c>
      <c r="Q8" s="74">
        <f t="shared" ref="Q8:Q56" si="4">P8*$Q$6</f>
        <v>1340.0349999999999</v>
      </c>
      <c r="R8" s="74">
        <f t="shared" ref="R8:R56" si="5">(P8+Q8)*$R$6</f>
        <v>1621.4423499999998</v>
      </c>
      <c r="S8" s="74">
        <f t="shared" ref="S8:S56" si="6">(P8+Q8+R8)*$S$6</f>
        <v>81.809136749999993</v>
      </c>
      <c r="T8" s="74">
        <f t="shared" ref="T8:T56" si="7">(P8+Q8+R8+S8)*$T$6</f>
        <v>164.43636486749998</v>
      </c>
      <c r="U8" s="72">
        <f t="shared" ref="U8:U56" si="8">SUM(P8:T8)</f>
        <v>16608.072851617497</v>
      </c>
      <c r="V8" s="74">
        <f t="shared" ref="V8:V56" si="9">U8*$V$6</f>
        <v>249.12109277426245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16317.784224000001</v>
      </c>
      <c r="AE8" s="76">
        <f>((((F8+G8)*2)/305)*I8*$AE$7)</f>
        <v>1099.672131147541</v>
      </c>
      <c r="AF8" s="342">
        <f>(((((F8*4)+(G8*4))/1000)*$AF$6*$AG$6)/300)*I8*$AF$7</f>
        <v>1126.9440000000002</v>
      </c>
      <c r="AG8" s="343"/>
      <c r="AH8" s="76">
        <f>(((F8+G8))*I8/1000)*8*$AH$7</f>
        <v>40.248000000000005</v>
      </c>
      <c r="AI8" s="76">
        <f t="shared" ref="AI8:AI57" si="15">(((F8+G8)*2*I8)/1000)*2*$AI$7</f>
        <v>134.16</v>
      </c>
      <c r="AJ8" s="76">
        <f>J8*Pricing!Q4</f>
        <v>0</v>
      </c>
      <c r="AK8" s="76">
        <f>J8*Pricing!R4</f>
        <v>0</v>
      </c>
      <c r="AL8" s="76">
        <f t="shared" ref="AL8:AL39" si="16">J8*$AL$6</f>
        <v>11053.784102399999</v>
      </c>
      <c r="AM8" s="77">
        <f t="shared" ref="AM8:AM39" si="17">$AM$6*J8</f>
        <v>0</v>
      </c>
      <c r="AN8" s="76">
        <f t="shared" ref="AN8:AN39" si="18">$AN$6*J8</f>
        <v>11053.784102399999</v>
      </c>
      <c r="AO8" s="72">
        <f t="shared" ref="AO8:AO39" si="19">SUM(U8:V8)+SUM(AC8:AI8)-AD8</f>
        <v>19258.218075539291</v>
      </c>
      <c r="AP8" s="74">
        <f t="shared" ref="AP8:AP39" si="20">AO8*$AP$6</f>
        <v>24072.772594424114</v>
      </c>
      <c r="AQ8" s="74">
        <f t="shared" ref="AQ8:AQ56" si="21">(AO8+AP8)*$AQ$6</f>
        <v>0</v>
      </c>
      <c r="AR8" s="74">
        <f t="shared" ref="AR8:AR39" si="22">SUM(AO8:AQ8)/J8</f>
        <v>4219.5032872970442</v>
      </c>
      <c r="AS8" s="72">
        <f t="shared" ref="AS8:AS39" si="23">SUM(AJ8:AQ8)+AD8+AB8</f>
        <v>81756.343098763406</v>
      </c>
      <c r="AT8" s="72">
        <f t="shared" ref="AT8:AT39" si="24">AS8/J8</f>
        <v>7961.3032872970443</v>
      </c>
      <c r="AU8" s="78">
        <f t="shared" ref="AU8:AU56" si="25">AT8/10.764</f>
        <v>739.62312219407704</v>
      </c>
      <c r="AV8" s="79">
        <f t="shared" ref="AV8:AV39" si="26">K8/$K$109</f>
        <v>0.11991352675534578</v>
      </c>
      <c r="AW8" s="80">
        <f t="shared" ref="AW8:AW39" si="27">(U8+V8)/(J8*10.764)</f>
        <v>152.50156677776729</v>
      </c>
      <c r="AX8" s="81">
        <f t="shared" ref="AX8:AX39" si="28">SUM(W8:AN8,AP8)/(J8*10.764)</f>
        <v>587.12155541630977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W1</v>
      </c>
      <c r="E9" s="132" t="str">
        <f>Pricing!N5</f>
        <v>6MM</v>
      </c>
      <c r="F9" s="68">
        <f>Pricing!G5</f>
        <v>2350</v>
      </c>
      <c r="G9" s="68">
        <f>Pricing!H5</f>
        <v>1246</v>
      </c>
      <c r="H9" s="100">
        <f t="shared" si="0"/>
        <v>2.9281000000000001</v>
      </c>
      <c r="I9" s="70">
        <f>Pricing!I5</f>
        <v>1</v>
      </c>
      <c r="J9" s="69">
        <f t="shared" ref="J9:J58" si="30">H9*I9</f>
        <v>2.9281000000000001</v>
      </c>
      <c r="K9" s="71">
        <f t="shared" ref="K9:K58" si="31">J9*10.764</f>
        <v>31.518068400000001</v>
      </c>
      <c r="L9" s="69"/>
      <c r="M9" s="72"/>
      <c r="N9" s="72"/>
      <c r="O9" s="72">
        <f t="shared" si="3"/>
        <v>0</v>
      </c>
      <c r="P9" s="73">
        <f>Pricing!M5</f>
        <v>13914.949999999999</v>
      </c>
      <c r="Q9" s="74">
        <f t="shared" ref="Q9:Q14" si="32">P9*$Q$6</f>
        <v>1391.4949999999999</v>
      </c>
      <c r="R9" s="74">
        <f t="shared" ref="R9:R14" si="33">(P9+Q9)*$R$6</f>
        <v>1683.70895</v>
      </c>
      <c r="S9" s="74">
        <f t="shared" ref="S9:S14" si="34">(P9+Q9+R9)*$S$6</f>
        <v>84.950769750000006</v>
      </c>
      <c r="T9" s="74">
        <f t="shared" ref="T9:T14" si="35">(P9+Q9+R9+S9)*$T$6</f>
        <v>170.75104719750001</v>
      </c>
      <c r="U9" s="72">
        <f t="shared" ref="U9:U14" si="36">SUM(P9:T9)</f>
        <v>17245.855766947501</v>
      </c>
      <c r="V9" s="74">
        <f t="shared" ref="V9:V14" si="37">U9*$V$6</f>
        <v>258.6878365042125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2933.9562000000001</v>
      </c>
      <c r="AE9" s="76">
        <f t="shared" ref="AE9:AE57" si="43">((((F9+G9)*2)/305)*I9*$AE$7)</f>
        <v>589.50819672131149</v>
      </c>
      <c r="AF9" s="342">
        <f t="shared" ref="AF9:AF57" si="44">(((((F9*4)+(G9*4))/1000)*$AF$6*$AG$6)/300)*I9*$AF$7</f>
        <v>604.12800000000004</v>
      </c>
      <c r="AG9" s="343"/>
      <c r="AH9" s="76">
        <f t="shared" ref="AH9:AH72" si="45">(((F9+G9))*I9/1000)*8*$AH$7</f>
        <v>21.576000000000001</v>
      </c>
      <c r="AI9" s="76">
        <f t="shared" si="15"/>
        <v>71.92</v>
      </c>
      <c r="AJ9" s="76">
        <f>J9*Pricing!Q5</f>
        <v>1575.9034199999999</v>
      </c>
      <c r="AK9" s="76">
        <f>J9*Pricing!R5</f>
        <v>0</v>
      </c>
      <c r="AL9" s="76">
        <f t="shared" si="16"/>
        <v>3151.8068399999997</v>
      </c>
      <c r="AM9" s="77">
        <f t="shared" si="17"/>
        <v>0</v>
      </c>
      <c r="AN9" s="76">
        <f t="shared" si="18"/>
        <v>3151.8068399999997</v>
      </c>
      <c r="AO9" s="72">
        <f t="shared" si="19"/>
        <v>18791.675800173027</v>
      </c>
      <c r="AP9" s="74">
        <f t="shared" si="20"/>
        <v>23489.594750216282</v>
      </c>
      <c r="AQ9" s="74">
        <f t="shared" ref="AQ9:AQ14" si="46">(AO9+AP9)*$AQ$6</f>
        <v>0</v>
      </c>
      <c r="AR9" s="74">
        <f t="shared" si="22"/>
        <v>14439.831477883032</v>
      </c>
      <c r="AS9" s="72">
        <f t="shared" si="23"/>
        <v>53094.743850389306</v>
      </c>
      <c r="AT9" s="72">
        <f t="shared" si="24"/>
        <v>18132.831477883032</v>
      </c>
      <c r="AU9" s="78">
        <f t="shared" ref="AU9:AU14" si="47">AT9/10.764</f>
        <v>1684.5811480753468</v>
      </c>
      <c r="AV9" s="79">
        <f t="shared" si="26"/>
        <v>3.4191392769645515E-2</v>
      </c>
      <c r="AW9" s="80">
        <f t="shared" si="27"/>
        <v>555.38123026129722</v>
      </c>
      <c r="AX9" s="81">
        <f t="shared" si="28"/>
        <v>1129.1999178140493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SIDE HUNG WINDOW</v>
      </c>
      <c r="D10" s="131" t="str">
        <f>Pricing!B6</f>
        <v>W2</v>
      </c>
      <c r="E10" s="132" t="str">
        <f>Pricing!N6</f>
        <v>6MM</v>
      </c>
      <c r="F10" s="68">
        <f>Pricing!G6</f>
        <v>680</v>
      </c>
      <c r="G10" s="68">
        <f>Pricing!H6</f>
        <v>1270</v>
      </c>
      <c r="H10" s="100">
        <f t="shared" si="0"/>
        <v>0.86360000000000003</v>
      </c>
      <c r="I10" s="70">
        <f>Pricing!I6</f>
        <v>1</v>
      </c>
      <c r="J10" s="69">
        <f t="shared" si="30"/>
        <v>0.86360000000000003</v>
      </c>
      <c r="K10" s="71">
        <f t="shared" si="31"/>
        <v>9.2957903999999996</v>
      </c>
      <c r="L10" s="69"/>
      <c r="M10" s="72"/>
      <c r="N10" s="72"/>
      <c r="O10" s="72">
        <f t="shared" si="3"/>
        <v>0</v>
      </c>
      <c r="P10" s="73">
        <f>Pricing!M6</f>
        <v>14666.099999999999</v>
      </c>
      <c r="Q10" s="74">
        <f t="shared" si="32"/>
        <v>1466.61</v>
      </c>
      <c r="R10" s="74">
        <f t="shared" si="33"/>
        <v>1774.5980999999999</v>
      </c>
      <c r="S10" s="74">
        <f t="shared" si="34"/>
        <v>89.536540499999987</v>
      </c>
      <c r="T10" s="74">
        <f t="shared" si="35"/>
        <v>179.96844640500001</v>
      </c>
      <c r="U10" s="72">
        <f t="shared" si="36"/>
        <v>18176.813086905</v>
      </c>
      <c r="V10" s="74">
        <f t="shared" si="37"/>
        <v>272.65219630357501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865.32720000000006</v>
      </c>
      <c r="AE10" s="76">
        <f t="shared" si="43"/>
        <v>319.67213114754099</v>
      </c>
      <c r="AF10" s="342">
        <f t="shared" si="44"/>
        <v>327.59999999999997</v>
      </c>
      <c r="AG10" s="343"/>
      <c r="AH10" s="76">
        <f t="shared" si="45"/>
        <v>11.7</v>
      </c>
      <c r="AI10" s="76">
        <f t="shared" si="15"/>
        <v>39</v>
      </c>
      <c r="AJ10" s="76">
        <f>J10*Pricing!Q6</f>
        <v>0</v>
      </c>
      <c r="AK10" s="76">
        <f>J10*Pricing!R6</f>
        <v>0</v>
      </c>
      <c r="AL10" s="76">
        <f t="shared" si="16"/>
        <v>929.57903999999996</v>
      </c>
      <c r="AM10" s="77">
        <f t="shared" si="17"/>
        <v>0</v>
      </c>
      <c r="AN10" s="76">
        <f t="shared" si="18"/>
        <v>929.57903999999996</v>
      </c>
      <c r="AO10" s="72">
        <f t="shared" si="19"/>
        <v>19147.437414356114</v>
      </c>
      <c r="AP10" s="74">
        <f t="shared" si="20"/>
        <v>23934.296767945143</v>
      </c>
      <c r="AQ10" s="74">
        <f t="shared" si="46"/>
        <v>0</v>
      </c>
      <c r="AR10" s="74">
        <f t="shared" si="22"/>
        <v>49886.213735874539</v>
      </c>
      <c r="AS10" s="72">
        <f t="shared" si="23"/>
        <v>45806.219462301262</v>
      </c>
      <c r="AT10" s="72">
        <f t="shared" si="24"/>
        <v>53041.013735874549</v>
      </c>
      <c r="AU10" s="78">
        <f t="shared" si="47"/>
        <v>4927.6304102447557</v>
      </c>
      <c r="AV10" s="79">
        <f t="shared" si="26"/>
        <v>1.0084248077547169E-2</v>
      </c>
      <c r="AW10" s="80">
        <f t="shared" si="27"/>
        <v>1984.7118415243715</v>
      </c>
      <c r="AX10" s="81">
        <f t="shared" si="28"/>
        <v>2942.918568720384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</v>
      </c>
      <c r="D11" s="131" t="str">
        <f>Pricing!B7</f>
        <v>W3</v>
      </c>
      <c r="E11" s="132" t="str">
        <f>Pricing!N7</f>
        <v>6MM</v>
      </c>
      <c r="F11" s="68">
        <f>Pricing!G7</f>
        <v>686</v>
      </c>
      <c r="G11" s="68">
        <f>Pricing!H7</f>
        <v>1270</v>
      </c>
      <c r="H11" s="100">
        <f t="shared" si="0"/>
        <v>0.87121999999999999</v>
      </c>
      <c r="I11" s="70">
        <f>Pricing!I7</f>
        <v>1</v>
      </c>
      <c r="J11" s="69">
        <f t="shared" si="30"/>
        <v>0.87121999999999999</v>
      </c>
      <c r="K11" s="71">
        <f t="shared" si="31"/>
        <v>9.37781208</v>
      </c>
      <c r="L11" s="69"/>
      <c r="M11" s="72"/>
      <c r="N11" s="72"/>
      <c r="O11" s="72">
        <f t="shared" si="3"/>
        <v>0</v>
      </c>
      <c r="P11" s="73">
        <f>Pricing!M7</f>
        <v>14691</v>
      </c>
      <c r="Q11" s="74">
        <f t="shared" si="32"/>
        <v>1469.1000000000001</v>
      </c>
      <c r="R11" s="74">
        <f t="shared" si="33"/>
        <v>1777.6110000000001</v>
      </c>
      <c r="S11" s="74">
        <f t="shared" si="34"/>
        <v>89.688554999999994</v>
      </c>
      <c r="T11" s="74">
        <f t="shared" si="35"/>
        <v>180.27399555</v>
      </c>
      <c r="U11" s="72">
        <f t="shared" si="36"/>
        <v>18207.67355055</v>
      </c>
      <c r="V11" s="74">
        <f t="shared" si="37"/>
        <v>273.11510325824997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872.96244000000002</v>
      </c>
      <c r="AE11" s="76">
        <f t="shared" si="43"/>
        <v>320.65573770491807</v>
      </c>
      <c r="AF11" s="342">
        <f t="shared" si="44"/>
        <v>328.608</v>
      </c>
      <c r="AG11" s="343"/>
      <c r="AH11" s="76">
        <f t="shared" si="45"/>
        <v>11.736000000000001</v>
      </c>
      <c r="AI11" s="76">
        <f t="shared" si="15"/>
        <v>39.119999999999997</v>
      </c>
      <c r="AJ11" s="76">
        <f>J11*Pricing!Q7</f>
        <v>0</v>
      </c>
      <c r="AK11" s="76">
        <f>J11*Pricing!R7</f>
        <v>0</v>
      </c>
      <c r="AL11" s="76">
        <f t="shared" si="16"/>
        <v>937.78120799999988</v>
      </c>
      <c r="AM11" s="77">
        <f t="shared" si="17"/>
        <v>0</v>
      </c>
      <c r="AN11" s="76">
        <f t="shared" si="18"/>
        <v>937.78120799999988</v>
      </c>
      <c r="AO11" s="72">
        <f t="shared" si="19"/>
        <v>19180.908391513167</v>
      </c>
      <c r="AP11" s="74">
        <f t="shared" si="20"/>
        <v>23976.135489391458</v>
      </c>
      <c r="AQ11" s="74">
        <f t="shared" si="46"/>
        <v>0</v>
      </c>
      <c r="AR11" s="74">
        <f t="shared" si="22"/>
        <v>49536.332821680662</v>
      </c>
      <c r="AS11" s="72">
        <f t="shared" si="23"/>
        <v>45905.568736904628</v>
      </c>
      <c r="AT11" s="72">
        <f t="shared" si="24"/>
        <v>52691.132821680665</v>
      </c>
      <c r="AU11" s="78">
        <f t="shared" si="47"/>
        <v>4895.125680200731</v>
      </c>
      <c r="AV11" s="79">
        <f t="shared" si="26"/>
        <v>1.0173226737054938E-2</v>
      </c>
      <c r="AW11" s="80">
        <f t="shared" si="27"/>
        <v>1970.6930034588888</v>
      </c>
      <c r="AX11" s="81">
        <f t="shared" si="28"/>
        <v>2924.4326767418415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 WITH GLASS LOUVERS AND EXHAUST PROVISION</v>
      </c>
      <c r="D12" s="131" t="str">
        <f>Pricing!B8</f>
        <v>V1</v>
      </c>
      <c r="E12" s="132" t="str">
        <f>Pricing!N8</f>
        <v>6MM (F)</v>
      </c>
      <c r="F12" s="68">
        <f>Pricing!G8</f>
        <v>548</v>
      </c>
      <c r="G12" s="68">
        <f>Pricing!H8</f>
        <v>788</v>
      </c>
      <c r="H12" s="100">
        <f t="shared" si="0"/>
        <v>0.43182399999999999</v>
      </c>
      <c r="I12" s="70">
        <f>Pricing!I8</f>
        <v>1</v>
      </c>
      <c r="J12" s="69">
        <f t="shared" si="30"/>
        <v>0.43182399999999999</v>
      </c>
      <c r="K12" s="71">
        <f t="shared" si="31"/>
        <v>4.6481535359999997</v>
      </c>
      <c r="L12" s="69"/>
      <c r="M12" s="72"/>
      <c r="N12" s="72"/>
      <c r="O12" s="72">
        <f t="shared" si="3"/>
        <v>0</v>
      </c>
      <c r="P12" s="73">
        <f>Pricing!M8</f>
        <v>2462.61</v>
      </c>
      <c r="Q12" s="74">
        <f t="shared" si="32"/>
        <v>246.26100000000002</v>
      </c>
      <c r="R12" s="74">
        <f t="shared" si="33"/>
        <v>297.97581000000002</v>
      </c>
      <c r="S12" s="74">
        <f t="shared" si="34"/>
        <v>15.03423405</v>
      </c>
      <c r="T12" s="74">
        <f t="shared" si="35"/>
        <v>30.2188104405</v>
      </c>
      <c r="U12" s="72">
        <f t="shared" si="36"/>
        <v>3052.0998544905001</v>
      </c>
      <c r="V12" s="74">
        <f t="shared" si="37"/>
        <v>45.781497817357497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864.94347199999993</v>
      </c>
      <c r="AE12" s="76">
        <f t="shared" si="43"/>
        <v>219.01639344262293</v>
      </c>
      <c r="AF12" s="342">
        <f t="shared" si="44"/>
        <v>224.44800000000004</v>
      </c>
      <c r="AG12" s="343"/>
      <c r="AH12" s="76">
        <f t="shared" si="45"/>
        <v>8.016</v>
      </c>
      <c r="AI12" s="76">
        <f t="shared" si="15"/>
        <v>26.720000000000002</v>
      </c>
      <c r="AJ12" s="76">
        <f>J12*Pricing!Q8</f>
        <v>0</v>
      </c>
      <c r="AK12" s="76">
        <f>J12*Pricing!R8</f>
        <v>0</v>
      </c>
      <c r="AL12" s="76">
        <f t="shared" si="16"/>
        <v>464.81535359999992</v>
      </c>
      <c r="AM12" s="77">
        <f t="shared" si="17"/>
        <v>0</v>
      </c>
      <c r="AN12" s="76">
        <f t="shared" si="18"/>
        <v>464.81535359999992</v>
      </c>
      <c r="AO12" s="72">
        <f t="shared" si="19"/>
        <v>3576.0817457504809</v>
      </c>
      <c r="AP12" s="74">
        <f t="shared" si="20"/>
        <v>4470.1021821881013</v>
      </c>
      <c r="AQ12" s="74">
        <f t="shared" si="46"/>
        <v>0</v>
      </c>
      <c r="AR12" s="74">
        <f t="shared" si="22"/>
        <v>18633.016988260453</v>
      </c>
      <c r="AS12" s="72">
        <f t="shared" si="23"/>
        <v>9840.758107138583</v>
      </c>
      <c r="AT12" s="72">
        <f t="shared" si="24"/>
        <v>22788.816988260456</v>
      </c>
      <c r="AU12" s="78">
        <f t="shared" si="47"/>
        <v>2117.132756248649</v>
      </c>
      <c r="AV12" s="79">
        <f t="shared" si="26"/>
        <v>5.0424042865200649E-3</v>
      </c>
      <c r="AW12" s="80">
        <f t="shared" si="27"/>
        <v>666.47569369529913</v>
      </c>
      <c r="AX12" s="81">
        <f t="shared" si="28"/>
        <v>1450.6570625533495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 WITH GLASS LOUVERS AND EXHAUST PROVISION</v>
      </c>
      <c r="D13" s="131" t="str">
        <f>Pricing!B9</f>
        <v>V2</v>
      </c>
      <c r="E13" s="132" t="str">
        <f>Pricing!N9</f>
        <v>6MM (F)</v>
      </c>
      <c r="F13" s="68">
        <f>Pricing!G9</f>
        <v>458</v>
      </c>
      <c r="G13" s="68">
        <f>Pricing!H9</f>
        <v>788</v>
      </c>
      <c r="H13" s="100">
        <f t="shared" si="0"/>
        <v>0.360904</v>
      </c>
      <c r="I13" s="70">
        <f>Pricing!I9</f>
        <v>1</v>
      </c>
      <c r="J13" s="69">
        <f t="shared" si="30"/>
        <v>0.360904</v>
      </c>
      <c r="K13" s="71">
        <f t="shared" si="31"/>
        <v>3.8847706559999997</v>
      </c>
      <c r="L13" s="69"/>
      <c r="M13" s="72"/>
      <c r="N13" s="72"/>
      <c r="O13" s="72">
        <f t="shared" si="3"/>
        <v>0</v>
      </c>
      <c r="P13" s="73">
        <f>Pricing!M9</f>
        <v>2259.2599999999998</v>
      </c>
      <c r="Q13" s="74">
        <f t="shared" si="32"/>
        <v>225.92599999999999</v>
      </c>
      <c r="R13" s="74">
        <f t="shared" si="33"/>
        <v>273.37045999999998</v>
      </c>
      <c r="S13" s="74">
        <f t="shared" si="34"/>
        <v>13.792782299999999</v>
      </c>
      <c r="T13" s="74">
        <f t="shared" si="35"/>
        <v>27.723492423</v>
      </c>
      <c r="U13" s="72">
        <f t="shared" si="36"/>
        <v>2800.0727347229999</v>
      </c>
      <c r="V13" s="74">
        <f t="shared" si="37"/>
        <v>42.001091020844996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722.89071200000001</v>
      </c>
      <c r="AE13" s="76">
        <f t="shared" si="43"/>
        <v>204.26229508196721</v>
      </c>
      <c r="AF13" s="342">
        <f t="shared" si="44"/>
        <v>209.32800000000003</v>
      </c>
      <c r="AG13" s="343"/>
      <c r="AH13" s="76">
        <f t="shared" si="45"/>
        <v>7.476</v>
      </c>
      <c r="AI13" s="76">
        <f t="shared" si="15"/>
        <v>24.92</v>
      </c>
      <c r="AJ13" s="76">
        <f>J13*Pricing!Q9</f>
        <v>0</v>
      </c>
      <c r="AK13" s="76">
        <f>J13*Pricing!R9</f>
        <v>0</v>
      </c>
      <c r="AL13" s="76">
        <f t="shared" si="16"/>
        <v>388.47706559999995</v>
      </c>
      <c r="AM13" s="77">
        <f t="shared" si="17"/>
        <v>0</v>
      </c>
      <c r="AN13" s="76">
        <f t="shared" si="18"/>
        <v>388.47706559999995</v>
      </c>
      <c r="AO13" s="72">
        <f t="shared" si="19"/>
        <v>3288.0601208258122</v>
      </c>
      <c r="AP13" s="74">
        <f t="shared" si="20"/>
        <v>4110.0751510322652</v>
      </c>
      <c r="AQ13" s="74">
        <f t="shared" si="46"/>
        <v>0</v>
      </c>
      <c r="AR13" s="74">
        <f t="shared" si="22"/>
        <v>20498.900737753189</v>
      </c>
      <c r="AS13" s="72">
        <f t="shared" si="23"/>
        <v>8897.980115058077</v>
      </c>
      <c r="AT13" s="72">
        <f t="shared" si="24"/>
        <v>24654.700737753188</v>
      </c>
      <c r="AU13" s="78">
        <f t="shared" si="47"/>
        <v>2290.4775861903745</v>
      </c>
      <c r="AV13" s="79">
        <f t="shared" si="26"/>
        <v>4.2142721956682297E-3</v>
      </c>
      <c r="AW13" s="80">
        <f t="shared" si="27"/>
        <v>731.59372261893577</v>
      </c>
      <c r="AX13" s="81">
        <f t="shared" si="28"/>
        <v>1558.883863571439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W4</v>
      </c>
      <c r="E14" s="132" t="str">
        <f>Pricing!N10</f>
        <v>6MM</v>
      </c>
      <c r="F14" s="68">
        <f>Pricing!G10</f>
        <v>2338</v>
      </c>
      <c r="G14" s="68">
        <f>Pricing!H10</f>
        <v>1240</v>
      </c>
      <c r="H14" s="100">
        <f t="shared" si="0"/>
        <v>2.8991199999999999</v>
      </c>
      <c r="I14" s="70">
        <f>Pricing!I10</f>
        <v>1</v>
      </c>
      <c r="J14" s="69">
        <f t="shared" si="30"/>
        <v>2.8991199999999999</v>
      </c>
      <c r="K14" s="71">
        <f t="shared" si="31"/>
        <v>31.206127679999998</v>
      </c>
      <c r="L14" s="69"/>
      <c r="M14" s="72"/>
      <c r="N14" s="72"/>
      <c r="O14" s="72">
        <f t="shared" si="3"/>
        <v>0</v>
      </c>
      <c r="P14" s="73">
        <f>Pricing!M10</f>
        <v>13858.51</v>
      </c>
      <c r="Q14" s="74">
        <f t="shared" si="32"/>
        <v>1385.8510000000001</v>
      </c>
      <c r="R14" s="74">
        <f t="shared" si="33"/>
        <v>1676.8797100000002</v>
      </c>
      <c r="S14" s="74">
        <f t="shared" si="34"/>
        <v>84.606203550000018</v>
      </c>
      <c r="T14" s="74">
        <f t="shared" si="35"/>
        <v>170.05846913550002</v>
      </c>
      <c r="U14" s="72">
        <f t="shared" si="36"/>
        <v>17175.905382685502</v>
      </c>
      <c r="V14" s="74">
        <f t="shared" si="37"/>
        <v>257.63858074028252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2904.91824</v>
      </c>
      <c r="AE14" s="76">
        <f t="shared" si="43"/>
        <v>586.55737704918033</v>
      </c>
      <c r="AF14" s="342">
        <f t="shared" si="44"/>
        <v>601.10399999999993</v>
      </c>
      <c r="AG14" s="343"/>
      <c r="AH14" s="76">
        <f t="shared" si="45"/>
        <v>21.468</v>
      </c>
      <c r="AI14" s="76">
        <f t="shared" si="15"/>
        <v>71.56</v>
      </c>
      <c r="AJ14" s="76">
        <f>J14*Pricing!Q10</f>
        <v>1560.3063839999998</v>
      </c>
      <c r="AK14" s="76">
        <f>J14*Pricing!R10</f>
        <v>0</v>
      </c>
      <c r="AL14" s="76">
        <f t="shared" si="16"/>
        <v>3120.6127679999995</v>
      </c>
      <c r="AM14" s="77">
        <f t="shared" si="17"/>
        <v>0</v>
      </c>
      <c r="AN14" s="76">
        <f t="shared" si="18"/>
        <v>3120.6127679999995</v>
      </c>
      <c r="AO14" s="72">
        <f t="shared" si="19"/>
        <v>18714.233340474966</v>
      </c>
      <c r="AP14" s="74">
        <f t="shared" si="20"/>
        <v>23392.791675593708</v>
      </c>
      <c r="AQ14" s="74">
        <f t="shared" si="46"/>
        <v>0</v>
      </c>
      <c r="AR14" s="74">
        <f t="shared" si="22"/>
        <v>14524.071102979067</v>
      </c>
      <c r="AS14" s="72">
        <f t="shared" si="23"/>
        <v>52813.475176068678</v>
      </c>
      <c r="AT14" s="72">
        <f t="shared" si="24"/>
        <v>18217.071102979069</v>
      </c>
      <c r="AU14" s="78">
        <f t="shared" si="47"/>
        <v>1692.4072002024407</v>
      </c>
      <c r="AV14" s="79">
        <f t="shared" si="26"/>
        <v>3.385299361576951E-2</v>
      </c>
      <c r="AW14" s="80">
        <f t="shared" si="27"/>
        <v>558.65771435008708</v>
      </c>
      <c r="AX14" s="81">
        <f t="shared" si="28"/>
        <v>1133.7494858523532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W5</v>
      </c>
      <c r="E15" s="132" t="str">
        <f>Pricing!N11</f>
        <v>6MM</v>
      </c>
      <c r="F15" s="68">
        <f>Pricing!G11</f>
        <v>2364</v>
      </c>
      <c r="G15" s="68">
        <f>Pricing!H11</f>
        <v>992</v>
      </c>
      <c r="H15" s="100">
        <f t="shared" si="0"/>
        <v>2.3450880000000001</v>
      </c>
      <c r="I15" s="70">
        <f>Pricing!I11</f>
        <v>1</v>
      </c>
      <c r="J15" s="69">
        <f t="shared" si="30"/>
        <v>2.3450880000000001</v>
      </c>
      <c r="K15" s="71">
        <f t="shared" si="31"/>
        <v>25.242527232</v>
      </c>
      <c r="L15" s="69"/>
      <c r="M15" s="72"/>
      <c r="N15" s="72"/>
      <c r="O15" s="72">
        <f t="shared" si="3"/>
        <v>0</v>
      </c>
      <c r="P15" s="73">
        <f>Pricing!M11</f>
        <v>12820.18</v>
      </c>
      <c r="Q15" s="74">
        <f t="shared" si="4"/>
        <v>1282.018</v>
      </c>
      <c r="R15" s="74">
        <f t="shared" si="5"/>
        <v>1551.2417800000001</v>
      </c>
      <c r="S15" s="74">
        <f t="shared" si="6"/>
        <v>78.267198900000011</v>
      </c>
      <c r="T15" s="74">
        <f t="shared" si="7"/>
        <v>157.31706978899999</v>
      </c>
      <c r="U15" s="72">
        <f t="shared" si="8"/>
        <v>15889.024048689</v>
      </c>
      <c r="V15" s="74">
        <f t="shared" si="9"/>
        <v>238.335360730335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2349.7781760000003</v>
      </c>
      <c r="AE15" s="76">
        <f t="shared" si="43"/>
        <v>550.1639344262295</v>
      </c>
      <c r="AF15" s="342">
        <f t="shared" si="44"/>
        <v>563.80799999999999</v>
      </c>
      <c r="AG15" s="343"/>
      <c r="AH15" s="76">
        <f t="shared" si="45"/>
        <v>20.135999999999999</v>
      </c>
      <c r="AI15" s="76">
        <f t="shared" ref="AI15:AI20" si="49">(((F15+G15)*2*I15)/1000)*2*$AI$7</f>
        <v>67.12</v>
      </c>
      <c r="AJ15" s="76">
        <f>J15*Pricing!Q11</f>
        <v>1262.1263615999999</v>
      </c>
      <c r="AK15" s="76">
        <f>J15*Pricing!R11</f>
        <v>0</v>
      </c>
      <c r="AL15" s="76">
        <f t="shared" si="16"/>
        <v>2524.2527231999998</v>
      </c>
      <c r="AM15" s="77">
        <f t="shared" si="17"/>
        <v>0</v>
      </c>
      <c r="AN15" s="76">
        <f t="shared" si="18"/>
        <v>2524.2527231999998</v>
      </c>
      <c r="AO15" s="72">
        <f t="shared" si="19"/>
        <v>17328.587343845564</v>
      </c>
      <c r="AP15" s="74">
        <f t="shared" si="20"/>
        <v>21660.734179806954</v>
      </c>
      <c r="AQ15" s="74">
        <f t="shared" si="21"/>
        <v>0</v>
      </c>
      <c r="AR15" s="74">
        <f t="shared" si="22"/>
        <v>16625.952426370572</v>
      </c>
      <c r="AS15" s="72">
        <f t="shared" si="23"/>
        <v>47649.731507652519</v>
      </c>
      <c r="AT15" s="72">
        <f t="shared" si="24"/>
        <v>20318.952426370575</v>
      </c>
      <c r="AU15" s="78">
        <f t="shared" si="25"/>
        <v>1887.6767397222757</v>
      </c>
      <c r="AV15" s="79">
        <f t="shared" si="26"/>
        <v>2.7383567804167366E-2</v>
      </c>
      <c r="AW15" s="80">
        <f t="shared" si="27"/>
        <v>638.896385500365</v>
      </c>
      <c r="AX15" s="81">
        <f t="shared" si="28"/>
        <v>1248.7803542219103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SIDE HUNG WINDOW</v>
      </c>
      <c r="D16" s="131" t="str">
        <f>Pricing!B12</f>
        <v>W2</v>
      </c>
      <c r="E16" s="132" t="str">
        <f>Pricing!N12</f>
        <v>6MM</v>
      </c>
      <c r="F16" s="68">
        <f>Pricing!G12</f>
        <v>686</v>
      </c>
      <c r="G16" s="68">
        <f>Pricing!H12</f>
        <v>1500</v>
      </c>
      <c r="H16" s="100">
        <f t="shared" si="0"/>
        <v>1.0289999999999999</v>
      </c>
      <c r="I16" s="70">
        <f>Pricing!I12</f>
        <v>1</v>
      </c>
      <c r="J16" s="69">
        <f t="shared" si="30"/>
        <v>1.0289999999999999</v>
      </c>
      <c r="K16" s="71">
        <f t="shared" si="31"/>
        <v>11.076155999999999</v>
      </c>
      <c r="L16" s="69"/>
      <c r="M16" s="72"/>
      <c r="N16" s="72"/>
      <c r="O16" s="72">
        <f t="shared" si="3"/>
        <v>0</v>
      </c>
      <c r="P16" s="73">
        <f>Pricing!M12</f>
        <v>15663.76</v>
      </c>
      <c r="Q16" s="74">
        <f t="shared" si="4"/>
        <v>1566.3760000000002</v>
      </c>
      <c r="R16" s="74">
        <f t="shared" si="5"/>
        <v>1895.3149599999999</v>
      </c>
      <c r="S16" s="74">
        <f t="shared" si="6"/>
        <v>95.627254799999989</v>
      </c>
      <c r="T16" s="74">
        <f t="shared" si="7"/>
        <v>192.21078214799999</v>
      </c>
      <c r="U16" s="72">
        <f t="shared" si="8"/>
        <v>19413.288996947998</v>
      </c>
      <c r="V16" s="74">
        <f t="shared" si="9"/>
        <v>291.19933495421998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1031.058</v>
      </c>
      <c r="AE16" s="76">
        <f t="shared" si="43"/>
        <v>358.36065573770492</v>
      </c>
      <c r="AF16" s="342">
        <f t="shared" si="44"/>
        <v>367.24799999999999</v>
      </c>
      <c r="AG16" s="343"/>
      <c r="AH16" s="76">
        <f t="shared" si="45"/>
        <v>13.116</v>
      </c>
      <c r="AI16" s="76">
        <f t="shared" si="49"/>
        <v>43.72</v>
      </c>
      <c r="AJ16" s="76">
        <f>J16*Pricing!Q12</f>
        <v>0</v>
      </c>
      <c r="AK16" s="76">
        <f>J16*Pricing!R12</f>
        <v>0</v>
      </c>
      <c r="AL16" s="76">
        <f t="shared" si="16"/>
        <v>1107.6155999999999</v>
      </c>
      <c r="AM16" s="77">
        <f t="shared" si="17"/>
        <v>0</v>
      </c>
      <c r="AN16" s="76">
        <f t="shared" si="18"/>
        <v>1107.6155999999999</v>
      </c>
      <c r="AO16" s="72">
        <f t="shared" si="19"/>
        <v>20486.932987639924</v>
      </c>
      <c r="AP16" s="74">
        <f t="shared" si="20"/>
        <v>25608.666234549906</v>
      </c>
      <c r="AQ16" s="74">
        <f t="shared" si="21"/>
        <v>0</v>
      </c>
      <c r="AR16" s="74">
        <f t="shared" si="22"/>
        <v>44796.50070183658</v>
      </c>
      <c r="AS16" s="72">
        <f t="shared" si="23"/>
        <v>49341.888422189826</v>
      </c>
      <c r="AT16" s="72">
        <f t="shared" si="24"/>
        <v>47951.300701836568</v>
      </c>
      <c r="AU16" s="78">
        <f t="shared" si="25"/>
        <v>4454.7845319431972</v>
      </c>
      <c r="AV16" s="79">
        <f t="shared" si="26"/>
        <v>1.2015622130379848E-2</v>
      </c>
      <c r="AW16" s="80">
        <f t="shared" si="27"/>
        <v>1779.0006146448479</v>
      </c>
      <c r="AX16" s="81">
        <f t="shared" si="28"/>
        <v>2675.783917298349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SIDE HUNG WINDOW</v>
      </c>
      <c r="D17" s="131" t="str">
        <f>Pricing!B13</f>
        <v>W3</v>
      </c>
      <c r="E17" s="132" t="str">
        <f>Pricing!N13</f>
        <v>6MM</v>
      </c>
      <c r="F17" s="68">
        <f>Pricing!G13</f>
        <v>686</v>
      </c>
      <c r="G17" s="68">
        <f>Pricing!H13</f>
        <v>1500</v>
      </c>
      <c r="H17" s="100">
        <f t="shared" si="0"/>
        <v>1.0289999999999999</v>
      </c>
      <c r="I17" s="70">
        <f>Pricing!I13</f>
        <v>1</v>
      </c>
      <c r="J17" s="69">
        <f t="shared" si="30"/>
        <v>1.0289999999999999</v>
      </c>
      <c r="K17" s="71">
        <f t="shared" si="31"/>
        <v>11.076155999999999</v>
      </c>
      <c r="L17" s="69"/>
      <c r="M17" s="72"/>
      <c r="N17" s="72"/>
      <c r="O17" s="72">
        <f t="shared" si="3"/>
        <v>0</v>
      </c>
      <c r="P17" s="73">
        <f>Pricing!M13</f>
        <v>15663.76</v>
      </c>
      <c r="Q17" s="74">
        <f t="shared" si="4"/>
        <v>1566.3760000000002</v>
      </c>
      <c r="R17" s="74">
        <f t="shared" si="5"/>
        <v>1895.3149599999999</v>
      </c>
      <c r="S17" s="74">
        <f t="shared" si="6"/>
        <v>95.627254799999989</v>
      </c>
      <c r="T17" s="74">
        <f t="shared" si="7"/>
        <v>192.21078214799999</v>
      </c>
      <c r="U17" s="72">
        <f t="shared" si="8"/>
        <v>19413.288996947998</v>
      </c>
      <c r="V17" s="74">
        <f t="shared" si="9"/>
        <v>291.19933495421998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1031.058</v>
      </c>
      <c r="AE17" s="76">
        <f t="shared" si="43"/>
        <v>358.36065573770492</v>
      </c>
      <c r="AF17" s="342">
        <f t="shared" si="44"/>
        <v>367.24799999999999</v>
      </c>
      <c r="AG17" s="343"/>
      <c r="AH17" s="76">
        <f t="shared" si="45"/>
        <v>13.116</v>
      </c>
      <c r="AI17" s="76">
        <f t="shared" si="49"/>
        <v>43.72</v>
      </c>
      <c r="AJ17" s="76">
        <f>J17*Pricing!Q13</f>
        <v>0</v>
      </c>
      <c r="AK17" s="76">
        <f>J17*Pricing!R13</f>
        <v>0</v>
      </c>
      <c r="AL17" s="76">
        <f t="shared" si="16"/>
        <v>1107.6155999999999</v>
      </c>
      <c r="AM17" s="77">
        <f t="shared" si="17"/>
        <v>0</v>
      </c>
      <c r="AN17" s="76">
        <f t="shared" si="18"/>
        <v>1107.6155999999999</v>
      </c>
      <c r="AO17" s="72">
        <f t="shared" si="19"/>
        <v>20486.932987639924</v>
      </c>
      <c r="AP17" s="74">
        <f t="shared" si="20"/>
        <v>25608.666234549906</v>
      </c>
      <c r="AQ17" s="74">
        <f t="shared" si="21"/>
        <v>0</v>
      </c>
      <c r="AR17" s="74">
        <f t="shared" si="22"/>
        <v>44796.50070183658</v>
      </c>
      <c r="AS17" s="72">
        <f t="shared" si="23"/>
        <v>49341.888422189826</v>
      </c>
      <c r="AT17" s="72">
        <f t="shared" si="24"/>
        <v>47951.300701836568</v>
      </c>
      <c r="AU17" s="78">
        <f t="shared" si="25"/>
        <v>4454.7845319431972</v>
      </c>
      <c r="AV17" s="79">
        <f t="shared" si="26"/>
        <v>1.2015622130379848E-2</v>
      </c>
      <c r="AW17" s="80">
        <f t="shared" si="27"/>
        <v>1779.0006146448479</v>
      </c>
      <c r="AX17" s="81">
        <f t="shared" si="28"/>
        <v>2675.783917298349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 WITH GLASS LOUVERS AND EXHAUST PROVISION</v>
      </c>
      <c r="D18" s="131" t="str">
        <f>Pricing!B14</f>
        <v>V3</v>
      </c>
      <c r="E18" s="132" t="str">
        <f>Pricing!N14</f>
        <v>6MM (F)</v>
      </c>
      <c r="F18" s="68">
        <f>Pricing!G14</f>
        <v>840</v>
      </c>
      <c r="G18" s="68">
        <f>Pricing!H14</f>
        <v>538</v>
      </c>
      <c r="H18" s="100">
        <f t="shared" si="0"/>
        <v>0.45191999999999999</v>
      </c>
      <c r="I18" s="70">
        <f>Pricing!I14</f>
        <v>1</v>
      </c>
      <c r="J18" s="69">
        <f t="shared" si="30"/>
        <v>0.45191999999999999</v>
      </c>
      <c r="K18" s="71">
        <f t="shared" si="31"/>
        <v>4.8644668799999993</v>
      </c>
      <c r="L18" s="69"/>
      <c r="M18" s="72"/>
      <c r="N18" s="72"/>
      <c r="O18" s="72">
        <f t="shared" si="3"/>
        <v>0</v>
      </c>
      <c r="P18" s="73">
        <f>Pricing!M14</f>
        <v>2760.58</v>
      </c>
      <c r="Q18" s="74">
        <f t="shared" si="4"/>
        <v>276.05799999999999</v>
      </c>
      <c r="R18" s="74">
        <f t="shared" si="5"/>
        <v>334.03017999999997</v>
      </c>
      <c r="S18" s="74">
        <f t="shared" si="6"/>
        <v>16.853340899999999</v>
      </c>
      <c r="T18" s="74">
        <f t="shared" si="7"/>
        <v>33.875215208999997</v>
      </c>
      <c r="U18" s="72">
        <f t="shared" si="8"/>
        <v>3421.3967361089999</v>
      </c>
      <c r="V18" s="74">
        <f t="shared" si="9"/>
        <v>51.320951041634999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905.19575999999995</v>
      </c>
      <c r="AE18" s="76">
        <f t="shared" si="43"/>
        <v>225.90163934426229</v>
      </c>
      <c r="AF18" s="342">
        <f t="shared" si="44"/>
        <v>231.50399999999996</v>
      </c>
      <c r="AG18" s="343"/>
      <c r="AH18" s="76">
        <f t="shared" si="45"/>
        <v>8.2679999999999989</v>
      </c>
      <c r="AI18" s="76">
        <f t="shared" si="49"/>
        <v>27.56</v>
      </c>
      <c r="AJ18" s="76">
        <f>J18*Pricing!Q14</f>
        <v>0</v>
      </c>
      <c r="AK18" s="76">
        <f>J18*Pricing!R14</f>
        <v>0</v>
      </c>
      <c r="AL18" s="76">
        <f t="shared" si="16"/>
        <v>486.44668799999994</v>
      </c>
      <c r="AM18" s="77">
        <f t="shared" si="17"/>
        <v>0</v>
      </c>
      <c r="AN18" s="76">
        <f t="shared" si="18"/>
        <v>486.44668799999994</v>
      </c>
      <c r="AO18" s="72">
        <f t="shared" si="19"/>
        <v>3965.9513264948969</v>
      </c>
      <c r="AP18" s="74">
        <f t="shared" si="20"/>
        <v>4957.439158118621</v>
      </c>
      <c r="AQ18" s="74">
        <f t="shared" si="21"/>
        <v>0</v>
      </c>
      <c r="AR18" s="74">
        <f t="shared" si="22"/>
        <v>19745.50912686652</v>
      </c>
      <c r="AS18" s="72">
        <f t="shared" si="23"/>
        <v>10801.479620613518</v>
      </c>
      <c r="AT18" s="72">
        <f t="shared" si="24"/>
        <v>23901.309126866519</v>
      </c>
      <c r="AU18" s="78">
        <f t="shared" si="25"/>
        <v>2220.4857977393644</v>
      </c>
      <c r="AV18" s="79">
        <f t="shared" si="26"/>
        <v>5.277065066240292E-3</v>
      </c>
      <c r="AW18" s="80">
        <f t="shared" si="27"/>
        <v>713.89481577694187</v>
      </c>
      <c r="AX18" s="81">
        <f t="shared" si="28"/>
        <v>1506.590981962423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 WITH GLASS LOUVERS AND EXHAUST PROVISION</v>
      </c>
      <c r="D19" s="131" t="str">
        <f>Pricing!B15</f>
        <v>V4</v>
      </c>
      <c r="E19" s="132" t="str">
        <f>Pricing!N15</f>
        <v>6MM (F)</v>
      </c>
      <c r="F19" s="68">
        <f>Pricing!G15</f>
        <v>788</v>
      </c>
      <c r="G19" s="68">
        <f>Pricing!H15</f>
        <v>504</v>
      </c>
      <c r="H19" s="100">
        <f t="shared" si="0"/>
        <v>0.39715200000000001</v>
      </c>
      <c r="I19" s="70">
        <f>Pricing!I15</f>
        <v>1</v>
      </c>
      <c r="J19" s="69">
        <f t="shared" si="30"/>
        <v>0.39715200000000001</v>
      </c>
      <c r="K19" s="71">
        <f t="shared" si="31"/>
        <v>4.2749441279999996</v>
      </c>
      <c r="L19" s="69"/>
      <c r="M19" s="72"/>
      <c r="N19" s="72"/>
      <c r="O19" s="72">
        <f t="shared" si="3"/>
        <v>0</v>
      </c>
      <c r="P19" s="73">
        <f>Pricing!M15</f>
        <v>2580.4699999999998</v>
      </c>
      <c r="Q19" s="74">
        <f t="shared" si="4"/>
        <v>258.04699999999997</v>
      </c>
      <c r="R19" s="74">
        <f t="shared" si="5"/>
        <v>312.23687000000001</v>
      </c>
      <c r="S19" s="74">
        <f t="shared" si="6"/>
        <v>15.753769350000001</v>
      </c>
      <c r="T19" s="74">
        <f t="shared" si="7"/>
        <v>31.665076393499998</v>
      </c>
      <c r="U19" s="72">
        <f t="shared" si="8"/>
        <v>3198.1727157434998</v>
      </c>
      <c r="V19" s="74">
        <f t="shared" si="9"/>
        <v>47.972590736152497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795.49545599999999</v>
      </c>
      <c r="AE19" s="76">
        <f t="shared" si="43"/>
        <v>211.80327868852459</v>
      </c>
      <c r="AF19" s="342">
        <f t="shared" si="44"/>
        <v>217.05600000000001</v>
      </c>
      <c r="AG19" s="343"/>
      <c r="AH19" s="76">
        <f t="shared" si="45"/>
        <v>7.7520000000000007</v>
      </c>
      <c r="AI19" s="76">
        <f t="shared" si="49"/>
        <v>25.84</v>
      </c>
      <c r="AJ19" s="76">
        <f>J19*Pricing!Q15</f>
        <v>0</v>
      </c>
      <c r="AK19" s="76">
        <f>J19*Pricing!R15</f>
        <v>0</v>
      </c>
      <c r="AL19" s="76">
        <f t="shared" si="16"/>
        <v>427.49441279999996</v>
      </c>
      <c r="AM19" s="77">
        <f t="shared" si="17"/>
        <v>0</v>
      </c>
      <c r="AN19" s="76">
        <f t="shared" si="18"/>
        <v>427.49441279999996</v>
      </c>
      <c r="AO19" s="72">
        <f t="shared" si="19"/>
        <v>3708.5965851681763</v>
      </c>
      <c r="AP19" s="74">
        <f t="shared" si="20"/>
        <v>4635.7457314602207</v>
      </c>
      <c r="AQ19" s="74">
        <f t="shared" si="21"/>
        <v>0</v>
      </c>
      <c r="AR19" s="74">
        <f t="shared" si="22"/>
        <v>21010.450196973445</v>
      </c>
      <c r="AS19" s="72">
        <f t="shared" si="23"/>
        <v>9994.8265982283974</v>
      </c>
      <c r="AT19" s="72">
        <f t="shared" si="24"/>
        <v>25166.250196973444</v>
      </c>
      <c r="AU19" s="78">
        <f t="shared" si="25"/>
        <v>2338.0016905400821</v>
      </c>
      <c r="AV19" s="79">
        <f t="shared" si="26"/>
        <v>4.637539708770279E-3</v>
      </c>
      <c r="AW19" s="80">
        <f t="shared" si="27"/>
        <v>759.34215963620954</v>
      </c>
      <c r="AX19" s="81">
        <f t="shared" si="28"/>
        <v>1578.6595309038728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 CORNOR WINDOW</v>
      </c>
      <c r="D20" s="131" t="str">
        <f>Pricing!B16</f>
        <v>CW2</v>
      </c>
      <c r="E20" s="132" t="str">
        <f>Pricing!N16</f>
        <v>10MM</v>
      </c>
      <c r="F20" s="68">
        <f>Pricing!G16</f>
        <v>4344</v>
      </c>
      <c r="G20" s="68">
        <f>Pricing!H16</f>
        <v>2338</v>
      </c>
      <c r="H20" s="100">
        <f t="shared" si="0"/>
        <v>10.156272</v>
      </c>
      <c r="I20" s="70">
        <f>Pricing!I16</f>
        <v>1</v>
      </c>
      <c r="J20" s="69">
        <f t="shared" si="30"/>
        <v>10.156272</v>
      </c>
      <c r="K20" s="71">
        <f t="shared" si="31"/>
        <v>109.32211180799999</v>
      </c>
      <c r="L20" s="69"/>
      <c r="M20" s="72"/>
      <c r="N20" s="72"/>
      <c r="O20" s="72">
        <f t="shared" si="3"/>
        <v>0</v>
      </c>
      <c r="P20" s="73">
        <f>Pricing!M16</f>
        <v>13340.589999999998</v>
      </c>
      <c r="Q20" s="74">
        <f t="shared" si="4"/>
        <v>1334.059</v>
      </c>
      <c r="R20" s="74">
        <f t="shared" si="5"/>
        <v>1614.2113899999997</v>
      </c>
      <c r="S20" s="74">
        <f t="shared" si="6"/>
        <v>81.444301949999996</v>
      </c>
      <c r="T20" s="74">
        <f t="shared" si="7"/>
        <v>163.70304691949997</v>
      </c>
      <c r="U20" s="72">
        <f t="shared" si="8"/>
        <v>16534.007738869499</v>
      </c>
      <c r="V20" s="74">
        <f t="shared" si="9"/>
        <v>248.01011608304248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16138.316207999998</v>
      </c>
      <c r="AE20" s="76">
        <f t="shared" si="43"/>
        <v>1095.4098360655739</v>
      </c>
      <c r="AF20" s="342">
        <f t="shared" si="44"/>
        <v>1122.576</v>
      </c>
      <c r="AG20" s="343"/>
      <c r="AH20" s="76">
        <f t="shared" si="45"/>
        <v>40.091999999999999</v>
      </c>
      <c r="AI20" s="76">
        <f t="shared" si="49"/>
        <v>133.64000000000001</v>
      </c>
      <c r="AJ20" s="76">
        <f>J20*Pricing!Q16</f>
        <v>0</v>
      </c>
      <c r="AK20" s="76">
        <f>J20*Pricing!R16</f>
        <v>0</v>
      </c>
      <c r="AL20" s="76">
        <f t="shared" si="16"/>
        <v>10932.211180799997</v>
      </c>
      <c r="AM20" s="77">
        <f t="shared" si="17"/>
        <v>0</v>
      </c>
      <c r="AN20" s="76">
        <f t="shared" si="18"/>
        <v>10932.211180799997</v>
      </c>
      <c r="AO20" s="72">
        <f t="shared" si="19"/>
        <v>19173.735691018119</v>
      </c>
      <c r="AP20" s="74">
        <f t="shared" si="20"/>
        <v>23967.169613772647</v>
      </c>
      <c r="AQ20" s="74">
        <f t="shared" si="21"/>
        <v>0</v>
      </c>
      <c r="AR20" s="74">
        <f t="shared" si="22"/>
        <v>4247.7107057383619</v>
      </c>
      <c r="AS20" s="72">
        <f t="shared" si="23"/>
        <v>81143.643874390764</v>
      </c>
      <c r="AT20" s="72">
        <f t="shared" si="24"/>
        <v>7989.510705738362</v>
      </c>
      <c r="AU20" s="78">
        <f t="shared" si="25"/>
        <v>742.24365530828345</v>
      </c>
      <c r="AV20" s="79">
        <f t="shared" si="26"/>
        <v>0.11859468086040544</v>
      </c>
      <c r="AW20" s="80">
        <f t="shared" si="27"/>
        <v>153.50982136556627</v>
      </c>
      <c r="AX20" s="81">
        <f t="shared" si="28"/>
        <v>588.73383394271707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 WITH GLASS LOUVERS AND EXHAUST PROVISION</v>
      </c>
      <c r="D21" s="131" t="str">
        <f>Pricing!B17</f>
        <v>V5</v>
      </c>
      <c r="E21" s="132" t="str">
        <f>Pricing!N17</f>
        <v>6MM (F)</v>
      </c>
      <c r="F21" s="68">
        <f>Pricing!G17</f>
        <v>686</v>
      </c>
      <c r="G21" s="68">
        <f>Pricing!H17</f>
        <v>686</v>
      </c>
      <c r="H21" s="100">
        <f t="shared" si="0"/>
        <v>0.47059600000000001</v>
      </c>
      <c r="I21" s="70">
        <f>Pricing!I17</f>
        <v>1</v>
      </c>
      <c r="J21" s="69">
        <f t="shared" si="30"/>
        <v>0.47059600000000001</v>
      </c>
      <c r="K21" s="71">
        <f t="shared" si="31"/>
        <v>5.0654953439999995</v>
      </c>
      <c r="L21" s="69"/>
      <c r="M21" s="72"/>
      <c r="N21" s="72"/>
      <c r="O21" s="72">
        <f t="shared" si="3"/>
        <v>0</v>
      </c>
      <c r="P21" s="73">
        <f>Pricing!M17</f>
        <v>2624.46</v>
      </c>
      <c r="Q21" s="74">
        <f t="shared" ref="Q21:Q26" si="50">P21*$Q$6</f>
        <v>262.44600000000003</v>
      </c>
      <c r="R21" s="74">
        <f t="shared" ref="R21:R26" si="51">(P21+Q21)*$R$6</f>
        <v>317.55966000000001</v>
      </c>
      <c r="S21" s="74">
        <f t="shared" ref="S21:S26" si="52">(P21+Q21+R21)*$S$6</f>
        <v>16.022328299999998</v>
      </c>
      <c r="T21" s="74">
        <f t="shared" ref="T21:T26" si="53">(P21+Q21+R21+S21)*$T$6</f>
        <v>32.204879882999997</v>
      </c>
      <c r="U21" s="72">
        <f t="shared" ref="U21:U26" si="54">SUM(P21:T21)</f>
        <v>3252.692868183</v>
      </c>
      <c r="V21" s="74">
        <f t="shared" ref="V21:V26" si="55">U21*$V$6</f>
        <v>48.790393022745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942.60378800000001</v>
      </c>
      <c r="AE21" s="76">
        <f t="shared" si="43"/>
        <v>224.91803278688525</v>
      </c>
      <c r="AF21" s="342">
        <f t="shared" si="44"/>
        <v>230.49600000000004</v>
      </c>
      <c r="AG21" s="343"/>
      <c r="AH21" s="76">
        <f t="shared" si="45"/>
        <v>8.2320000000000011</v>
      </c>
      <c r="AI21" s="76">
        <f t="shared" si="15"/>
        <v>27.44</v>
      </c>
      <c r="AJ21" s="76">
        <f>J21*Pricing!Q17</f>
        <v>0</v>
      </c>
      <c r="AK21" s="76">
        <f>J21*Pricing!R17</f>
        <v>0</v>
      </c>
      <c r="AL21" s="76">
        <f t="shared" si="16"/>
        <v>506.54953439999997</v>
      </c>
      <c r="AM21" s="77">
        <f t="shared" si="17"/>
        <v>0</v>
      </c>
      <c r="AN21" s="76">
        <f t="shared" si="18"/>
        <v>506.54953439999997</v>
      </c>
      <c r="AO21" s="72">
        <f t="shared" si="19"/>
        <v>3792.5692939926307</v>
      </c>
      <c r="AP21" s="74">
        <f t="shared" si="20"/>
        <v>4740.7116174907887</v>
      </c>
      <c r="AQ21" s="74">
        <f t="shared" ref="AQ21:AQ26" si="61">(AO21+AP21)*$AQ$6</f>
        <v>0</v>
      </c>
      <c r="AR21" s="74">
        <f t="shared" si="22"/>
        <v>18132.922743676994</v>
      </c>
      <c r="AS21" s="72">
        <f t="shared" si="23"/>
        <v>10488.983768283419</v>
      </c>
      <c r="AT21" s="72">
        <f t="shared" si="24"/>
        <v>22288.722743676994</v>
      </c>
      <c r="AU21" s="78">
        <f t="shared" ref="AU21:AU26" si="62">AT21/10.764</f>
        <v>2070.672867305555</v>
      </c>
      <c r="AV21" s="79">
        <f t="shared" si="26"/>
        <v>5.4951445209603829E-3</v>
      </c>
      <c r="AW21" s="80">
        <f t="shared" si="27"/>
        <v>651.75921346296377</v>
      </c>
      <c r="AX21" s="81">
        <f t="shared" si="28"/>
        <v>1418.9136538425914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WITH GLASS LOUVERS AND EXHAUST PROVISION</v>
      </c>
      <c r="D22" s="131" t="str">
        <f>Pricing!B18</f>
        <v>V6</v>
      </c>
      <c r="E22" s="132" t="str">
        <f>Pricing!N18</f>
        <v>6MM (F)</v>
      </c>
      <c r="F22" s="68">
        <f>Pricing!G18</f>
        <v>814</v>
      </c>
      <c r="G22" s="68">
        <f>Pricing!H18</f>
        <v>538</v>
      </c>
      <c r="H22" s="100">
        <f t="shared" si="0"/>
        <v>0.43793199999999999</v>
      </c>
      <c r="I22" s="70">
        <f>Pricing!I18</f>
        <v>1</v>
      </c>
      <c r="J22" s="69">
        <f t="shared" si="30"/>
        <v>0.43793199999999999</v>
      </c>
      <c r="K22" s="71">
        <f t="shared" si="31"/>
        <v>4.7139000479999993</v>
      </c>
      <c r="L22" s="69"/>
      <c r="M22" s="72"/>
      <c r="N22" s="72"/>
      <c r="O22" s="72">
        <f t="shared" si="3"/>
        <v>0</v>
      </c>
      <c r="P22" s="73">
        <f>Pricing!M18</f>
        <v>2697.5</v>
      </c>
      <c r="Q22" s="74">
        <f t="shared" si="50"/>
        <v>269.75</v>
      </c>
      <c r="R22" s="74">
        <f t="shared" si="51"/>
        <v>326.39749999999998</v>
      </c>
      <c r="S22" s="74">
        <f t="shared" si="52"/>
        <v>16.468237500000001</v>
      </c>
      <c r="T22" s="74">
        <f t="shared" si="53"/>
        <v>33.101157375</v>
      </c>
      <c r="U22" s="72">
        <f t="shared" si="54"/>
        <v>3343.2168948750004</v>
      </c>
      <c r="V22" s="74">
        <f t="shared" si="55"/>
        <v>50.148253423125006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877.17779599999994</v>
      </c>
      <c r="AE22" s="76">
        <f t="shared" si="43"/>
        <v>221.63934426229508</v>
      </c>
      <c r="AF22" s="342">
        <f t="shared" si="44"/>
        <v>227.136</v>
      </c>
      <c r="AG22" s="343"/>
      <c r="AH22" s="76">
        <f t="shared" si="45"/>
        <v>8.1120000000000001</v>
      </c>
      <c r="AI22" s="76">
        <f t="shared" si="15"/>
        <v>27.040000000000003</v>
      </c>
      <c r="AJ22" s="76">
        <f>J22*Pricing!Q18</f>
        <v>0</v>
      </c>
      <c r="AK22" s="76">
        <f>J22*Pricing!R18</f>
        <v>0</v>
      </c>
      <c r="AL22" s="76">
        <f t="shared" si="16"/>
        <v>471.39000479999993</v>
      </c>
      <c r="AM22" s="77">
        <f t="shared" si="17"/>
        <v>0</v>
      </c>
      <c r="AN22" s="76">
        <f t="shared" si="18"/>
        <v>471.39000479999993</v>
      </c>
      <c r="AO22" s="72">
        <f t="shared" si="19"/>
        <v>3877.2924925604202</v>
      </c>
      <c r="AP22" s="74">
        <f t="shared" si="20"/>
        <v>4846.6156157005253</v>
      </c>
      <c r="AQ22" s="74">
        <f t="shared" si="61"/>
        <v>0</v>
      </c>
      <c r="AR22" s="74">
        <f t="shared" si="22"/>
        <v>19920.691130725649</v>
      </c>
      <c r="AS22" s="72">
        <f t="shared" si="23"/>
        <v>10543.865913860946</v>
      </c>
      <c r="AT22" s="72">
        <f t="shared" si="24"/>
        <v>24076.491130725652</v>
      </c>
      <c r="AU22" s="78">
        <f t="shared" si="62"/>
        <v>2236.7606030031266</v>
      </c>
      <c r="AV22" s="79">
        <f t="shared" si="26"/>
        <v>5.1137273379995209E-3</v>
      </c>
      <c r="AW22" s="80">
        <f t="shared" si="27"/>
        <v>719.86361902982082</v>
      </c>
      <c r="AX22" s="81">
        <f t="shared" si="28"/>
        <v>1516.8969839733056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2 SHUTTER SLIDING DOOR</v>
      </c>
      <c r="D23" s="131" t="str">
        <f>Pricing!B19</f>
        <v>SD1</v>
      </c>
      <c r="E23" s="132" t="str">
        <f>Pricing!N19</f>
        <v>6MM</v>
      </c>
      <c r="F23" s="68">
        <f>Pricing!G19</f>
        <v>2364</v>
      </c>
      <c r="G23" s="68">
        <f>Pricing!H19</f>
        <v>2186</v>
      </c>
      <c r="H23" s="100">
        <f t="shared" si="0"/>
        <v>5.1677039999999996</v>
      </c>
      <c r="I23" s="70">
        <f>Pricing!I19</f>
        <v>1</v>
      </c>
      <c r="J23" s="69">
        <f t="shared" si="30"/>
        <v>5.1677039999999996</v>
      </c>
      <c r="K23" s="71">
        <f t="shared" si="31"/>
        <v>55.625165855999995</v>
      </c>
      <c r="L23" s="69"/>
      <c r="M23" s="72"/>
      <c r="N23" s="72"/>
      <c r="O23" s="72">
        <f t="shared" si="3"/>
        <v>0</v>
      </c>
      <c r="P23" s="73">
        <f>Pricing!M19</f>
        <v>44791.78</v>
      </c>
      <c r="Q23" s="74">
        <f t="shared" si="50"/>
        <v>4479.1779999999999</v>
      </c>
      <c r="R23" s="74">
        <f t="shared" si="51"/>
        <v>5419.8053799999998</v>
      </c>
      <c r="S23" s="74">
        <f t="shared" si="52"/>
        <v>273.45381689999999</v>
      </c>
      <c r="T23" s="74">
        <f t="shared" si="53"/>
        <v>549.64217196899995</v>
      </c>
      <c r="U23" s="72">
        <f t="shared" si="54"/>
        <v>55513.859368868994</v>
      </c>
      <c r="V23" s="74">
        <f t="shared" si="55"/>
        <v>832.70789053303486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5178.0394079999996</v>
      </c>
      <c r="AE23" s="76">
        <f t="shared" si="43"/>
        <v>745.90163934426221</v>
      </c>
      <c r="AF23" s="342">
        <f t="shared" si="44"/>
        <v>764.39999999999986</v>
      </c>
      <c r="AG23" s="343"/>
      <c r="AH23" s="76">
        <f t="shared" si="45"/>
        <v>27.299999999999997</v>
      </c>
      <c r="AI23" s="76">
        <f t="shared" si="15"/>
        <v>91</v>
      </c>
      <c r="AJ23" s="76">
        <f>J23*Pricing!Q19</f>
        <v>2781.2582927999993</v>
      </c>
      <c r="AK23" s="76">
        <f>J23*Pricing!R19</f>
        <v>0</v>
      </c>
      <c r="AL23" s="76">
        <f t="shared" si="16"/>
        <v>5562.5165855999985</v>
      </c>
      <c r="AM23" s="77">
        <f t="shared" si="17"/>
        <v>0</v>
      </c>
      <c r="AN23" s="76">
        <f t="shared" si="18"/>
        <v>5562.5165855999985</v>
      </c>
      <c r="AO23" s="72">
        <f t="shared" si="19"/>
        <v>57975.168898746291</v>
      </c>
      <c r="AP23" s="74">
        <f t="shared" si="20"/>
        <v>72468.961123432862</v>
      </c>
      <c r="AQ23" s="74">
        <f t="shared" si="61"/>
        <v>0</v>
      </c>
      <c r="AR23" s="74">
        <f t="shared" si="22"/>
        <v>25242.182993100836</v>
      </c>
      <c r="AS23" s="72">
        <f t="shared" si="23"/>
        <v>149528.46089417918</v>
      </c>
      <c r="AT23" s="72">
        <f t="shared" si="24"/>
        <v>28935.182993100843</v>
      </c>
      <c r="AU23" s="78">
        <f t="shared" si="62"/>
        <v>2688.1440907748834</v>
      </c>
      <c r="AV23" s="79">
        <f t="shared" si="26"/>
        <v>6.0343225020070418E-2</v>
      </c>
      <c r="AW23" s="80">
        <f t="shared" si="27"/>
        <v>1012.9689753243985</v>
      </c>
      <c r="AX23" s="81">
        <f t="shared" si="28"/>
        <v>1675.1751154504841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FIXED GLASS</v>
      </c>
      <c r="D24" s="131" t="str">
        <f>Pricing!B20</f>
        <v>W6</v>
      </c>
      <c r="E24" s="132" t="str">
        <f>Pricing!N20</f>
        <v>6MM</v>
      </c>
      <c r="F24" s="68">
        <f>Pricing!G20</f>
        <v>1270</v>
      </c>
      <c r="G24" s="68">
        <f>Pricing!H20</f>
        <v>1270</v>
      </c>
      <c r="H24" s="100">
        <f t="shared" si="0"/>
        <v>1.6129</v>
      </c>
      <c r="I24" s="70">
        <f>Pricing!I20</f>
        <v>1</v>
      </c>
      <c r="J24" s="69">
        <f t="shared" si="30"/>
        <v>1.6129</v>
      </c>
      <c r="K24" s="71">
        <f t="shared" si="31"/>
        <v>17.3612556</v>
      </c>
      <c r="L24" s="69"/>
      <c r="M24" s="72"/>
      <c r="N24" s="72"/>
      <c r="O24" s="72">
        <f t="shared" si="3"/>
        <v>0</v>
      </c>
      <c r="P24" s="73">
        <f>Pricing!M20</f>
        <v>2508.2599999999998</v>
      </c>
      <c r="Q24" s="74">
        <f t="shared" si="50"/>
        <v>250.82599999999999</v>
      </c>
      <c r="R24" s="74">
        <f t="shared" si="51"/>
        <v>303.49946</v>
      </c>
      <c r="S24" s="74">
        <f t="shared" si="52"/>
        <v>15.312927299999998</v>
      </c>
      <c r="T24" s="74">
        <f t="shared" si="53"/>
        <v>30.778983872999998</v>
      </c>
      <c r="U24" s="72">
        <f t="shared" si="54"/>
        <v>3108.6773711729998</v>
      </c>
      <c r="V24" s="74">
        <f t="shared" si="55"/>
        <v>46.630160567594992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1616.1258</v>
      </c>
      <c r="AE24" s="76">
        <f t="shared" si="43"/>
        <v>416.39344262295077</v>
      </c>
      <c r="AF24" s="342">
        <f t="shared" si="44"/>
        <v>426.72</v>
      </c>
      <c r="AG24" s="343"/>
      <c r="AH24" s="76">
        <f t="shared" si="45"/>
        <v>15.24</v>
      </c>
      <c r="AI24" s="76">
        <f t="shared" si="15"/>
        <v>50.8</v>
      </c>
      <c r="AJ24" s="76">
        <f>J24*Pricing!Q20</f>
        <v>0</v>
      </c>
      <c r="AK24" s="76">
        <f>J24*Pricing!R20</f>
        <v>0</v>
      </c>
      <c r="AL24" s="76">
        <f t="shared" si="16"/>
        <v>1736.1255599999997</v>
      </c>
      <c r="AM24" s="77">
        <f t="shared" si="17"/>
        <v>0</v>
      </c>
      <c r="AN24" s="76">
        <f t="shared" si="18"/>
        <v>1736.1255599999997</v>
      </c>
      <c r="AO24" s="72">
        <f t="shared" si="19"/>
        <v>4064.4609743635456</v>
      </c>
      <c r="AP24" s="74">
        <f t="shared" si="20"/>
        <v>5080.5762179544317</v>
      </c>
      <c r="AQ24" s="74">
        <f t="shared" si="61"/>
        <v>0</v>
      </c>
      <c r="AR24" s="74">
        <f t="shared" si="22"/>
        <v>5669.9343991059441</v>
      </c>
      <c r="AS24" s="72">
        <f t="shared" si="23"/>
        <v>14233.414112317978</v>
      </c>
      <c r="AT24" s="72">
        <f t="shared" si="24"/>
        <v>8824.7343991059442</v>
      </c>
      <c r="AU24" s="78">
        <f t="shared" si="62"/>
        <v>819.83782971998744</v>
      </c>
      <c r="AV24" s="79">
        <f t="shared" si="26"/>
        <v>1.88338162624778E-2</v>
      </c>
      <c r="AW24" s="80">
        <f t="shared" si="27"/>
        <v>181.74420125123868</v>
      </c>
      <c r="AX24" s="81">
        <f t="shared" si="28"/>
        <v>638.09362846874865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FIXED GLASS WITH GLASS LOUVERS AND EXHAUST PROVISION</v>
      </c>
      <c r="D25" s="131" t="str">
        <f>Pricing!B21</f>
        <v>V7</v>
      </c>
      <c r="E25" s="132" t="str">
        <f>Pricing!N21</f>
        <v>6MM (F)</v>
      </c>
      <c r="F25" s="68">
        <f>Pricing!G21</f>
        <v>534</v>
      </c>
      <c r="G25" s="68">
        <f>Pricing!H21</f>
        <v>840</v>
      </c>
      <c r="H25" s="100">
        <f t="shared" si="0"/>
        <v>0.44856000000000001</v>
      </c>
      <c r="I25" s="70">
        <f>Pricing!I21</f>
        <v>1</v>
      </c>
      <c r="J25" s="69">
        <f t="shared" si="30"/>
        <v>0.44856000000000001</v>
      </c>
      <c r="K25" s="71">
        <f t="shared" si="31"/>
        <v>4.8282998399999997</v>
      </c>
      <c r="L25" s="69"/>
      <c r="M25" s="72"/>
      <c r="N25" s="72"/>
      <c r="O25" s="72">
        <f t="shared" si="3"/>
        <v>0</v>
      </c>
      <c r="P25" s="73">
        <f>Pricing!M21</f>
        <v>2502.4499999999998</v>
      </c>
      <c r="Q25" s="74">
        <f t="shared" si="50"/>
        <v>250.245</v>
      </c>
      <c r="R25" s="74">
        <f t="shared" si="51"/>
        <v>302.79644999999999</v>
      </c>
      <c r="S25" s="74">
        <f t="shared" si="52"/>
        <v>15.277457249999998</v>
      </c>
      <c r="T25" s="74">
        <f t="shared" si="53"/>
        <v>30.707689072499999</v>
      </c>
      <c r="U25" s="72">
        <f t="shared" si="54"/>
        <v>3101.4765963225</v>
      </c>
      <c r="V25" s="74">
        <f t="shared" si="55"/>
        <v>46.522148944837497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898.46568000000002</v>
      </c>
      <c r="AE25" s="76">
        <f t="shared" si="43"/>
        <v>225.24590163934425</v>
      </c>
      <c r="AF25" s="342">
        <f t="shared" si="44"/>
        <v>230.83199999999999</v>
      </c>
      <c r="AG25" s="343"/>
      <c r="AH25" s="76">
        <f t="shared" si="45"/>
        <v>8.2439999999999998</v>
      </c>
      <c r="AI25" s="76">
        <f t="shared" si="15"/>
        <v>27.480000000000004</v>
      </c>
      <c r="AJ25" s="76">
        <f>J25*Pricing!Q21</f>
        <v>0</v>
      </c>
      <c r="AK25" s="76">
        <f>J25*Pricing!R21</f>
        <v>0</v>
      </c>
      <c r="AL25" s="76">
        <f t="shared" si="16"/>
        <v>482.82998399999997</v>
      </c>
      <c r="AM25" s="77">
        <f t="shared" si="17"/>
        <v>0</v>
      </c>
      <c r="AN25" s="76">
        <f t="shared" si="18"/>
        <v>482.82998399999997</v>
      </c>
      <c r="AO25" s="72">
        <f t="shared" si="19"/>
        <v>3639.8006469066813</v>
      </c>
      <c r="AP25" s="74">
        <f t="shared" si="20"/>
        <v>4549.7508086333519</v>
      </c>
      <c r="AQ25" s="74">
        <f t="shared" si="61"/>
        <v>0</v>
      </c>
      <c r="AR25" s="74">
        <f t="shared" si="22"/>
        <v>18257.427000936405</v>
      </c>
      <c r="AS25" s="72">
        <f t="shared" si="23"/>
        <v>10053.677103540032</v>
      </c>
      <c r="AT25" s="72">
        <f t="shared" si="24"/>
        <v>22413.2270009364</v>
      </c>
      <c r="AU25" s="78">
        <f t="shared" si="62"/>
        <v>2082.2395950331106</v>
      </c>
      <c r="AV25" s="79">
        <f t="shared" si="26"/>
        <v>5.2378303817329297E-3</v>
      </c>
      <c r="AW25" s="80">
        <f t="shared" si="27"/>
        <v>651.98907474382077</v>
      </c>
      <c r="AX25" s="81">
        <f t="shared" si="28"/>
        <v>1430.2505202892901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WITH GLASS LOUVERS AND EXHAUST PROVISION</v>
      </c>
      <c r="D26" s="131" t="str">
        <f>Pricing!B22</f>
        <v>V8</v>
      </c>
      <c r="E26" s="132" t="str">
        <f>Pricing!N22</f>
        <v>6MM (F)</v>
      </c>
      <c r="F26" s="68">
        <f>Pricing!G22</f>
        <v>840</v>
      </c>
      <c r="G26" s="68">
        <f>Pricing!H22</f>
        <v>534</v>
      </c>
      <c r="H26" s="100">
        <f t="shared" si="0"/>
        <v>0.44856000000000001</v>
      </c>
      <c r="I26" s="70">
        <f>Pricing!I22</f>
        <v>1</v>
      </c>
      <c r="J26" s="69">
        <f t="shared" si="30"/>
        <v>0.44856000000000001</v>
      </c>
      <c r="K26" s="71">
        <f t="shared" si="31"/>
        <v>4.8282998399999997</v>
      </c>
      <c r="L26" s="69"/>
      <c r="M26" s="72"/>
      <c r="N26" s="72"/>
      <c r="O26" s="72">
        <f t="shared" si="3"/>
        <v>0</v>
      </c>
      <c r="P26" s="73">
        <f>Pricing!M22</f>
        <v>2753.94</v>
      </c>
      <c r="Q26" s="74">
        <f t="shared" si="50"/>
        <v>275.39400000000001</v>
      </c>
      <c r="R26" s="74">
        <f t="shared" si="51"/>
        <v>333.22674000000001</v>
      </c>
      <c r="S26" s="74">
        <f t="shared" si="52"/>
        <v>16.8128037</v>
      </c>
      <c r="T26" s="74">
        <f t="shared" si="53"/>
        <v>33.793735437000002</v>
      </c>
      <c r="U26" s="72">
        <f t="shared" si="54"/>
        <v>3413.1672791370002</v>
      </c>
      <c r="V26" s="74">
        <f t="shared" si="55"/>
        <v>51.197509187054997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898.46568000000002</v>
      </c>
      <c r="AE26" s="76">
        <f t="shared" si="43"/>
        <v>225.24590163934425</v>
      </c>
      <c r="AF26" s="342">
        <f t="shared" si="44"/>
        <v>230.83199999999999</v>
      </c>
      <c r="AG26" s="343"/>
      <c r="AH26" s="76">
        <f t="shared" si="45"/>
        <v>8.2439999999999998</v>
      </c>
      <c r="AI26" s="76">
        <f t="shared" si="15"/>
        <v>27.480000000000004</v>
      </c>
      <c r="AJ26" s="76">
        <f>J26*Pricing!Q22</f>
        <v>0</v>
      </c>
      <c r="AK26" s="76">
        <f>J26*Pricing!R22</f>
        <v>0</v>
      </c>
      <c r="AL26" s="76">
        <f t="shared" si="16"/>
        <v>482.82998399999997</v>
      </c>
      <c r="AM26" s="77">
        <f t="shared" si="17"/>
        <v>0</v>
      </c>
      <c r="AN26" s="76">
        <f t="shared" si="18"/>
        <v>482.82998399999997</v>
      </c>
      <c r="AO26" s="72">
        <f t="shared" si="19"/>
        <v>3956.1666899633992</v>
      </c>
      <c r="AP26" s="74">
        <f t="shared" si="20"/>
        <v>4945.2083624542493</v>
      </c>
      <c r="AQ26" s="74">
        <f t="shared" si="61"/>
        <v>0</v>
      </c>
      <c r="AR26" s="74">
        <f t="shared" si="22"/>
        <v>19844.335322850115</v>
      </c>
      <c r="AS26" s="72">
        <f t="shared" si="23"/>
        <v>10765.500700417648</v>
      </c>
      <c r="AT26" s="72">
        <f t="shared" si="24"/>
        <v>24000.135322850114</v>
      </c>
      <c r="AU26" s="78">
        <f t="shared" si="62"/>
        <v>2229.6669753669748</v>
      </c>
      <c r="AV26" s="79">
        <f t="shared" si="26"/>
        <v>5.2378303817329297E-3</v>
      </c>
      <c r="AW26" s="80">
        <f t="shared" si="27"/>
        <v>717.51235489220471</v>
      </c>
      <c r="AX26" s="81">
        <f t="shared" si="28"/>
        <v>1512.1546204747701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 CORNOR WINDOW</v>
      </c>
      <c r="D27" s="131" t="str">
        <f>Pricing!B23</f>
        <v>CW3</v>
      </c>
      <c r="E27" s="132" t="str">
        <f>Pricing!N23</f>
        <v>10MM</v>
      </c>
      <c r="F27" s="68">
        <f>Pricing!G23</f>
        <v>6886</v>
      </c>
      <c r="G27" s="68">
        <f>Pricing!H23</f>
        <v>2540</v>
      </c>
      <c r="H27" s="100">
        <f t="shared" si="0"/>
        <v>17.49044</v>
      </c>
      <c r="I27" s="70">
        <f>Pricing!I23</f>
        <v>1</v>
      </c>
      <c r="J27" s="69">
        <f t="shared" si="30"/>
        <v>17.49044</v>
      </c>
      <c r="K27" s="71">
        <f t="shared" si="31"/>
        <v>188.26709615999999</v>
      </c>
      <c r="L27" s="69"/>
      <c r="M27" s="72"/>
      <c r="N27" s="72"/>
      <c r="O27" s="72">
        <f t="shared" si="3"/>
        <v>0</v>
      </c>
      <c r="P27" s="73">
        <f>Pricing!M23</f>
        <v>21582.489999999998</v>
      </c>
      <c r="Q27" s="74">
        <f t="shared" si="4"/>
        <v>2158.2489999999998</v>
      </c>
      <c r="R27" s="74">
        <f t="shared" si="5"/>
        <v>2611.4812899999997</v>
      </c>
      <c r="S27" s="74">
        <f t="shared" si="6"/>
        <v>131.76110144999998</v>
      </c>
      <c r="T27" s="74">
        <f t="shared" si="7"/>
        <v>264.83981391449998</v>
      </c>
      <c r="U27" s="72">
        <f t="shared" si="8"/>
        <v>26748.821205364497</v>
      </c>
      <c r="V27" s="74">
        <f t="shared" si="9"/>
        <v>401.23231808046745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27792.309160000001</v>
      </c>
      <c r="AE27" s="76">
        <f t="shared" si="43"/>
        <v>1545.2459016393443</v>
      </c>
      <c r="AF27" s="342">
        <f t="shared" si="44"/>
        <v>1583.5680000000002</v>
      </c>
      <c r="AG27" s="343"/>
      <c r="AH27" s="76">
        <f t="shared" si="45"/>
        <v>56.555999999999997</v>
      </c>
      <c r="AI27" s="76">
        <f t="shared" ref="AI27:AI32" si="64">(((F27+G27)*2*I27)/1000)*2*$AI$7</f>
        <v>188.52</v>
      </c>
      <c r="AJ27" s="76">
        <f>J27*Pricing!Q23</f>
        <v>0</v>
      </c>
      <c r="AK27" s="76">
        <f>J27*Pricing!R23</f>
        <v>0</v>
      </c>
      <c r="AL27" s="76">
        <f t="shared" si="16"/>
        <v>18826.709615999996</v>
      </c>
      <c r="AM27" s="77">
        <f t="shared" si="17"/>
        <v>0</v>
      </c>
      <c r="AN27" s="76">
        <f t="shared" si="18"/>
        <v>18826.709615999996</v>
      </c>
      <c r="AO27" s="72">
        <f t="shared" si="19"/>
        <v>30523.943425084308</v>
      </c>
      <c r="AP27" s="74">
        <f t="shared" si="20"/>
        <v>38154.929281355384</v>
      </c>
      <c r="AQ27" s="74">
        <f t="shared" si="21"/>
        <v>0</v>
      </c>
      <c r="AR27" s="74">
        <f t="shared" si="22"/>
        <v>3926.6520857359619</v>
      </c>
      <c r="AS27" s="72">
        <f t="shared" si="23"/>
        <v>134124.60109843969</v>
      </c>
      <c r="AT27" s="72">
        <f t="shared" si="24"/>
        <v>7668.4520857359612</v>
      </c>
      <c r="AU27" s="78">
        <f t="shared" si="25"/>
        <v>712.41658172946507</v>
      </c>
      <c r="AV27" s="79">
        <f t="shared" si="26"/>
        <v>0.20423568312349943</v>
      </c>
      <c r="AW27" s="80">
        <f t="shared" si="27"/>
        <v>144.21029525186555</v>
      </c>
      <c r="AX27" s="81">
        <f t="shared" si="28"/>
        <v>568.20628647759941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 CORNOR WINDOW</v>
      </c>
      <c r="D28" s="131" t="str">
        <f>Pricing!B24</f>
        <v>CW4</v>
      </c>
      <c r="E28" s="132" t="str">
        <f>Pricing!N24</f>
        <v>10MM</v>
      </c>
      <c r="F28" s="68">
        <f>Pricing!G24</f>
        <v>4344</v>
      </c>
      <c r="G28" s="68">
        <f>Pricing!H24</f>
        <v>2338</v>
      </c>
      <c r="H28" s="100">
        <f t="shared" si="0"/>
        <v>10.156272</v>
      </c>
      <c r="I28" s="70">
        <f>Pricing!I24</f>
        <v>1</v>
      </c>
      <c r="J28" s="69">
        <f t="shared" si="30"/>
        <v>10.156272</v>
      </c>
      <c r="K28" s="71">
        <f t="shared" si="31"/>
        <v>109.32211180799999</v>
      </c>
      <c r="L28" s="69"/>
      <c r="M28" s="72"/>
      <c r="N28" s="72"/>
      <c r="O28" s="72">
        <f t="shared" si="3"/>
        <v>0</v>
      </c>
      <c r="P28" s="73">
        <f>Pricing!M24</f>
        <v>13340.589999999998</v>
      </c>
      <c r="Q28" s="74">
        <f t="shared" si="4"/>
        <v>1334.059</v>
      </c>
      <c r="R28" s="74">
        <f t="shared" si="5"/>
        <v>1614.2113899999997</v>
      </c>
      <c r="S28" s="74">
        <f t="shared" si="6"/>
        <v>81.444301949999996</v>
      </c>
      <c r="T28" s="74">
        <f t="shared" si="7"/>
        <v>163.70304691949997</v>
      </c>
      <c r="U28" s="72">
        <f t="shared" si="8"/>
        <v>16534.007738869499</v>
      </c>
      <c r="V28" s="74">
        <f t="shared" si="9"/>
        <v>248.01011608304248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16138.316207999998</v>
      </c>
      <c r="AE28" s="76">
        <f t="shared" si="43"/>
        <v>1095.4098360655739</v>
      </c>
      <c r="AF28" s="342">
        <f t="shared" si="44"/>
        <v>1122.576</v>
      </c>
      <c r="AG28" s="343"/>
      <c r="AH28" s="76">
        <f t="shared" si="45"/>
        <v>40.091999999999999</v>
      </c>
      <c r="AI28" s="76">
        <f t="shared" si="64"/>
        <v>133.64000000000001</v>
      </c>
      <c r="AJ28" s="76">
        <f>J28*Pricing!Q24</f>
        <v>0</v>
      </c>
      <c r="AK28" s="76">
        <f>J28*Pricing!R24</f>
        <v>0</v>
      </c>
      <c r="AL28" s="76">
        <f t="shared" si="16"/>
        <v>10932.211180799997</v>
      </c>
      <c r="AM28" s="77">
        <f t="shared" si="17"/>
        <v>0</v>
      </c>
      <c r="AN28" s="76">
        <f t="shared" si="18"/>
        <v>10932.211180799997</v>
      </c>
      <c r="AO28" s="72">
        <f t="shared" si="19"/>
        <v>19173.735691018119</v>
      </c>
      <c r="AP28" s="74">
        <f t="shared" si="20"/>
        <v>23967.169613772647</v>
      </c>
      <c r="AQ28" s="74">
        <f t="shared" si="21"/>
        <v>0</v>
      </c>
      <c r="AR28" s="74">
        <f t="shared" si="22"/>
        <v>4247.7107057383619</v>
      </c>
      <c r="AS28" s="72">
        <f t="shared" si="23"/>
        <v>81143.643874390764</v>
      </c>
      <c r="AT28" s="72">
        <f t="shared" si="24"/>
        <v>7989.510705738362</v>
      </c>
      <c r="AU28" s="78">
        <f t="shared" si="25"/>
        <v>742.24365530828345</v>
      </c>
      <c r="AV28" s="79">
        <f t="shared" si="26"/>
        <v>0.11859468086040544</v>
      </c>
      <c r="AW28" s="80">
        <f t="shared" si="27"/>
        <v>153.50982136556627</v>
      </c>
      <c r="AX28" s="81">
        <f t="shared" si="28"/>
        <v>588.73383394271707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WITH GLASS LOUVERS AND EXHAUST PROVISION</v>
      </c>
      <c r="D29" s="131" t="str">
        <f>Pricing!B25</f>
        <v>V8</v>
      </c>
      <c r="E29" s="132" t="str">
        <f>Pricing!N25</f>
        <v>6MM (F)</v>
      </c>
      <c r="F29" s="68">
        <f>Pricing!G25</f>
        <v>662</v>
      </c>
      <c r="G29" s="68">
        <f>Pricing!H25</f>
        <v>534</v>
      </c>
      <c r="H29" s="100">
        <f t="shared" si="0"/>
        <v>0.35350799999999999</v>
      </c>
      <c r="I29" s="70">
        <f>Pricing!I25</f>
        <v>1</v>
      </c>
      <c r="J29" s="69">
        <f t="shared" si="30"/>
        <v>0.35350799999999999</v>
      </c>
      <c r="K29" s="71">
        <f t="shared" si="31"/>
        <v>3.8051601119999998</v>
      </c>
      <c r="L29" s="69"/>
      <c r="M29" s="72"/>
      <c r="N29" s="72"/>
      <c r="O29" s="72">
        <f t="shared" si="3"/>
        <v>0</v>
      </c>
      <c r="P29" s="73">
        <f>Pricing!M25</f>
        <v>2322.34</v>
      </c>
      <c r="Q29" s="74">
        <f t="shared" si="4"/>
        <v>232.23400000000004</v>
      </c>
      <c r="R29" s="74">
        <f t="shared" si="5"/>
        <v>281.00314000000003</v>
      </c>
      <c r="S29" s="74">
        <f t="shared" si="6"/>
        <v>14.177885700000003</v>
      </c>
      <c r="T29" s="74">
        <f t="shared" si="7"/>
        <v>28.497550257000004</v>
      </c>
      <c r="U29" s="72">
        <f t="shared" si="8"/>
        <v>2878.2525759570003</v>
      </c>
      <c r="V29" s="74">
        <f t="shared" si="9"/>
        <v>43.173788639355003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708.07652399999995</v>
      </c>
      <c r="AE29" s="76">
        <f t="shared" si="43"/>
        <v>196.0655737704918</v>
      </c>
      <c r="AF29" s="342">
        <f t="shared" si="44"/>
        <v>200.92799999999997</v>
      </c>
      <c r="AG29" s="343"/>
      <c r="AH29" s="76">
        <f t="shared" si="45"/>
        <v>7.1760000000000002</v>
      </c>
      <c r="AI29" s="76">
        <f t="shared" si="64"/>
        <v>23.919999999999998</v>
      </c>
      <c r="AJ29" s="76">
        <f>J29*Pricing!Q25</f>
        <v>0</v>
      </c>
      <c r="AK29" s="76">
        <f>J29*Pricing!R25</f>
        <v>0</v>
      </c>
      <c r="AL29" s="76">
        <f t="shared" si="16"/>
        <v>380.51601119999992</v>
      </c>
      <c r="AM29" s="77">
        <f t="shared" si="17"/>
        <v>0</v>
      </c>
      <c r="AN29" s="76">
        <f t="shared" si="18"/>
        <v>380.51601119999992</v>
      </c>
      <c r="AO29" s="72">
        <f t="shared" si="19"/>
        <v>3349.515938366847</v>
      </c>
      <c r="AP29" s="74">
        <f t="shared" si="20"/>
        <v>4186.8949229585587</v>
      </c>
      <c r="AQ29" s="74">
        <f t="shared" si="21"/>
        <v>0</v>
      </c>
      <c r="AR29" s="74">
        <f t="shared" si="22"/>
        <v>21318.925912073861</v>
      </c>
      <c r="AS29" s="72">
        <f t="shared" si="23"/>
        <v>9005.5194077254055</v>
      </c>
      <c r="AT29" s="72">
        <f t="shared" si="24"/>
        <v>25474.72591207386</v>
      </c>
      <c r="AU29" s="78">
        <f t="shared" si="25"/>
        <v>2366.6597837303848</v>
      </c>
      <c r="AV29" s="79">
        <f t="shared" si="26"/>
        <v>4.1279091817942853E-3</v>
      </c>
      <c r="AW29" s="80">
        <f t="shared" si="27"/>
        <v>767.75386018141762</v>
      </c>
      <c r="AX29" s="81">
        <f t="shared" si="28"/>
        <v>1598.9059235489669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 WITH GLASS LOUVERS AND EXHAUST PROVISION</v>
      </c>
      <c r="D30" s="131" t="str">
        <f>Pricing!B26</f>
        <v>V9</v>
      </c>
      <c r="E30" s="132" t="str">
        <f>Pricing!N26</f>
        <v>6MM (F)</v>
      </c>
      <c r="F30" s="68">
        <f>Pricing!G26</f>
        <v>662</v>
      </c>
      <c r="G30" s="68">
        <f>Pricing!H26</f>
        <v>534</v>
      </c>
      <c r="H30" s="100">
        <f t="shared" si="0"/>
        <v>0.35350799999999999</v>
      </c>
      <c r="I30" s="70">
        <f>Pricing!I26</f>
        <v>1</v>
      </c>
      <c r="J30" s="69">
        <f t="shared" si="30"/>
        <v>0.35350799999999999</v>
      </c>
      <c r="K30" s="71">
        <f t="shared" si="31"/>
        <v>3.8051601119999998</v>
      </c>
      <c r="L30" s="69"/>
      <c r="M30" s="72"/>
      <c r="N30" s="72"/>
      <c r="O30" s="72">
        <f t="shared" si="3"/>
        <v>0</v>
      </c>
      <c r="P30" s="73">
        <f>Pricing!M26</f>
        <v>2322.34</v>
      </c>
      <c r="Q30" s="74">
        <f t="shared" si="4"/>
        <v>232.23400000000004</v>
      </c>
      <c r="R30" s="74">
        <f t="shared" si="5"/>
        <v>281.00314000000003</v>
      </c>
      <c r="S30" s="74">
        <f t="shared" si="6"/>
        <v>14.177885700000003</v>
      </c>
      <c r="T30" s="74">
        <f t="shared" si="7"/>
        <v>28.497550257000004</v>
      </c>
      <c r="U30" s="72">
        <f t="shared" si="8"/>
        <v>2878.2525759570003</v>
      </c>
      <c r="V30" s="74">
        <f t="shared" si="9"/>
        <v>43.173788639355003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708.07652399999995</v>
      </c>
      <c r="AE30" s="76">
        <f t="shared" si="43"/>
        <v>196.0655737704918</v>
      </c>
      <c r="AF30" s="342">
        <f t="shared" si="44"/>
        <v>200.92799999999997</v>
      </c>
      <c r="AG30" s="343"/>
      <c r="AH30" s="76">
        <f t="shared" si="45"/>
        <v>7.1760000000000002</v>
      </c>
      <c r="AI30" s="76">
        <f t="shared" si="64"/>
        <v>23.919999999999998</v>
      </c>
      <c r="AJ30" s="76">
        <f>J30*Pricing!Q26</f>
        <v>0</v>
      </c>
      <c r="AK30" s="76">
        <f>J30*Pricing!R26</f>
        <v>0</v>
      </c>
      <c r="AL30" s="76">
        <f t="shared" si="16"/>
        <v>380.51601119999992</v>
      </c>
      <c r="AM30" s="77">
        <f t="shared" si="17"/>
        <v>0</v>
      </c>
      <c r="AN30" s="76">
        <f t="shared" si="18"/>
        <v>380.51601119999992</v>
      </c>
      <c r="AO30" s="72">
        <f t="shared" si="19"/>
        <v>3349.515938366847</v>
      </c>
      <c r="AP30" s="74">
        <f t="shared" si="20"/>
        <v>4186.8949229585587</v>
      </c>
      <c r="AQ30" s="74">
        <f t="shared" si="21"/>
        <v>0</v>
      </c>
      <c r="AR30" s="74">
        <f t="shared" si="22"/>
        <v>21318.925912073861</v>
      </c>
      <c r="AS30" s="72">
        <f t="shared" si="23"/>
        <v>9005.5194077254055</v>
      </c>
      <c r="AT30" s="72">
        <f t="shared" si="24"/>
        <v>25474.72591207386</v>
      </c>
      <c r="AU30" s="78">
        <f t="shared" si="25"/>
        <v>2366.6597837303848</v>
      </c>
      <c r="AV30" s="79">
        <f t="shared" si="26"/>
        <v>4.1279091817942853E-3</v>
      </c>
      <c r="AW30" s="80">
        <f t="shared" si="27"/>
        <v>767.75386018141762</v>
      </c>
      <c r="AX30" s="81">
        <f t="shared" si="28"/>
        <v>1598.9059235489669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3 TRACK 2 SHUTTER SLIDING WINDOW</v>
      </c>
      <c r="D31" s="131" t="str">
        <f>Pricing!B27</f>
        <v>SD2</v>
      </c>
      <c r="E31" s="132" t="str">
        <f>Pricing!N27</f>
        <v>6MM</v>
      </c>
      <c r="F31" s="68">
        <f>Pricing!G27</f>
        <v>2364</v>
      </c>
      <c r="G31" s="68">
        <f>Pricing!H27</f>
        <v>1474</v>
      </c>
      <c r="H31" s="100">
        <f t="shared" si="0"/>
        <v>3.4845359999999999</v>
      </c>
      <c r="I31" s="70">
        <f>Pricing!I27</f>
        <v>1</v>
      </c>
      <c r="J31" s="69">
        <f t="shared" si="30"/>
        <v>3.4845359999999999</v>
      </c>
      <c r="K31" s="71">
        <f t="shared" si="31"/>
        <v>37.507545503999999</v>
      </c>
      <c r="L31" s="69"/>
      <c r="M31" s="72"/>
      <c r="N31" s="72"/>
      <c r="O31" s="72">
        <f t="shared" si="3"/>
        <v>0</v>
      </c>
      <c r="P31" s="73">
        <f>Pricing!M27</f>
        <v>14964.070000000002</v>
      </c>
      <c r="Q31" s="74">
        <f t="shared" si="4"/>
        <v>1496.4070000000002</v>
      </c>
      <c r="R31" s="74">
        <f t="shared" si="5"/>
        <v>1810.6524700000002</v>
      </c>
      <c r="S31" s="74">
        <f t="shared" si="6"/>
        <v>91.355647350000012</v>
      </c>
      <c r="T31" s="74">
        <f t="shared" si="7"/>
        <v>183.62485117350002</v>
      </c>
      <c r="U31" s="72">
        <f t="shared" si="8"/>
        <v>18546.109968523502</v>
      </c>
      <c r="V31" s="74">
        <f t="shared" si="9"/>
        <v>278.19164952785252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3491.5050719999999</v>
      </c>
      <c r="AE31" s="76">
        <f t="shared" si="43"/>
        <v>629.18032786885249</v>
      </c>
      <c r="AF31" s="342">
        <f t="shared" si="44"/>
        <v>644.78399999999999</v>
      </c>
      <c r="AG31" s="343"/>
      <c r="AH31" s="76">
        <f t="shared" si="45"/>
        <v>23.027999999999999</v>
      </c>
      <c r="AI31" s="76">
        <f t="shared" si="64"/>
        <v>76.760000000000005</v>
      </c>
      <c r="AJ31" s="76">
        <f>J31*Pricing!Q27</f>
        <v>1875.3772751999998</v>
      </c>
      <c r="AK31" s="76">
        <f>J31*Pricing!R27</f>
        <v>0</v>
      </c>
      <c r="AL31" s="76">
        <f t="shared" si="16"/>
        <v>3750.7545503999995</v>
      </c>
      <c r="AM31" s="77">
        <f t="shared" si="17"/>
        <v>0</v>
      </c>
      <c r="AN31" s="76">
        <f t="shared" si="18"/>
        <v>3750.7545503999995</v>
      </c>
      <c r="AO31" s="72">
        <f t="shared" si="19"/>
        <v>20198.053945920208</v>
      </c>
      <c r="AP31" s="74">
        <f t="shared" si="20"/>
        <v>25247.567432400261</v>
      </c>
      <c r="AQ31" s="74">
        <f t="shared" si="21"/>
        <v>0</v>
      </c>
      <c r="AR31" s="74">
        <f t="shared" si="22"/>
        <v>13042.086917259709</v>
      </c>
      <c r="AS31" s="72">
        <f t="shared" si="23"/>
        <v>58314.012826320468</v>
      </c>
      <c r="AT31" s="72">
        <f t="shared" si="24"/>
        <v>16735.086917259709</v>
      </c>
      <c r="AU31" s="78">
        <f t="shared" si="25"/>
        <v>1554.7275099646702</v>
      </c>
      <c r="AV31" s="79">
        <f t="shared" si="26"/>
        <v>4.0688890063853525E-2</v>
      </c>
      <c r="AW31" s="80">
        <f t="shared" si="27"/>
        <v>501.88039140134708</v>
      </c>
      <c r="AX31" s="81">
        <f t="shared" si="28"/>
        <v>1052.8471185633227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3 TRACK 2 SHUTTER SLIDING DOOR</v>
      </c>
      <c r="D32" s="131" t="str">
        <f>Pricing!B28</f>
        <v>SD3</v>
      </c>
      <c r="E32" s="132" t="str">
        <f>Pricing!N28</f>
        <v>6MM</v>
      </c>
      <c r="F32" s="68">
        <f>Pricing!G28</f>
        <v>1716</v>
      </c>
      <c r="G32" s="68">
        <f>Pricing!H28</f>
        <v>2084</v>
      </c>
      <c r="H32" s="100">
        <f t="shared" si="0"/>
        <v>3.5761440000000002</v>
      </c>
      <c r="I32" s="70">
        <f>Pricing!I28</f>
        <v>1</v>
      </c>
      <c r="J32" s="69">
        <f t="shared" si="30"/>
        <v>3.5761440000000002</v>
      </c>
      <c r="K32" s="71">
        <f t="shared" si="31"/>
        <v>38.493614016000002</v>
      </c>
      <c r="L32" s="69"/>
      <c r="M32" s="72"/>
      <c r="N32" s="72"/>
      <c r="O32" s="72">
        <f t="shared" si="3"/>
        <v>0</v>
      </c>
      <c r="P32" s="73">
        <f>Pricing!M28</f>
        <v>40186.11</v>
      </c>
      <c r="Q32" s="74">
        <f t="shared" si="4"/>
        <v>4018.6110000000003</v>
      </c>
      <c r="R32" s="74">
        <f t="shared" si="5"/>
        <v>4862.5193099999997</v>
      </c>
      <c r="S32" s="74">
        <f t="shared" si="6"/>
        <v>245.33620154999997</v>
      </c>
      <c r="T32" s="74">
        <f t="shared" si="7"/>
        <v>493.12576511549997</v>
      </c>
      <c r="U32" s="72">
        <f t="shared" si="8"/>
        <v>49805.702276665499</v>
      </c>
      <c r="V32" s="74">
        <f t="shared" si="9"/>
        <v>747.08553414998244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3583.296288</v>
      </c>
      <c r="AE32" s="76">
        <f t="shared" si="43"/>
        <v>622.95081967213116</v>
      </c>
      <c r="AF32" s="342">
        <f t="shared" si="44"/>
        <v>638.4</v>
      </c>
      <c r="AG32" s="343"/>
      <c r="AH32" s="76">
        <f t="shared" si="45"/>
        <v>22.799999999999997</v>
      </c>
      <c r="AI32" s="76">
        <f t="shared" si="64"/>
        <v>76</v>
      </c>
      <c r="AJ32" s="76">
        <f>J32*Pricing!Q28</f>
        <v>1924.6807007999998</v>
      </c>
      <c r="AK32" s="76">
        <f>J32*Pricing!R28</f>
        <v>0</v>
      </c>
      <c r="AL32" s="76">
        <f t="shared" si="16"/>
        <v>3849.3614015999997</v>
      </c>
      <c r="AM32" s="77">
        <f t="shared" si="17"/>
        <v>0</v>
      </c>
      <c r="AN32" s="76">
        <f t="shared" si="18"/>
        <v>3849.3614015999997</v>
      </c>
      <c r="AO32" s="72">
        <f t="shared" si="19"/>
        <v>51912.938630487617</v>
      </c>
      <c r="AP32" s="74">
        <f t="shared" si="20"/>
        <v>64891.173288109523</v>
      </c>
      <c r="AQ32" s="74">
        <f t="shared" si="21"/>
        <v>0</v>
      </c>
      <c r="AR32" s="74">
        <f t="shared" si="22"/>
        <v>32662.02700970574</v>
      </c>
      <c r="AS32" s="72">
        <f t="shared" si="23"/>
        <v>130010.81171059715</v>
      </c>
      <c r="AT32" s="72">
        <f t="shared" si="24"/>
        <v>36355.027009705744</v>
      </c>
      <c r="AU32" s="78">
        <f t="shared" si="25"/>
        <v>3377.4644193334957</v>
      </c>
      <c r="AV32" s="79">
        <f t="shared" si="26"/>
        <v>4.1758595712172122E-2</v>
      </c>
      <c r="AW32" s="80">
        <f t="shared" si="27"/>
        <v>1313.2772565808721</v>
      </c>
      <c r="AX32" s="81">
        <f t="shared" si="28"/>
        <v>2064.187162752623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3 TRACK 2 SHUTTER SLIDING DOOR</v>
      </c>
      <c r="D33" s="131" t="str">
        <f>Pricing!B29</f>
        <v>SD4</v>
      </c>
      <c r="E33" s="132" t="str">
        <f>Pricing!N29</f>
        <v>6MM</v>
      </c>
      <c r="F33" s="68">
        <f>Pricing!G29</f>
        <v>2286</v>
      </c>
      <c r="G33" s="68">
        <f>Pricing!H29</f>
        <v>2084</v>
      </c>
      <c r="H33" s="100">
        <f t="shared" si="0"/>
        <v>4.764024</v>
      </c>
      <c r="I33" s="70">
        <f>Pricing!I29</f>
        <v>1</v>
      </c>
      <c r="J33" s="69">
        <f t="shared" si="30"/>
        <v>4.764024</v>
      </c>
      <c r="K33" s="71">
        <f t="shared" si="31"/>
        <v>51.279954335999996</v>
      </c>
      <c r="L33" s="69"/>
      <c r="M33" s="72"/>
      <c r="N33" s="72"/>
      <c r="O33" s="72">
        <f t="shared" si="3"/>
        <v>0</v>
      </c>
      <c r="P33" s="73">
        <f>Pricing!M29</f>
        <v>43409</v>
      </c>
      <c r="Q33" s="74">
        <f t="shared" ref="Q33:Q38" si="65">P33*$Q$6</f>
        <v>4340.9000000000005</v>
      </c>
      <c r="R33" s="74">
        <f t="shared" ref="R33:R38" si="66">(P33+Q33)*$R$6</f>
        <v>5252.4890000000005</v>
      </c>
      <c r="S33" s="74">
        <f t="shared" ref="S33:S38" si="67">(P33+Q33+R33)*$S$6</f>
        <v>265.01194500000003</v>
      </c>
      <c r="T33" s="74">
        <f t="shared" ref="T33:T38" si="68">(P33+Q33+R33+S33)*$T$6</f>
        <v>532.67400944999997</v>
      </c>
      <c r="U33" s="72">
        <f t="shared" ref="U33:U38" si="69">SUM(P33:T33)</f>
        <v>53800.074954449999</v>
      </c>
      <c r="V33" s="74">
        <f t="shared" ref="V33:V38" si="70">U33*$V$6</f>
        <v>807.00112431674995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4773.5520480000005</v>
      </c>
      <c r="AE33" s="76">
        <f t="shared" si="43"/>
        <v>716.39344262295083</v>
      </c>
      <c r="AF33" s="342">
        <f t="shared" si="44"/>
        <v>734.16</v>
      </c>
      <c r="AG33" s="343"/>
      <c r="AH33" s="76">
        <f t="shared" si="45"/>
        <v>26.22</v>
      </c>
      <c r="AI33" s="76">
        <f t="shared" si="15"/>
        <v>87.4</v>
      </c>
      <c r="AJ33" s="76">
        <f>J33*Pricing!Q29</f>
        <v>2563.9977167999996</v>
      </c>
      <c r="AK33" s="76">
        <f>J33*Pricing!R29</f>
        <v>0</v>
      </c>
      <c r="AL33" s="76">
        <f t="shared" si="16"/>
        <v>5127.9954335999992</v>
      </c>
      <c r="AM33" s="77">
        <f t="shared" si="17"/>
        <v>0</v>
      </c>
      <c r="AN33" s="76">
        <f t="shared" si="18"/>
        <v>5127.9954335999992</v>
      </c>
      <c r="AO33" s="72">
        <f t="shared" si="19"/>
        <v>56171.249521389698</v>
      </c>
      <c r="AP33" s="74">
        <f t="shared" si="20"/>
        <v>70214.061901737121</v>
      </c>
      <c r="AQ33" s="74">
        <f t="shared" ref="AQ33:AQ38" si="76">(AO33+AP33)*$AQ$6</f>
        <v>0</v>
      </c>
      <c r="AR33" s="74">
        <f t="shared" si="22"/>
        <v>26529.108884238787</v>
      </c>
      <c r="AS33" s="72">
        <f t="shared" si="23"/>
        <v>143978.85205512683</v>
      </c>
      <c r="AT33" s="72">
        <f t="shared" si="24"/>
        <v>30222.108884238791</v>
      </c>
      <c r="AU33" s="78">
        <f t="shared" ref="AU33:AU38" si="77">AT33/10.764</f>
        <v>2807.7024232849121</v>
      </c>
      <c r="AV33" s="79">
        <f t="shared" si="26"/>
        <v>5.5629457924257261E-2</v>
      </c>
      <c r="AW33" s="80">
        <f t="shared" si="27"/>
        <v>1064.8815270186583</v>
      </c>
      <c r="AX33" s="81">
        <f t="shared" si="28"/>
        <v>1742.8208962662538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FIXED GLASS WITH GLASS LOUVERS AND EXHAUST PROVISION</v>
      </c>
      <c r="D34" s="131" t="str">
        <f>Pricing!B30</f>
        <v>V10</v>
      </c>
      <c r="E34" s="132" t="str">
        <f>Pricing!N30</f>
        <v>6MM (F)</v>
      </c>
      <c r="F34" s="68">
        <f>Pricing!G30</f>
        <v>686</v>
      </c>
      <c r="G34" s="68">
        <f>Pricing!H30</f>
        <v>534</v>
      </c>
      <c r="H34" s="100">
        <f t="shared" si="0"/>
        <v>0.36632399999999998</v>
      </c>
      <c r="I34" s="70">
        <f>Pricing!I30</f>
        <v>1</v>
      </c>
      <c r="J34" s="69">
        <f t="shared" si="30"/>
        <v>0.36632399999999998</v>
      </c>
      <c r="K34" s="71">
        <f t="shared" si="31"/>
        <v>3.9431115359999995</v>
      </c>
      <c r="L34" s="69"/>
      <c r="M34" s="72"/>
      <c r="N34" s="72"/>
      <c r="O34" s="72">
        <f t="shared" si="3"/>
        <v>0</v>
      </c>
      <c r="P34" s="73">
        <f>Pricing!M30</f>
        <v>2380.44</v>
      </c>
      <c r="Q34" s="74">
        <f t="shared" si="65"/>
        <v>238.04400000000001</v>
      </c>
      <c r="R34" s="74">
        <f t="shared" si="66"/>
        <v>288.03323999999998</v>
      </c>
      <c r="S34" s="74">
        <f t="shared" si="67"/>
        <v>14.532586200000001</v>
      </c>
      <c r="T34" s="74">
        <f t="shared" si="68"/>
        <v>29.210498262000002</v>
      </c>
      <c r="U34" s="72">
        <f t="shared" si="69"/>
        <v>2950.260324462</v>
      </c>
      <c r="V34" s="74">
        <f t="shared" si="70"/>
        <v>44.25390486693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733.74697199999991</v>
      </c>
      <c r="AE34" s="76">
        <f t="shared" si="43"/>
        <v>200</v>
      </c>
      <c r="AF34" s="342">
        <f t="shared" si="44"/>
        <v>204.96</v>
      </c>
      <c r="AG34" s="343"/>
      <c r="AH34" s="76">
        <f t="shared" si="45"/>
        <v>7.32</v>
      </c>
      <c r="AI34" s="76">
        <f t="shared" si="15"/>
        <v>24.4</v>
      </c>
      <c r="AJ34" s="76">
        <f>J34*Pricing!Q30</f>
        <v>0</v>
      </c>
      <c r="AK34" s="76">
        <f>J34*Pricing!R30</f>
        <v>0</v>
      </c>
      <c r="AL34" s="76">
        <f t="shared" si="16"/>
        <v>394.31115359999995</v>
      </c>
      <c r="AM34" s="77">
        <f t="shared" si="17"/>
        <v>0</v>
      </c>
      <c r="AN34" s="76">
        <f t="shared" si="18"/>
        <v>394.31115359999995</v>
      </c>
      <c r="AO34" s="72">
        <f t="shared" si="19"/>
        <v>3431.1942293289303</v>
      </c>
      <c r="AP34" s="74">
        <f t="shared" si="20"/>
        <v>4288.9927866611633</v>
      </c>
      <c r="AQ34" s="74">
        <f t="shared" si="76"/>
        <v>0</v>
      </c>
      <c r="AR34" s="74">
        <f t="shared" si="22"/>
        <v>21074.750810730649</v>
      </c>
      <c r="AS34" s="72">
        <f t="shared" si="23"/>
        <v>9242.5562951900938</v>
      </c>
      <c r="AT34" s="72">
        <f t="shared" si="24"/>
        <v>25230.550810730649</v>
      </c>
      <c r="AU34" s="78">
        <f t="shared" si="77"/>
        <v>2343.9753633157425</v>
      </c>
      <c r="AV34" s="79">
        <f t="shared" si="26"/>
        <v>4.277561478415225E-3</v>
      </c>
      <c r="AW34" s="80">
        <f t="shared" si="27"/>
        <v>759.42924819383813</v>
      </c>
      <c r="AX34" s="81">
        <f t="shared" si="28"/>
        <v>1584.546115121904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3 TRACK 2 SHUTTER SLIDING WINDOW</v>
      </c>
      <c r="D35" s="131" t="str">
        <f>Pricing!B31</f>
        <v>SD5</v>
      </c>
      <c r="E35" s="132" t="str">
        <f>Pricing!N31</f>
        <v>20MM</v>
      </c>
      <c r="F35" s="68">
        <f>Pricing!G31</f>
        <v>1804</v>
      </c>
      <c r="G35" s="68">
        <f>Pricing!H31</f>
        <v>1372</v>
      </c>
      <c r="H35" s="100">
        <f t="shared" si="0"/>
        <v>2.475088</v>
      </c>
      <c r="I35" s="70">
        <f>Pricing!I31</f>
        <v>1</v>
      </c>
      <c r="J35" s="69">
        <f t="shared" si="30"/>
        <v>2.475088</v>
      </c>
      <c r="K35" s="71">
        <f t="shared" si="31"/>
        <v>26.641847231999996</v>
      </c>
      <c r="L35" s="69"/>
      <c r="M35" s="72"/>
      <c r="N35" s="72"/>
      <c r="O35" s="72">
        <f t="shared" si="3"/>
        <v>0</v>
      </c>
      <c r="P35" s="73">
        <f>Pricing!M31</f>
        <v>16813.309999999998</v>
      </c>
      <c r="Q35" s="74">
        <f t="shared" si="65"/>
        <v>1681.3309999999999</v>
      </c>
      <c r="R35" s="74">
        <f t="shared" si="66"/>
        <v>2034.4105099999995</v>
      </c>
      <c r="S35" s="74">
        <f t="shared" si="67"/>
        <v>102.64525754999997</v>
      </c>
      <c r="T35" s="74">
        <f t="shared" si="68"/>
        <v>206.31696767549994</v>
      </c>
      <c r="U35" s="72">
        <f t="shared" si="69"/>
        <v>20838.013735225493</v>
      </c>
      <c r="V35" s="74">
        <f t="shared" si="70"/>
        <v>312.57020602838242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6942.6218399999998</v>
      </c>
      <c r="AE35" s="76">
        <f t="shared" si="43"/>
        <v>520.65573770491801</v>
      </c>
      <c r="AF35" s="342">
        <f t="shared" si="44"/>
        <v>533.5680000000001</v>
      </c>
      <c r="AG35" s="343"/>
      <c r="AH35" s="76">
        <f t="shared" si="45"/>
        <v>19.056000000000001</v>
      </c>
      <c r="AI35" s="76">
        <f t="shared" si="15"/>
        <v>63.52</v>
      </c>
      <c r="AJ35" s="76">
        <f>J35*Pricing!Q31</f>
        <v>1332.0923615999998</v>
      </c>
      <c r="AK35" s="76">
        <f>J35*Pricing!R31</f>
        <v>0</v>
      </c>
      <c r="AL35" s="76">
        <f t="shared" si="16"/>
        <v>2664.1847231999996</v>
      </c>
      <c r="AM35" s="77">
        <f t="shared" si="17"/>
        <v>0</v>
      </c>
      <c r="AN35" s="76">
        <f t="shared" si="18"/>
        <v>2664.1847231999996</v>
      </c>
      <c r="AO35" s="72">
        <f t="shared" si="19"/>
        <v>22287.383678958795</v>
      </c>
      <c r="AP35" s="74">
        <f t="shared" si="20"/>
        <v>27859.229598698494</v>
      </c>
      <c r="AQ35" s="74">
        <f t="shared" si="76"/>
        <v>0</v>
      </c>
      <c r="AR35" s="74">
        <f t="shared" si="22"/>
        <v>20260.537515295331</v>
      </c>
      <c r="AS35" s="72">
        <f t="shared" si="23"/>
        <v>63749.696925657285</v>
      </c>
      <c r="AT35" s="72">
        <f t="shared" si="24"/>
        <v>25756.537515295327</v>
      </c>
      <c r="AU35" s="78">
        <f t="shared" si="77"/>
        <v>2392.8407204845157</v>
      </c>
      <c r="AV35" s="79">
        <f t="shared" si="26"/>
        <v>2.8901576430940323E-2</v>
      </c>
      <c r="AW35" s="80">
        <f t="shared" si="27"/>
        <v>793.88579016583856</v>
      </c>
      <c r="AX35" s="81">
        <f t="shared" si="28"/>
        <v>1598.954930318678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85.638512000000034</v>
      </c>
      <c r="I109" s="87">
        <f>SUM(I8:I108)</f>
        <v>28</v>
      </c>
      <c r="J109" s="88">
        <f>SUM(J8:J108)</f>
        <v>85.638512000000034</v>
      </c>
      <c r="K109" s="89">
        <f>SUM(K8:K108)</f>
        <v>921.81294316799983</v>
      </c>
      <c r="L109" s="88">
        <f>SUM(L8:L8)</f>
        <v>0</v>
      </c>
      <c r="M109" s="88"/>
      <c r="N109" s="88"/>
      <c r="O109" s="88"/>
      <c r="P109" s="87">
        <f>SUM(P8:P108)</f>
        <v>353281.2</v>
      </c>
      <c r="Q109" s="88">
        <f t="shared" ref="Q109:AE109" si="156">SUM(Q8:Q108)</f>
        <v>35328.120000000003</v>
      </c>
      <c r="R109" s="88">
        <f t="shared" si="156"/>
        <v>42747.025199999996</v>
      </c>
      <c r="S109" s="88">
        <f t="shared" si="156"/>
        <v>2156.7817259999993</v>
      </c>
      <c r="T109" s="88">
        <f t="shared" si="156"/>
        <v>4335.1312692600004</v>
      </c>
      <c r="U109" s="88">
        <f t="shared" si="156"/>
        <v>437848.25819525996</v>
      </c>
      <c r="V109" s="88">
        <f t="shared" si="156"/>
        <v>6567.7238729288993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123016.06287599998</v>
      </c>
      <c r="AE109" s="88">
        <f t="shared" si="156"/>
        <v>13920.655737704918</v>
      </c>
      <c r="AF109" s="353">
        <f>SUM(AF8:AG108)</f>
        <v>14265.887999999997</v>
      </c>
      <c r="AG109" s="354"/>
      <c r="AH109" s="88">
        <f t="shared" ref="AH109:AQ109" si="157">SUM(AH8:AH108)</f>
        <v>509.49600000000009</v>
      </c>
      <c r="AI109" s="88">
        <f t="shared" si="157"/>
        <v>1698.3200000000004</v>
      </c>
      <c r="AJ109" s="88">
        <f t="shared" ref="AJ109" si="158">SUM(AJ8:AJ108)</f>
        <v>14875.7425128</v>
      </c>
      <c r="AK109" s="88">
        <f t="shared" si="157"/>
        <v>0</v>
      </c>
      <c r="AL109" s="88">
        <f t="shared" si="157"/>
        <v>92181.294316799991</v>
      </c>
      <c r="AM109" s="88">
        <f t="shared" si="157"/>
        <v>0</v>
      </c>
      <c r="AN109" s="88">
        <f t="shared" si="157"/>
        <v>92181.294316799991</v>
      </c>
      <c r="AO109" s="88">
        <f t="shared" si="157"/>
        <v>474810.34180589369</v>
      </c>
      <c r="AP109" s="88">
        <f t="shared" si="157"/>
        <v>593512.92725736729</v>
      </c>
      <c r="AQ109" s="88">
        <f t="shared" si="157"/>
        <v>0</v>
      </c>
      <c r="AR109" s="88"/>
      <c r="AS109" s="87">
        <f>SUM(AS8:AS108)</f>
        <v>1390577.6630856611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14265.887999999997</v>
      </c>
      <c r="AW110" s="84"/>
    </row>
    <row r="111" spans="2:54">
      <c r="AF111" s="174"/>
      <c r="AG111" s="174"/>
      <c r="AH111" s="174">
        <f>SUM(AE109:AI109,AC109)</f>
        <v>30394.359737704915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6"/>
  <sheetViews>
    <sheetView tabSelected="1" view="pageBreakPreview" zoomScale="55" zoomScaleNormal="60" zoomScaleSheetLayoutView="55" workbookViewId="0">
      <selection activeCell="O36" sqref="O3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65"/>
      <c r="C6" s="466"/>
      <c r="D6" s="466"/>
      <c r="E6" s="466"/>
      <c r="F6" s="466"/>
      <c r="G6" s="466"/>
      <c r="H6" s="466"/>
      <c r="I6" s="466"/>
      <c r="J6" s="467"/>
      <c r="K6" s="472" t="s">
        <v>103</v>
      </c>
      <c r="L6" s="473"/>
      <c r="M6" s="468" t="str">
        <f>'BD Team'!J2</f>
        <v>ABPL-DE-19.20-2205</v>
      </c>
      <c r="N6" s="469"/>
    </row>
    <row r="7" spans="2:15" ht="24.95" customHeight="1">
      <c r="B7" s="488" t="s">
        <v>126</v>
      </c>
      <c r="C7" s="489"/>
      <c r="D7" s="489"/>
      <c r="E7" s="489"/>
      <c r="F7" s="428" t="str">
        <f>'BD Team'!E2</f>
        <v>Ar. Venkat</v>
      </c>
      <c r="G7" s="428"/>
      <c r="H7" s="428"/>
      <c r="I7" s="428"/>
      <c r="J7" s="429"/>
      <c r="K7" s="496" t="s">
        <v>104</v>
      </c>
      <c r="L7" s="489"/>
      <c r="M7" s="494">
        <f>'BD Team'!J3</f>
        <v>43734</v>
      </c>
      <c r="N7" s="495"/>
    </row>
    <row r="8" spans="2:15" ht="24.95" customHeight="1">
      <c r="B8" s="488" t="s">
        <v>127</v>
      </c>
      <c r="C8" s="489"/>
      <c r="D8" s="489"/>
      <c r="E8" s="489"/>
      <c r="F8" s="215" t="str">
        <f>'BD Team'!E3</f>
        <v>Hyderabad</v>
      </c>
      <c r="G8" s="480" t="s">
        <v>179</v>
      </c>
      <c r="H8" s="481"/>
      <c r="I8" s="428" t="str">
        <f>'BD Team'!G3</f>
        <v>1.3Kpa</v>
      </c>
      <c r="J8" s="429"/>
      <c r="K8" s="496" t="s">
        <v>105</v>
      </c>
      <c r="L8" s="489"/>
      <c r="M8" s="178" t="s">
        <v>364</v>
      </c>
      <c r="N8" s="179">
        <v>43734</v>
      </c>
    </row>
    <row r="9" spans="2:15" ht="24.95" customHeight="1">
      <c r="B9" s="488" t="s">
        <v>168</v>
      </c>
      <c r="C9" s="489"/>
      <c r="D9" s="489"/>
      <c r="E9" s="489"/>
      <c r="F9" s="428" t="str">
        <f>'BD Team'!E4</f>
        <v>Ms. Prathyusha : 8008103067</v>
      </c>
      <c r="G9" s="428"/>
      <c r="H9" s="428"/>
      <c r="I9" s="428"/>
      <c r="J9" s="429"/>
      <c r="K9" s="496" t="s">
        <v>178</v>
      </c>
      <c r="L9" s="489"/>
      <c r="M9" s="470" t="str">
        <f>'BD Team'!J4</f>
        <v>Bal Kumari</v>
      </c>
      <c r="N9" s="471"/>
    </row>
    <row r="10" spans="2:15" ht="27.75" customHeight="1" thickBot="1">
      <c r="B10" s="490" t="s">
        <v>176</v>
      </c>
      <c r="C10" s="491"/>
      <c r="D10" s="491"/>
      <c r="E10" s="491"/>
      <c r="F10" s="217" t="str">
        <f>'BD Team'!E5</f>
        <v>Powder Coating</v>
      </c>
      <c r="G10" s="501" t="s">
        <v>177</v>
      </c>
      <c r="H10" s="502"/>
      <c r="I10" s="499" t="str">
        <f>'BD Team'!G5</f>
        <v>Black</v>
      </c>
      <c r="J10" s="500"/>
      <c r="K10" s="497" t="s">
        <v>373</v>
      </c>
      <c r="L10" s="498"/>
      <c r="M10" s="492">
        <f>'BD Team'!J5</f>
        <v>0</v>
      </c>
      <c r="N10" s="493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2" t="s">
        <v>169</v>
      </c>
      <c r="C13" s="483"/>
      <c r="D13" s="486" t="s">
        <v>170</v>
      </c>
      <c r="E13" s="486" t="s">
        <v>171</v>
      </c>
      <c r="F13" s="486" t="s">
        <v>37</v>
      </c>
      <c r="G13" s="484" t="s">
        <v>63</v>
      </c>
      <c r="H13" s="484" t="s">
        <v>209</v>
      </c>
      <c r="I13" s="484" t="s">
        <v>208</v>
      </c>
      <c r="J13" s="485" t="s">
        <v>172</v>
      </c>
      <c r="K13" s="485" t="s">
        <v>173</v>
      </c>
      <c r="L13" s="483" t="s">
        <v>210</v>
      </c>
      <c r="M13" s="485" t="s">
        <v>174</v>
      </c>
      <c r="N13" s="487" t="s">
        <v>175</v>
      </c>
    </row>
    <row r="14" spans="2:15" s="94" customFormat="1" ht="18" customHeight="1" thickTop="1" thickBot="1">
      <c r="B14" s="482"/>
      <c r="C14" s="483"/>
      <c r="D14" s="486"/>
      <c r="E14" s="486"/>
      <c r="F14" s="486"/>
      <c r="G14" s="484"/>
      <c r="H14" s="484"/>
      <c r="I14" s="484"/>
      <c r="J14" s="485"/>
      <c r="K14" s="485"/>
      <c r="L14" s="483"/>
      <c r="M14" s="485"/>
      <c r="N14" s="487"/>
    </row>
    <row r="15" spans="2:15" s="94" customFormat="1" ht="26.25" customHeight="1" thickTop="1" thickBot="1">
      <c r="B15" s="482"/>
      <c r="C15" s="483"/>
      <c r="D15" s="486"/>
      <c r="E15" s="486"/>
      <c r="F15" s="486"/>
      <c r="G15" s="484"/>
      <c r="H15" s="484"/>
      <c r="I15" s="484"/>
      <c r="J15" s="485"/>
      <c r="K15" s="485"/>
      <c r="L15" s="483"/>
      <c r="M15" s="485"/>
      <c r="N15" s="487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CW1</v>
      </c>
      <c r="E16" s="187" t="str">
        <f>Pricing!C4</f>
        <v>M15000</v>
      </c>
      <c r="F16" s="187" t="str">
        <f>Pricing!D4</f>
        <v>FIXED GLASS CORNOR WINDOW</v>
      </c>
      <c r="G16" s="187" t="str">
        <f>Pricing!N4</f>
        <v>10MM</v>
      </c>
      <c r="H16" s="187" t="str">
        <f>Pricing!F4</f>
        <v>GF - LIVING ROOM</v>
      </c>
      <c r="I16" s="216" t="str">
        <f>Pricing!E4</f>
        <v>NO</v>
      </c>
      <c r="J16" s="216">
        <f>Pricing!G4</f>
        <v>4344</v>
      </c>
      <c r="K16" s="216">
        <f>Pricing!H4</f>
        <v>2364</v>
      </c>
      <c r="L16" s="216">
        <f>Pricing!I4</f>
        <v>1</v>
      </c>
      <c r="M16" s="188">
        <f t="shared" ref="M16:M24" si="0">J16*K16*L16/1000000</f>
        <v>10.269216</v>
      </c>
      <c r="N16" s="189">
        <f>'Cost Calculation'!AS8</f>
        <v>81756.343098763406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W1</v>
      </c>
      <c r="E17" s="187" t="str">
        <f>Pricing!C5</f>
        <v>M900</v>
      </c>
      <c r="F17" s="187" t="str">
        <f>Pricing!D5</f>
        <v>3 TRACK 2 SHUTTER SLIDING WINDOW</v>
      </c>
      <c r="G17" s="187" t="str">
        <f>Pricing!N5</f>
        <v>6MM</v>
      </c>
      <c r="H17" s="187" t="str">
        <f>Pricing!F5</f>
        <v>GF - FIRST LIVING</v>
      </c>
      <c r="I17" s="216" t="str">
        <f>Pricing!E5</f>
        <v>SS</v>
      </c>
      <c r="J17" s="216">
        <f>Pricing!G5</f>
        <v>2350</v>
      </c>
      <c r="K17" s="216">
        <f>Pricing!H5</f>
        <v>1246</v>
      </c>
      <c r="L17" s="216">
        <f>Pricing!I5</f>
        <v>1</v>
      </c>
      <c r="M17" s="188">
        <f t="shared" si="0"/>
        <v>2.9281000000000001</v>
      </c>
      <c r="N17" s="189">
        <f>'Cost Calculation'!AS9</f>
        <v>53094.743850389306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W2</v>
      </c>
      <c r="E18" s="187" t="str">
        <f>Pricing!C6</f>
        <v>M15000</v>
      </c>
      <c r="F18" s="187" t="str">
        <f>Pricing!D6</f>
        <v>SIDE HUNG WINDOW</v>
      </c>
      <c r="G18" s="187" t="str">
        <f>Pricing!N6</f>
        <v>6MM</v>
      </c>
      <c r="H18" s="187" t="str">
        <f>Pricing!F6</f>
        <v>GF - MASTER BEDROOM</v>
      </c>
      <c r="I18" s="216" t="str">
        <f>Pricing!E6</f>
        <v>NO</v>
      </c>
      <c r="J18" s="216">
        <f>Pricing!G6</f>
        <v>680</v>
      </c>
      <c r="K18" s="216">
        <f>Pricing!H6</f>
        <v>1270</v>
      </c>
      <c r="L18" s="216">
        <f>Pricing!I6</f>
        <v>1</v>
      </c>
      <c r="M18" s="188">
        <f t="shared" si="0"/>
        <v>0.86360000000000003</v>
      </c>
      <c r="N18" s="189">
        <f>'Cost Calculation'!AS10</f>
        <v>45806.219462301262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W3</v>
      </c>
      <c r="E19" s="187" t="str">
        <f>Pricing!C7</f>
        <v>M15000</v>
      </c>
      <c r="F19" s="187" t="str">
        <f>Pricing!D7</f>
        <v>SIDE HUNG WINDOW</v>
      </c>
      <c r="G19" s="187" t="str">
        <f>Pricing!N7</f>
        <v>6MM</v>
      </c>
      <c r="H19" s="187" t="str">
        <f>Pricing!F7</f>
        <v>GF - MASTER BEDROOM</v>
      </c>
      <c r="I19" s="216" t="str">
        <f>Pricing!E7</f>
        <v>NO</v>
      </c>
      <c r="J19" s="216">
        <f>Pricing!G7</f>
        <v>686</v>
      </c>
      <c r="K19" s="216">
        <f>Pricing!H7</f>
        <v>1270</v>
      </c>
      <c r="L19" s="216">
        <f>Pricing!I7</f>
        <v>1</v>
      </c>
      <c r="M19" s="188">
        <f t="shared" si="0"/>
        <v>0.87121999999999999</v>
      </c>
      <c r="N19" s="189">
        <f>'Cost Calculation'!AS11</f>
        <v>45905.568736904628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V1</v>
      </c>
      <c r="E20" s="187" t="str">
        <f>Pricing!C8</f>
        <v>M940</v>
      </c>
      <c r="F20" s="187" t="str">
        <f>Pricing!D8</f>
        <v>FIXED GLASS WITH GLASS LOUVERS AND EXHAUST PROVISION</v>
      </c>
      <c r="G20" s="187" t="str">
        <f>Pricing!N8</f>
        <v>6MM (F)</v>
      </c>
      <c r="H20" s="187" t="str">
        <f>Pricing!F8</f>
        <v>GF - MASTER TOILET</v>
      </c>
      <c r="I20" s="216" t="str">
        <f>Pricing!E8</f>
        <v>NO</v>
      </c>
      <c r="J20" s="216">
        <f>Pricing!G8</f>
        <v>548</v>
      </c>
      <c r="K20" s="216">
        <f>Pricing!H8</f>
        <v>788</v>
      </c>
      <c r="L20" s="216">
        <f>Pricing!I8</f>
        <v>1</v>
      </c>
      <c r="M20" s="188">
        <f t="shared" si="0"/>
        <v>0.43182399999999999</v>
      </c>
      <c r="N20" s="189">
        <f>'Cost Calculation'!AS12</f>
        <v>9840.758107138583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V2</v>
      </c>
      <c r="E21" s="187" t="str">
        <f>Pricing!C9</f>
        <v>M940</v>
      </c>
      <c r="F21" s="187" t="str">
        <f>Pricing!D9</f>
        <v>FIXED GLASS WITH GLASS LOUVERS AND EXHAUST PROVISION</v>
      </c>
      <c r="G21" s="187" t="str">
        <f>Pricing!N9</f>
        <v>6MM (F)</v>
      </c>
      <c r="H21" s="187" t="str">
        <f>Pricing!F9</f>
        <v>GF - MASTER TOILET</v>
      </c>
      <c r="I21" s="216" t="str">
        <f>Pricing!E9</f>
        <v>NO</v>
      </c>
      <c r="J21" s="216">
        <f>Pricing!G9</f>
        <v>458</v>
      </c>
      <c r="K21" s="216">
        <f>Pricing!H9</f>
        <v>788</v>
      </c>
      <c r="L21" s="216">
        <f>Pricing!I9</f>
        <v>1</v>
      </c>
      <c r="M21" s="188">
        <f t="shared" si="0"/>
        <v>0.360904</v>
      </c>
      <c r="N21" s="189">
        <f>'Cost Calculation'!AS13</f>
        <v>8897.980115058077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W4</v>
      </c>
      <c r="E22" s="187" t="str">
        <f>Pricing!C10</f>
        <v>M900</v>
      </c>
      <c r="F22" s="187" t="str">
        <f>Pricing!D10</f>
        <v>3 TRACK 2 SHUTTER SLIDING WINDOW</v>
      </c>
      <c r="G22" s="187" t="str">
        <f>Pricing!N10</f>
        <v>6MM</v>
      </c>
      <c r="H22" s="187" t="str">
        <f>Pricing!F10</f>
        <v>GF - DINING HALL</v>
      </c>
      <c r="I22" s="216" t="str">
        <f>Pricing!E10</f>
        <v>SS</v>
      </c>
      <c r="J22" s="216">
        <f>Pricing!G10</f>
        <v>2338</v>
      </c>
      <c r="K22" s="216">
        <f>Pricing!H10</f>
        <v>1240</v>
      </c>
      <c r="L22" s="216">
        <f>Pricing!I10</f>
        <v>1</v>
      </c>
      <c r="M22" s="188">
        <f t="shared" si="0"/>
        <v>2.8991199999999999</v>
      </c>
      <c r="N22" s="189">
        <f>'Cost Calculation'!AS14</f>
        <v>52813.475176068678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W5</v>
      </c>
      <c r="E23" s="187" t="str">
        <f>Pricing!C11</f>
        <v>M900</v>
      </c>
      <c r="F23" s="187" t="str">
        <f>Pricing!D11</f>
        <v>3 TRACK 2 SHUTTER SLIDING WINDOW</v>
      </c>
      <c r="G23" s="187" t="str">
        <f>Pricing!N11</f>
        <v>6MM</v>
      </c>
      <c r="H23" s="187" t="str">
        <f>Pricing!F11</f>
        <v>GF - KITCHEN</v>
      </c>
      <c r="I23" s="216" t="str">
        <f>Pricing!E11</f>
        <v>SS</v>
      </c>
      <c r="J23" s="216">
        <f>Pricing!G11</f>
        <v>2364</v>
      </c>
      <c r="K23" s="216">
        <f>Pricing!H11</f>
        <v>992</v>
      </c>
      <c r="L23" s="216">
        <f>Pricing!I11</f>
        <v>1</v>
      </c>
      <c r="M23" s="188">
        <f t="shared" si="0"/>
        <v>2.3450880000000001</v>
      </c>
      <c r="N23" s="189">
        <f>'Cost Calculation'!AS15</f>
        <v>47649.731507652519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W2</v>
      </c>
      <c r="E24" s="187" t="str">
        <f>Pricing!C12</f>
        <v>M15000</v>
      </c>
      <c r="F24" s="187" t="str">
        <f>Pricing!D12</f>
        <v>SIDE HUNG WINDOW</v>
      </c>
      <c r="G24" s="187" t="str">
        <f>Pricing!N12</f>
        <v>6MM</v>
      </c>
      <c r="H24" s="187" t="str">
        <f>Pricing!F12</f>
        <v>1F - MASTER BEDROOM</v>
      </c>
      <c r="I24" s="216" t="str">
        <f>Pricing!E12</f>
        <v>NO</v>
      </c>
      <c r="J24" s="216">
        <f>Pricing!G12</f>
        <v>686</v>
      </c>
      <c r="K24" s="216">
        <f>Pricing!H12</f>
        <v>1500</v>
      </c>
      <c r="L24" s="216">
        <f>Pricing!I12</f>
        <v>1</v>
      </c>
      <c r="M24" s="188">
        <f t="shared" si="0"/>
        <v>1.0289999999999999</v>
      </c>
      <c r="N24" s="189">
        <f>'Cost Calculation'!AS16</f>
        <v>49341.888422189826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W3</v>
      </c>
      <c r="E25" s="187" t="str">
        <f>Pricing!C13</f>
        <v>M15000</v>
      </c>
      <c r="F25" s="187" t="str">
        <f>Pricing!D13</f>
        <v>SIDE HUNG WINDOW</v>
      </c>
      <c r="G25" s="187" t="str">
        <f>Pricing!N13</f>
        <v>6MM</v>
      </c>
      <c r="H25" s="187" t="str">
        <f>Pricing!F13</f>
        <v>1F - MASTER BEDROOM</v>
      </c>
      <c r="I25" s="216" t="str">
        <f>Pricing!E13</f>
        <v>NO</v>
      </c>
      <c r="J25" s="216">
        <f>Pricing!G13</f>
        <v>686</v>
      </c>
      <c r="K25" s="216">
        <f>Pricing!H13</f>
        <v>1500</v>
      </c>
      <c r="L25" s="216">
        <f>Pricing!I13</f>
        <v>1</v>
      </c>
      <c r="M25" s="188">
        <f t="shared" ref="M25:M42" si="1">J25*K25*L25/1000000</f>
        <v>1.0289999999999999</v>
      </c>
      <c r="N25" s="189">
        <f>'Cost Calculation'!AS17</f>
        <v>49341.888422189826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V3</v>
      </c>
      <c r="E26" s="187" t="str">
        <f>Pricing!C14</f>
        <v>M940</v>
      </c>
      <c r="F26" s="187" t="str">
        <f>Pricing!D14</f>
        <v>FIXED GLASS WITH GLASS LOUVERS AND EXHAUST PROVISION</v>
      </c>
      <c r="G26" s="187" t="str">
        <f>Pricing!N14</f>
        <v>6MM (F)</v>
      </c>
      <c r="H26" s="187" t="str">
        <f>Pricing!F14</f>
        <v>1F - MASTER VENTILATOR</v>
      </c>
      <c r="I26" s="216" t="str">
        <f>Pricing!E14</f>
        <v>NO</v>
      </c>
      <c r="J26" s="216">
        <f>Pricing!G14</f>
        <v>840</v>
      </c>
      <c r="K26" s="216">
        <f>Pricing!H14</f>
        <v>538</v>
      </c>
      <c r="L26" s="216">
        <f>Pricing!I14</f>
        <v>1</v>
      </c>
      <c r="M26" s="188">
        <f t="shared" si="1"/>
        <v>0.45191999999999999</v>
      </c>
      <c r="N26" s="189">
        <f>'Cost Calculation'!AS18</f>
        <v>10801.479620613518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V4</v>
      </c>
      <c r="E27" s="187" t="str">
        <f>Pricing!C15</f>
        <v>M940</v>
      </c>
      <c r="F27" s="187" t="str">
        <f>Pricing!D15</f>
        <v>FIXED GLASS WITH GLASS LOUVERS AND EXHAUST PROVISION</v>
      </c>
      <c r="G27" s="187" t="str">
        <f>Pricing!N15</f>
        <v>6MM (F)</v>
      </c>
      <c r="H27" s="187" t="str">
        <f>Pricing!F15</f>
        <v>1F - MASTER VENTILATOR</v>
      </c>
      <c r="I27" s="216" t="str">
        <f>Pricing!E15</f>
        <v>NO</v>
      </c>
      <c r="J27" s="216">
        <f>Pricing!G15</f>
        <v>788</v>
      </c>
      <c r="K27" s="216">
        <f>Pricing!H15</f>
        <v>504</v>
      </c>
      <c r="L27" s="216">
        <f>Pricing!I15</f>
        <v>1</v>
      </c>
      <c r="M27" s="188">
        <f t="shared" si="1"/>
        <v>0.39715200000000001</v>
      </c>
      <c r="N27" s="189">
        <f>'Cost Calculation'!AS19</f>
        <v>9994.8265982283974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CW2</v>
      </c>
      <c r="E28" s="187" t="str">
        <f>Pricing!C16</f>
        <v>M15000</v>
      </c>
      <c r="F28" s="187" t="str">
        <f>Pricing!D16</f>
        <v>FIXED GLASS CORNOR WINDOW</v>
      </c>
      <c r="G28" s="187" t="str">
        <f>Pricing!N16</f>
        <v>10MM</v>
      </c>
      <c r="H28" s="187" t="str">
        <f>Pricing!F16</f>
        <v>1F - DAUGHTER BEDROOM</v>
      </c>
      <c r="I28" s="216" t="str">
        <f>Pricing!E16</f>
        <v>NO</v>
      </c>
      <c r="J28" s="216">
        <f>Pricing!G16</f>
        <v>4344</v>
      </c>
      <c r="K28" s="216">
        <f>Pricing!H16</f>
        <v>2338</v>
      </c>
      <c r="L28" s="216">
        <f>Pricing!I16</f>
        <v>1</v>
      </c>
      <c r="M28" s="188">
        <f t="shared" si="1"/>
        <v>10.156272</v>
      </c>
      <c r="N28" s="189">
        <f>'Cost Calculation'!AS20</f>
        <v>81143.643874390764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V5</v>
      </c>
      <c r="E29" s="187" t="str">
        <f>Pricing!C17</f>
        <v>M940</v>
      </c>
      <c r="F29" s="187" t="str">
        <f>Pricing!D17</f>
        <v>FIXED GLASS WITH GLASS LOUVERS AND EXHAUST PROVISION</v>
      </c>
      <c r="G29" s="187" t="str">
        <f>Pricing!N17</f>
        <v>6MM (F)</v>
      </c>
      <c r="H29" s="187" t="str">
        <f>Pricing!F17</f>
        <v>1F - DAUGHTER VENTILATOR</v>
      </c>
      <c r="I29" s="216" t="str">
        <f>Pricing!E17</f>
        <v>NO</v>
      </c>
      <c r="J29" s="216">
        <f>Pricing!G17</f>
        <v>686</v>
      </c>
      <c r="K29" s="216">
        <f>Pricing!H17</f>
        <v>686</v>
      </c>
      <c r="L29" s="216">
        <f>Pricing!I17</f>
        <v>1</v>
      </c>
      <c r="M29" s="188">
        <f t="shared" si="1"/>
        <v>0.47059600000000001</v>
      </c>
      <c r="N29" s="189">
        <f>'Cost Calculation'!AS21</f>
        <v>10488.983768283419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V6</v>
      </c>
      <c r="E30" s="187" t="str">
        <f>Pricing!C18</f>
        <v>M940</v>
      </c>
      <c r="F30" s="187" t="str">
        <f>Pricing!D18</f>
        <v>FIXED GLASS WITH GLASS LOUVERS AND EXHAUST PROVISION</v>
      </c>
      <c r="G30" s="187" t="str">
        <f>Pricing!N18</f>
        <v>6MM (F)</v>
      </c>
      <c r="H30" s="187" t="str">
        <f>Pricing!F18</f>
        <v>1F - DAUGHTER VENTILATOR</v>
      </c>
      <c r="I30" s="216" t="str">
        <f>Pricing!E18</f>
        <v>NO</v>
      </c>
      <c r="J30" s="216">
        <f>Pricing!G18</f>
        <v>814</v>
      </c>
      <c r="K30" s="216">
        <f>Pricing!H18</f>
        <v>538</v>
      </c>
      <c r="L30" s="216">
        <f>Pricing!I18</f>
        <v>1</v>
      </c>
      <c r="M30" s="188">
        <f t="shared" si="1"/>
        <v>0.43793199999999999</v>
      </c>
      <c r="N30" s="189">
        <f>'Cost Calculation'!AS22</f>
        <v>10543.865913860946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SD1</v>
      </c>
      <c r="E31" s="187" t="str">
        <f>Pricing!C19</f>
        <v>M14600</v>
      </c>
      <c r="F31" s="187" t="str">
        <f>Pricing!D19</f>
        <v>3 TRACK 2 SHUTTER SLIDING DOOR</v>
      </c>
      <c r="G31" s="187" t="str">
        <f>Pricing!N19</f>
        <v>6MM</v>
      </c>
      <c r="H31" s="187" t="str">
        <f>Pricing!F19</f>
        <v>1F - SON BEDROOM</v>
      </c>
      <c r="I31" s="216" t="str">
        <f>Pricing!E19</f>
        <v>SS</v>
      </c>
      <c r="J31" s="216">
        <f>Pricing!G19</f>
        <v>2364</v>
      </c>
      <c r="K31" s="216">
        <f>Pricing!H19</f>
        <v>2186</v>
      </c>
      <c r="L31" s="216">
        <f>Pricing!I19</f>
        <v>1</v>
      </c>
      <c r="M31" s="188">
        <f t="shared" si="1"/>
        <v>5.1677039999999996</v>
      </c>
      <c r="N31" s="189">
        <f>'Cost Calculation'!AS23</f>
        <v>149528.46089417918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W6</v>
      </c>
      <c r="E32" s="187" t="str">
        <f>Pricing!C20</f>
        <v>M940</v>
      </c>
      <c r="F32" s="187" t="str">
        <f>Pricing!D20</f>
        <v>FIXED GLASS</v>
      </c>
      <c r="G32" s="187" t="str">
        <f>Pricing!N20</f>
        <v>6MM</v>
      </c>
      <c r="H32" s="187" t="str">
        <f>Pricing!F20</f>
        <v>1F - SON BEDROOM</v>
      </c>
      <c r="I32" s="216" t="str">
        <f>Pricing!E20</f>
        <v>NO</v>
      </c>
      <c r="J32" s="216">
        <f>Pricing!G20</f>
        <v>1270</v>
      </c>
      <c r="K32" s="216">
        <f>Pricing!H20</f>
        <v>1270</v>
      </c>
      <c r="L32" s="216">
        <f>Pricing!I20</f>
        <v>1</v>
      </c>
      <c r="M32" s="188">
        <f t="shared" si="1"/>
        <v>1.6129</v>
      </c>
      <c r="N32" s="189">
        <f>'Cost Calculation'!AS24</f>
        <v>14233.414112317978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V7</v>
      </c>
      <c r="E33" s="187" t="str">
        <f>Pricing!C21</f>
        <v>M940</v>
      </c>
      <c r="F33" s="187" t="str">
        <f>Pricing!D21</f>
        <v>FIXED GLASS WITH GLASS LOUVERS AND EXHAUST PROVISION</v>
      </c>
      <c r="G33" s="187" t="str">
        <f>Pricing!N21</f>
        <v>6MM (F)</v>
      </c>
      <c r="H33" s="187" t="str">
        <f>Pricing!F21</f>
        <v>1F - SERVANT VENTILATOR</v>
      </c>
      <c r="I33" s="216" t="str">
        <f>Pricing!E21</f>
        <v>NO</v>
      </c>
      <c r="J33" s="216">
        <f>Pricing!G21</f>
        <v>534</v>
      </c>
      <c r="K33" s="216">
        <f>Pricing!H21</f>
        <v>840</v>
      </c>
      <c r="L33" s="216">
        <f>Pricing!I21</f>
        <v>1</v>
      </c>
      <c r="M33" s="188">
        <f t="shared" si="1"/>
        <v>0.44856000000000001</v>
      </c>
      <c r="N33" s="189">
        <f>'Cost Calculation'!AS25</f>
        <v>10053.677103540032</v>
      </c>
      <c r="O33" s="95"/>
    </row>
    <row r="34" spans="2:15" s="94" customFormat="1" ht="49.9" customHeight="1" thickTop="1" thickBot="1">
      <c r="B34" s="414">
        <f>Pricing!A22</f>
        <v>19</v>
      </c>
      <c r="C34" s="415"/>
      <c r="D34" s="187" t="str">
        <f>Pricing!B22</f>
        <v>V8</v>
      </c>
      <c r="E34" s="187" t="str">
        <f>Pricing!C22</f>
        <v>M940</v>
      </c>
      <c r="F34" s="187" t="str">
        <f>Pricing!D22</f>
        <v>FIXED GLASS WITH GLASS LOUVERS AND EXHAUST PROVISION</v>
      </c>
      <c r="G34" s="187" t="str">
        <f>Pricing!N22</f>
        <v>6MM (F)</v>
      </c>
      <c r="H34" s="187" t="str">
        <f>Pricing!F22</f>
        <v>1F - POOJA</v>
      </c>
      <c r="I34" s="216" t="str">
        <f>Pricing!E22</f>
        <v>NO</v>
      </c>
      <c r="J34" s="216">
        <f>Pricing!G22</f>
        <v>840</v>
      </c>
      <c r="K34" s="216">
        <f>Pricing!H22</f>
        <v>534</v>
      </c>
      <c r="L34" s="216">
        <f>Pricing!I22</f>
        <v>1</v>
      </c>
      <c r="M34" s="188">
        <f t="shared" si="1"/>
        <v>0.44856000000000001</v>
      </c>
      <c r="N34" s="189">
        <f>'Cost Calculation'!AS26</f>
        <v>10765.500700417648</v>
      </c>
      <c r="O34" s="95"/>
    </row>
    <row r="35" spans="2:15" s="94" customFormat="1" ht="49.9" customHeight="1" thickTop="1" thickBot="1">
      <c r="B35" s="414">
        <f>Pricing!A23</f>
        <v>20</v>
      </c>
      <c r="C35" s="415"/>
      <c r="D35" s="187" t="str">
        <f>Pricing!B23</f>
        <v>CW3</v>
      </c>
      <c r="E35" s="187" t="str">
        <f>Pricing!C23</f>
        <v>M15000</v>
      </c>
      <c r="F35" s="187" t="str">
        <f>Pricing!D23</f>
        <v>FIXED GLASS CORNOR WINDOW</v>
      </c>
      <c r="G35" s="187" t="str">
        <f>Pricing!N23</f>
        <v>10MM</v>
      </c>
      <c r="H35" s="187" t="str">
        <f>Pricing!F23</f>
        <v>1F - POOJA LIVING</v>
      </c>
      <c r="I35" s="216" t="str">
        <f>Pricing!E23</f>
        <v>NO</v>
      </c>
      <c r="J35" s="216">
        <f>Pricing!G23</f>
        <v>6886</v>
      </c>
      <c r="K35" s="216">
        <f>Pricing!H23</f>
        <v>2540</v>
      </c>
      <c r="L35" s="216">
        <f>Pricing!I23</f>
        <v>1</v>
      </c>
      <c r="M35" s="188">
        <f t="shared" si="1"/>
        <v>17.49044</v>
      </c>
      <c r="N35" s="189">
        <f>'Cost Calculation'!AS27</f>
        <v>134124.60109843969</v>
      </c>
      <c r="O35" s="95"/>
    </row>
    <row r="36" spans="2:15" s="94" customFormat="1" ht="49.9" customHeight="1" thickTop="1" thickBot="1">
      <c r="B36" s="414">
        <f>Pricing!A24</f>
        <v>21</v>
      </c>
      <c r="C36" s="415"/>
      <c r="D36" s="187" t="str">
        <f>Pricing!B24</f>
        <v>CW4</v>
      </c>
      <c r="E36" s="187" t="str">
        <f>Pricing!C24</f>
        <v>M15000</v>
      </c>
      <c r="F36" s="187" t="str">
        <f>Pricing!D24</f>
        <v>FIXED GLASS CORNOR WINDOW</v>
      </c>
      <c r="G36" s="187" t="str">
        <f>Pricing!N24</f>
        <v>10MM</v>
      </c>
      <c r="H36" s="187" t="str">
        <f>Pricing!F24</f>
        <v>2F - GYM ROOM</v>
      </c>
      <c r="I36" s="216" t="str">
        <f>Pricing!E24</f>
        <v>NO</v>
      </c>
      <c r="J36" s="216">
        <f>Pricing!G24</f>
        <v>4344</v>
      </c>
      <c r="K36" s="216">
        <f>Pricing!H24</f>
        <v>2338</v>
      </c>
      <c r="L36" s="216">
        <f>Pricing!I24</f>
        <v>1</v>
      </c>
      <c r="M36" s="188">
        <f t="shared" si="1"/>
        <v>10.156272</v>
      </c>
      <c r="N36" s="189">
        <f>'Cost Calculation'!AS28</f>
        <v>81143.643874390764</v>
      </c>
      <c r="O36" s="95"/>
    </row>
    <row r="37" spans="2:15" s="94" customFormat="1" ht="49.9" customHeight="1" thickTop="1" thickBot="1">
      <c r="B37" s="414">
        <f>Pricing!A25</f>
        <v>22</v>
      </c>
      <c r="C37" s="415"/>
      <c r="D37" s="187" t="str">
        <f>Pricing!B25</f>
        <v>V8</v>
      </c>
      <c r="E37" s="187" t="str">
        <f>Pricing!C25</f>
        <v>M940</v>
      </c>
      <c r="F37" s="187" t="str">
        <f>Pricing!D25</f>
        <v>FIXED GLASS WITH GLASS LOUVERS AND EXHAUST PROVISION</v>
      </c>
      <c r="G37" s="187" t="str">
        <f>Pricing!N25</f>
        <v>6MM (F)</v>
      </c>
      <c r="H37" s="187" t="str">
        <f>Pricing!F25</f>
        <v>2F - GYM ROOM</v>
      </c>
      <c r="I37" s="216" t="str">
        <f>Pricing!E25</f>
        <v>NO</v>
      </c>
      <c r="J37" s="216">
        <f>Pricing!G25</f>
        <v>662</v>
      </c>
      <c r="K37" s="216">
        <f>Pricing!H25</f>
        <v>534</v>
      </c>
      <c r="L37" s="216">
        <f>Pricing!I25</f>
        <v>1</v>
      </c>
      <c r="M37" s="188">
        <f t="shared" si="1"/>
        <v>0.35350799999999999</v>
      </c>
      <c r="N37" s="189">
        <f>'Cost Calculation'!AS29</f>
        <v>9005.5194077254055</v>
      </c>
      <c r="O37" s="95"/>
    </row>
    <row r="38" spans="2:15" s="94" customFormat="1" ht="49.9" customHeight="1" thickTop="1" thickBot="1">
      <c r="B38" s="414">
        <f>Pricing!A26</f>
        <v>23</v>
      </c>
      <c r="C38" s="415"/>
      <c r="D38" s="187" t="str">
        <f>Pricing!B26</f>
        <v>V9</v>
      </c>
      <c r="E38" s="187" t="str">
        <f>Pricing!C26</f>
        <v>M940</v>
      </c>
      <c r="F38" s="187" t="str">
        <f>Pricing!D26</f>
        <v>FIXED GLASS WITH GLASS LOUVERS AND EXHAUST PROVISION</v>
      </c>
      <c r="G38" s="187" t="str">
        <f>Pricing!N26</f>
        <v>6MM (F)</v>
      </c>
      <c r="H38" s="187" t="str">
        <f>Pricing!F26</f>
        <v>2F - GYM ROOM</v>
      </c>
      <c r="I38" s="216" t="str">
        <f>Pricing!E26</f>
        <v>NO</v>
      </c>
      <c r="J38" s="216">
        <f>Pricing!G26</f>
        <v>662</v>
      </c>
      <c r="K38" s="216">
        <f>Pricing!H26</f>
        <v>534</v>
      </c>
      <c r="L38" s="216">
        <f>Pricing!I26</f>
        <v>1</v>
      </c>
      <c r="M38" s="188">
        <f t="shared" si="1"/>
        <v>0.35350799999999999</v>
      </c>
      <c r="N38" s="189">
        <f>'Cost Calculation'!AS30</f>
        <v>9005.5194077254055</v>
      </c>
      <c r="O38" s="95"/>
    </row>
    <row r="39" spans="2:15" s="94" customFormat="1" ht="49.9" customHeight="1" thickTop="1" thickBot="1">
      <c r="B39" s="414">
        <f>Pricing!A27</f>
        <v>24</v>
      </c>
      <c r="C39" s="415"/>
      <c r="D39" s="187" t="str">
        <f>Pricing!B27</f>
        <v>SD2</v>
      </c>
      <c r="E39" s="187" t="str">
        <f>Pricing!C27</f>
        <v>M900</v>
      </c>
      <c r="F39" s="187" t="str">
        <f>Pricing!D27</f>
        <v>3 TRACK 2 SHUTTER SLIDING WINDOW</v>
      </c>
      <c r="G39" s="187" t="str">
        <f>Pricing!N27</f>
        <v>6MM</v>
      </c>
      <c r="H39" s="187" t="str">
        <f>Pricing!F27</f>
        <v>2F - STUDY LIVING</v>
      </c>
      <c r="I39" s="216" t="str">
        <f>Pricing!E27</f>
        <v>SS</v>
      </c>
      <c r="J39" s="216">
        <f>Pricing!G27</f>
        <v>2364</v>
      </c>
      <c r="K39" s="216">
        <f>Pricing!H27</f>
        <v>1474</v>
      </c>
      <c r="L39" s="216">
        <f>Pricing!I27</f>
        <v>1</v>
      </c>
      <c r="M39" s="188">
        <f t="shared" si="1"/>
        <v>3.4845359999999999</v>
      </c>
      <c r="N39" s="189">
        <f>'Cost Calculation'!AS31</f>
        <v>58314.012826320468</v>
      </c>
      <c r="O39" s="95"/>
    </row>
    <row r="40" spans="2:15" s="94" customFormat="1" ht="49.9" customHeight="1" thickTop="1" thickBot="1">
      <c r="B40" s="414">
        <f>Pricing!A28</f>
        <v>25</v>
      </c>
      <c r="C40" s="415"/>
      <c r="D40" s="187" t="str">
        <f>Pricing!B28</f>
        <v>SD3</v>
      </c>
      <c r="E40" s="187" t="str">
        <f>Pricing!C28</f>
        <v>M14600</v>
      </c>
      <c r="F40" s="187" t="str">
        <f>Pricing!D28</f>
        <v>3 TRACK 2 SHUTTER SLIDING DOOR</v>
      </c>
      <c r="G40" s="187" t="str">
        <f>Pricing!N28</f>
        <v>6MM</v>
      </c>
      <c r="H40" s="187" t="str">
        <f>Pricing!F28</f>
        <v>2F - STUDY LIVING</v>
      </c>
      <c r="I40" s="216" t="str">
        <f>Pricing!E28</f>
        <v>SS</v>
      </c>
      <c r="J40" s="216">
        <f>Pricing!G28</f>
        <v>1716</v>
      </c>
      <c r="K40" s="216">
        <f>Pricing!H28</f>
        <v>2084</v>
      </c>
      <c r="L40" s="216">
        <f>Pricing!I28</f>
        <v>1</v>
      </c>
      <c r="M40" s="188">
        <f t="shared" si="1"/>
        <v>3.5761440000000002</v>
      </c>
      <c r="N40" s="189">
        <f>'Cost Calculation'!AS32</f>
        <v>130010.81171059715</v>
      </c>
      <c r="O40" s="95"/>
    </row>
    <row r="41" spans="2:15" s="94" customFormat="1" ht="49.9" customHeight="1" thickTop="1" thickBot="1">
      <c r="B41" s="414">
        <f>Pricing!A29</f>
        <v>26</v>
      </c>
      <c r="C41" s="415"/>
      <c r="D41" s="187" t="str">
        <f>Pricing!B29</f>
        <v>SD4</v>
      </c>
      <c r="E41" s="187" t="str">
        <f>Pricing!C29</f>
        <v>M14600</v>
      </c>
      <c r="F41" s="187" t="str">
        <f>Pricing!D29</f>
        <v>3 TRACK 2 SHUTTER SLIDING DOOR</v>
      </c>
      <c r="G41" s="187" t="str">
        <f>Pricing!N29</f>
        <v>6MM</v>
      </c>
      <c r="H41" s="187" t="str">
        <f>Pricing!F29</f>
        <v>2F - BAR</v>
      </c>
      <c r="I41" s="216" t="str">
        <f>Pricing!E29</f>
        <v>SS</v>
      </c>
      <c r="J41" s="216">
        <f>Pricing!G29</f>
        <v>2286</v>
      </c>
      <c r="K41" s="216">
        <f>Pricing!H29</f>
        <v>2084</v>
      </c>
      <c r="L41" s="216">
        <f>Pricing!I29</f>
        <v>1</v>
      </c>
      <c r="M41" s="188">
        <f t="shared" si="1"/>
        <v>4.764024</v>
      </c>
      <c r="N41" s="189">
        <f>'Cost Calculation'!AS33</f>
        <v>143978.85205512683</v>
      </c>
      <c r="O41" s="95"/>
    </row>
    <row r="42" spans="2:15" s="94" customFormat="1" ht="49.9" customHeight="1" thickTop="1" thickBot="1">
      <c r="B42" s="414">
        <f>Pricing!A30</f>
        <v>27</v>
      </c>
      <c r="C42" s="415"/>
      <c r="D42" s="187" t="str">
        <f>Pricing!B30</f>
        <v>V10</v>
      </c>
      <c r="E42" s="187" t="str">
        <f>Pricing!C30</f>
        <v>M940</v>
      </c>
      <c r="F42" s="187" t="str">
        <f>Pricing!D30</f>
        <v>FIXED GLASS WITH GLASS LOUVERS AND EXHAUST PROVISION</v>
      </c>
      <c r="G42" s="187" t="str">
        <f>Pricing!N30</f>
        <v>6MM (F)</v>
      </c>
      <c r="H42" s="187" t="str">
        <f>Pricing!F30</f>
        <v>2F - BAR</v>
      </c>
      <c r="I42" s="216" t="str">
        <f>Pricing!E30</f>
        <v>NO</v>
      </c>
      <c r="J42" s="216">
        <f>Pricing!G30</f>
        <v>686</v>
      </c>
      <c r="K42" s="216">
        <f>Pricing!H30</f>
        <v>534</v>
      </c>
      <c r="L42" s="216">
        <f>Pricing!I30</f>
        <v>1</v>
      </c>
      <c r="M42" s="188">
        <f t="shared" si="1"/>
        <v>0.36632399999999998</v>
      </c>
      <c r="N42" s="189">
        <f>'Cost Calculation'!AS34</f>
        <v>9242.5562951900938</v>
      </c>
      <c r="O42" s="95"/>
    </row>
    <row r="43" spans="2:15" s="94" customFormat="1" ht="49.9" customHeight="1" thickTop="1" thickBot="1">
      <c r="B43" s="414">
        <f>Pricing!A31</f>
        <v>28</v>
      </c>
      <c r="C43" s="415"/>
      <c r="D43" s="187" t="str">
        <f>Pricing!B31</f>
        <v>SD5</v>
      </c>
      <c r="E43" s="187" t="str">
        <f>Pricing!C31</f>
        <v>M900</v>
      </c>
      <c r="F43" s="187" t="str">
        <f>Pricing!D31</f>
        <v>3 TRACK 2 SHUTTER SLIDING WINDOW</v>
      </c>
      <c r="G43" s="187" t="str">
        <f>Pricing!N31</f>
        <v>20MM</v>
      </c>
      <c r="H43" s="187" t="str">
        <f>Pricing!F31</f>
        <v>2F -HOME THEATER</v>
      </c>
      <c r="I43" s="216" t="str">
        <f>Pricing!E31</f>
        <v>SS</v>
      </c>
      <c r="J43" s="216">
        <f>Pricing!G31</f>
        <v>1804</v>
      </c>
      <c r="K43" s="216">
        <f>Pricing!H31</f>
        <v>1372</v>
      </c>
      <c r="L43" s="216">
        <f>Pricing!I31</f>
        <v>1</v>
      </c>
      <c r="M43" s="188">
        <f t="shared" ref="M43:M92" si="2">J43*K43*L43/1000000</f>
        <v>2.475088</v>
      </c>
      <c r="N43" s="189">
        <f>'Cost Calculation'!AS35</f>
        <v>63749.696925657285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9"/>
      <c r="C116" s="510"/>
      <c r="D116" s="510"/>
      <c r="E116" s="510"/>
      <c r="F116" s="510"/>
      <c r="G116" s="510"/>
      <c r="H116" s="510"/>
      <c r="I116" s="510"/>
      <c r="J116" s="510"/>
      <c r="K116" s="511"/>
      <c r="L116" s="190">
        <f>SUM(L16:L115)</f>
        <v>28</v>
      </c>
      <c r="M116" s="191">
        <f>SUM(M16:M115)</f>
        <v>85.638512000000034</v>
      </c>
      <c r="N116" s="186"/>
      <c r="O116" s="95"/>
    </row>
    <row r="117" spans="2:15" s="94" customFormat="1" ht="30" customHeight="1" thickTop="1" thickBot="1">
      <c r="B117" s="503" t="s">
        <v>180</v>
      </c>
      <c r="C117" s="504"/>
      <c r="D117" s="504"/>
      <c r="E117" s="504"/>
      <c r="F117" s="504"/>
      <c r="G117" s="504"/>
      <c r="H117" s="504"/>
      <c r="I117" s="504"/>
      <c r="J117" s="504"/>
      <c r="K117" s="504"/>
      <c r="L117" s="504"/>
      <c r="M117" s="505"/>
      <c r="N117" s="192">
        <f>ROUND(SUM(N16:N115),0.1)</f>
        <v>1390578</v>
      </c>
      <c r="O117" s="95">
        <f>N117/SUM(M116)</f>
        <v>16237.764616928414</v>
      </c>
    </row>
    <row r="118" spans="2:15" s="94" customFormat="1" ht="30" customHeight="1" thickTop="1" thickBot="1">
      <c r="B118" s="503" t="s">
        <v>111</v>
      </c>
      <c r="C118" s="504"/>
      <c r="D118" s="504"/>
      <c r="E118" s="504"/>
      <c r="F118" s="504"/>
      <c r="G118" s="504"/>
      <c r="H118" s="504"/>
      <c r="I118" s="504"/>
      <c r="J118" s="504"/>
      <c r="K118" s="504"/>
      <c r="L118" s="504"/>
      <c r="M118" s="505"/>
      <c r="N118" s="192">
        <f>ROUND(N117*18%,0.1)</f>
        <v>250304</v>
      </c>
      <c r="O118" s="95">
        <f>N118/SUM(M116)</f>
        <v>2922.797163967537</v>
      </c>
    </row>
    <row r="119" spans="2:15" s="94" customFormat="1" ht="30" customHeight="1" thickTop="1" thickBot="1">
      <c r="B119" s="503" t="s">
        <v>181</v>
      </c>
      <c r="C119" s="504"/>
      <c r="D119" s="504"/>
      <c r="E119" s="504"/>
      <c r="F119" s="504"/>
      <c r="G119" s="504"/>
      <c r="H119" s="504"/>
      <c r="I119" s="504"/>
      <c r="J119" s="504"/>
      <c r="K119" s="504"/>
      <c r="L119" s="504"/>
      <c r="M119" s="505"/>
      <c r="N119" s="192">
        <f>ROUND(SUM(N117:N118),0.1)</f>
        <v>1640882</v>
      </c>
      <c r="O119" s="95">
        <f>N119/SUM(M116)</f>
        <v>19160.561780895951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1508.5251409260884</v>
      </c>
    </row>
    <row r="121" spans="2:15" s="139" customFormat="1" ht="30" customHeight="1" thickTop="1">
      <c r="B121" s="474" t="s">
        <v>236</v>
      </c>
      <c r="C121" s="475"/>
      <c r="D121" s="475"/>
      <c r="E121" s="475"/>
      <c r="F121" s="475"/>
      <c r="G121" s="475"/>
      <c r="H121" s="475"/>
      <c r="I121" s="475"/>
      <c r="J121" s="475"/>
      <c r="K121" s="475"/>
      <c r="L121" s="475"/>
      <c r="M121" s="475"/>
      <c r="N121" s="476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38">
        <v>2</v>
      </c>
      <c r="C123" s="477"/>
      <c r="D123" s="478"/>
      <c r="E123" s="478"/>
      <c r="F123" s="478"/>
      <c r="G123" s="478"/>
      <c r="H123" s="478"/>
      <c r="I123" s="478"/>
      <c r="J123" s="478"/>
      <c r="K123" s="478"/>
      <c r="L123" s="478"/>
      <c r="M123" s="478"/>
      <c r="N123" s="479"/>
    </row>
    <row r="124" spans="2:15" s="139" customFormat="1" ht="30" customHeight="1">
      <c r="B124" s="506" t="s">
        <v>206</v>
      </c>
      <c r="C124" s="507"/>
      <c r="D124" s="507"/>
      <c r="E124" s="507"/>
      <c r="F124" s="507"/>
      <c r="G124" s="507"/>
      <c r="H124" s="507"/>
      <c r="I124" s="507"/>
      <c r="J124" s="507"/>
      <c r="K124" s="507"/>
      <c r="L124" s="507"/>
      <c r="M124" s="507"/>
      <c r="N124" s="508"/>
      <c r="O124" s="138"/>
    </row>
    <row r="125" spans="2:15" s="93" customFormat="1" ht="24.95" customHeight="1">
      <c r="B125" s="410">
        <v>1</v>
      </c>
      <c r="C125" s="411"/>
      <c r="D125" s="412" t="s">
        <v>483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1</v>
      </c>
      <c r="C126" s="411"/>
      <c r="D126" s="412" t="s">
        <v>484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1</v>
      </c>
      <c r="C127" s="411"/>
      <c r="D127" s="412" t="s">
        <v>485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1</v>
      </c>
      <c r="C128" s="411"/>
      <c r="D128" s="412" t="s">
        <v>486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5" s="139" customFormat="1" ht="30" customHeight="1">
      <c r="B129" s="506" t="s">
        <v>140</v>
      </c>
      <c r="C129" s="507"/>
      <c r="D129" s="507"/>
      <c r="E129" s="507"/>
      <c r="F129" s="507"/>
      <c r="G129" s="507"/>
      <c r="H129" s="507"/>
      <c r="I129" s="507"/>
      <c r="J129" s="507"/>
      <c r="K129" s="507"/>
      <c r="L129" s="507"/>
      <c r="M129" s="507"/>
      <c r="N129" s="508"/>
      <c r="O129" s="138"/>
    </row>
    <row r="130" spans="2:15" s="93" customFormat="1" ht="24.95" customHeight="1">
      <c r="B130" s="410">
        <v>1</v>
      </c>
      <c r="C130" s="411"/>
      <c r="D130" s="412" t="s">
        <v>363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5" s="93" customFormat="1" ht="24.95" customHeight="1">
      <c r="B131" s="410">
        <v>2</v>
      </c>
      <c r="C131" s="411"/>
      <c r="D131" s="412" t="s">
        <v>388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5" s="93" customFormat="1" ht="24.95" customHeight="1">
      <c r="B132" s="410">
        <v>3</v>
      </c>
      <c r="C132" s="411"/>
      <c r="D132" s="412" t="s">
        <v>403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5" s="139" customFormat="1" ht="30" customHeight="1">
      <c r="B133" s="430" t="s">
        <v>141</v>
      </c>
      <c r="C133" s="431"/>
      <c r="D133" s="431"/>
      <c r="E133" s="431"/>
      <c r="F133" s="431"/>
      <c r="G133" s="431"/>
      <c r="H133" s="431"/>
      <c r="I133" s="431"/>
      <c r="J133" s="431"/>
      <c r="K133" s="431"/>
      <c r="L133" s="431"/>
      <c r="M133" s="431"/>
      <c r="N133" s="432"/>
    </row>
    <row r="134" spans="2:15" s="93" customFormat="1" ht="24.95" customHeight="1">
      <c r="B134" s="410">
        <v>1</v>
      </c>
      <c r="C134" s="411"/>
      <c r="D134" s="412" t="s">
        <v>142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5" s="93" customFormat="1" ht="24.95" customHeight="1">
      <c r="B135" s="410">
        <v>2</v>
      </c>
      <c r="C135" s="411"/>
      <c r="D135" s="412" t="s">
        <v>421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5" s="93" customFormat="1" ht="24.95" customHeight="1">
      <c r="B136" s="410">
        <v>3</v>
      </c>
      <c r="C136" s="411"/>
      <c r="D136" s="412" t="s">
        <v>143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5" s="93" customFormat="1" ht="24.95" customHeight="1">
      <c r="B137" s="410">
        <v>4</v>
      </c>
      <c r="C137" s="411"/>
      <c r="D137" s="412" t="s">
        <v>144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5" s="139" customFormat="1" ht="30" customHeight="1">
      <c r="B138" s="430" t="s">
        <v>145</v>
      </c>
      <c r="C138" s="431"/>
      <c r="D138" s="431"/>
      <c r="E138" s="431"/>
      <c r="F138" s="431"/>
      <c r="G138" s="431"/>
      <c r="H138" s="431"/>
      <c r="I138" s="431"/>
      <c r="J138" s="431"/>
      <c r="K138" s="431"/>
      <c r="L138" s="431"/>
      <c r="M138" s="431"/>
      <c r="N138" s="432"/>
    </row>
    <row r="139" spans="2:15" s="139" customFormat="1" ht="30" customHeight="1">
      <c r="B139" s="433" t="s">
        <v>146</v>
      </c>
      <c r="C139" s="434"/>
      <c r="D139" s="434"/>
      <c r="E139" s="434"/>
      <c r="F139" s="434"/>
      <c r="G139" s="434"/>
      <c r="H139" s="434"/>
      <c r="I139" s="434"/>
      <c r="J139" s="434"/>
      <c r="K139" s="434"/>
      <c r="L139" s="434"/>
      <c r="M139" s="434"/>
      <c r="N139" s="435"/>
    </row>
    <row r="140" spans="2:15" s="93" customFormat="1" ht="24.95" customHeight="1">
      <c r="B140" s="410">
        <v>1</v>
      </c>
      <c r="C140" s="411"/>
      <c r="D140" s="412" t="s">
        <v>147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5" s="93" customFormat="1" ht="24.95" customHeight="1">
      <c r="B141" s="410">
        <v>2</v>
      </c>
      <c r="C141" s="411"/>
      <c r="D141" s="412" t="s">
        <v>400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5" s="93" customFormat="1" ht="24.95" customHeight="1">
      <c r="B142" s="410">
        <v>3</v>
      </c>
      <c r="C142" s="411"/>
      <c r="D142" s="412" t="s">
        <v>148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5" s="93" customFormat="1" ht="24.95" customHeight="1">
      <c r="B143" s="410">
        <v>4</v>
      </c>
      <c r="C143" s="411"/>
      <c r="D143" s="412" t="s">
        <v>149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5" s="93" customFormat="1" ht="24.95" customHeight="1">
      <c r="B144" s="410">
        <v>5</v>
      </c>
      <c r="C144" s="411"/>
      <c r="D144" s="412" t="s">
        <v>150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24.95" customHeight="1">
      <c r="B145" s="410">
        <v>6</v>
      </c>
      <c r="C145" s="411"/>
      <c r="D145" s="412" t="s">
        <v>151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140" customFormat="1" ht="30" customHeight="1">
      <c r="B146" s="430" t="s">
        <v>152</v>
      </c>
      <c r="C146" s="431"/>
      <c r="D146" s="431"/>
      <c r="E146" s="431"/>
      <c r="F146" s="431"/>
      <c r="G146" s="431"/>
      <c r="H146" s="431"/>
      <c r="I146" s="431"/>
      <c r="J146" s="431"/>
      <c r="K146" s="431"/>
      <c r="L146" s="431"/>
      <c r="M146" s="431"/>
      <c r="N146" s="432"/>
    </row>
    <row r="147" spans="2:14" s="93" customFormat="1" ht="24.95" customHeight="1">
      <c r="B147" s="410">
        <v>1</v>
      </c>
      <c r="C147" s="411"/>
      <c r="D147" s="412" t="s">
        <v>153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135" customHeight="1">
      <c r="B148" s="410">
        <v>2</v>
      </c>
      <c r="C148" s="411"/>
      <c r="D148" s="416" t="s">
        <v>419</v>
      </c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93" customFormat="1" ht="24.95" customHeight="1">
      <c r="B149" s="410">
        <v>3</v>
      </c>
      <c r="C149" s="411"/>
      <c r="D149" s="412" t="s">
        <v>154</v>
      </c>
      <c r="E149" s="412"/>
      <c r="F149" s="412"/>
      <c r="G149" s="412"/>
      <c r="H149" s="412"/>
      <c r="I149" s="412"/>
      <c r="J149" s="412"/>
      <c r="K149" s="412"/>
      <c r="L149" s="412"/>
      <c r="M149" s="412"/>
      <c r="N149" s="413"/>
    </row>
    <row r="150" spans="2:14" s="93" customFormat="1" ht="24.95" customHeight="1">
      <c r="B150" s="410">
        <v>4</v>
      </c>
      <c r="C150" s="411"/>
      <c r="D150" s="412" t="s">
        <v>155</v>
      </c>
      <c r="E150" s="412"/>
      <c r="F150" s="412"/>
      <c r="G150" s="412"/>
      <c r="H150" s="412"/>
      <c r="I150" s="412"/>
      <c r="J150" s="412"/>
      <c r="K150" s="412"/>
      <c r="L150" s="412"/>
      <c r="M150" s="412"/>
      <c r="N150" s="413"/>
    </row>
    <row r="151" spans="2:14" s="140" customFormat="1" ht="30" customHeight="1">
      <c r="B151" s="430" t="s">
        <v>156</v>
      </c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2"/>
    </row>
    <row r="152" spans="2:14" s="93" customFormat="1" ht="24.95" customHeight="1">
      <c r="B152" s="410">
        <v>1</v>
      </c>
      <c r="C152" s="411"/>
      <c r="D152" s="412" t="s">
        <v>157</v>
      </c>
      <c r="E152" s="412"/>
      <c r="F152" s="412"/>
      <c r="G152" s="412"/>
      <c r="H152" s="412"/>
      <c r="I152" s="412"/>
      <c r="J152" s="412"/>
      <c r="K152" s="412"/>
      <c r="L152" s="412"/>
      <c r="M152" s="412"/>
      <c r="N152" s="413"/>
    </row>
    <row r="153" spans="2:14" s="93" customFormat="1" ht="55.9" customHeight="1">
      <c r="B153" s="410">
        <v>2</v>
      </c>
      <c r="C153" s="411"/>
      <c r="D153" s="416" t="s">
        <v>158</v>
      </c>
      <c r="E153" s="417"/>
      <c r="F153" s="417"/>
      <c r="G153" s="417"/>
      <c r="H153" s="417"/>
      <c r="I153" s="417"/>
      <c r="J153" s="417"/>
      <c r="K153" s="417"/>
      <c r="L153" s="417"/>
      <c r="M153" s="417"/>
      <c r="N153" s="418"/>
    </row>
    <row r="154" spans="2:14" s="140" customFormat="1" ht="30" customHeight="1">
      <c r="B154" s="430" t="s">
        <v>159</v>
      </c>
      <c r="C154" s="431"/>
      <c r="D154" s="431"/>
      <c r="E154" s="431"/>
      <c r="F154" s="431"/>
      <c r="G154" s="431"/>
      <c r="H154" s="431"/>
      <c r="I154" s="431"/>
      <c r="J154" s="431"/>
      <c r="K154" s="431"/>
      <c r="L154" s="431"/>
      <c r="M154" s="431"/>
      <c r="N154" s="432"/>
    </row>
    <row r="155" spans="2:14" s="93" customFormat="1" ht="24.95" customHeight="1">
      <c r="B155" s="410">
        <v>1</v>
      </c>
      <c r="C155" s="411"/>
      <c r="D155" s="436" t="s">
        <v>160</v>
      </c>
      <c r="E155" s="436"/>
      <c r="F155" s="436"/>
      <c r="G155" s="436"/>
      <c r="H155" s="436"/>
      <c r="I155" s="436"/>
      <c r="J155" s="436"/>
      <c r="K155" s="436"/>
      <c r="L155" s="436"/>
      <c r="M155" s="436"/>
      <c r="N155" s="437"/>
    </row>
    <row r="156" spans="2:14" s="93" customFormat="1" ht="24.95" customHeight="1">
      <c r="B156" s="410">
        <v>2</v>
      </c>
      <c r="C156" s="411"/>
      <c r="D156" s="436" t="s">
        <v>161</v>
      </c>
      <c r="E156" s="436"/>
      <c r="F156" s="436"/>
      <c r="G156" s="436"/>
      <c r="H156" s="436"/>
      <c r="I156" s="436"/>
      <c r="J156" s="436"/>
      <c r="K156" s="436"/>
      <c r="L156" s="436"/>
      <c r="M156" s="436"/>
      <c r="N156" s="437"/>
    </row>
    <row r="157" spans="2:14" s="93" customFormat="1" ht="49.9" customHeight="1">
      <c r="B157" s="410">
        <v>3</v>
      </c>
      <c r="C157" s="411"/>
      <c r="D157" s="441" t="s">
        <v>162</v>
      </c>
      <c r="E157" s="442"/>
      <c r="F157" s="442"/>
      <c r="G157" s="442"/>
      <c r="H157" s="442"/>
      <c r="I157" s="442"/>
      <c r="J157" s="442"/>
      <c r="K157" s="442"/>
      <c r="L157" s="442"/>
      <c r="M157" s="442"/>
      <c r="N157" s="443"/>
    </row>
    <row r="158" spans="2:14" s="93" customFormat="1" ht="24.95" customHeight="1">
      <c r="B158" s="410">
        <v>4</v>
      </c>
      <c r="C158" s="411"/>
      <c r="D158" s="436" t="s">
        <v>163</v>
      </c>
      <c r="E158" s="436"/>
      <c r="F158" s="436"/>
      <c r="G158" s="436"/>
      <c r="H158" s="436"/>
      <c r="I158" s="436"/>
      <c r="J158" s="436"/>
      <c r="K158" s="436"/>
      <c r="L158" s="436"/>
      <c r="M158" s="436"/>
      <c r="N158" s="437"/>
    </row>
    <row r="159" spans="2:14" s="140" customFormat="1" ht="30" customHeight="1">
      <c r="B159" s="430" t="s">
        <v>164</v>
      </c>
      <c r="C159" s="431"/>
      <c r="D159" s="431"/>
      <c r="E159" s="431"/>
      <c r="F159" s="431"/>
      <c r="G159" s="431"/>
      <c r="H159" s="431"/>
      <c r="I159" s="431"/>
      <c r="J159" s="431"/>
      <c r="K159" s="431"/>
      <c r="L159" s="431"/>
      <c r="M159" s="431"/>
      <c r="N159" s="432"/>
    </row>
    <row r="160" spans="2:14" s="93" customFormat="1" ht="24.95" customHeight="1">
      <c r="B160" s="410">
        <v>1</v>
      </c>
      <c r="C160" s="411"/>
      <c r="D160" s="436" t="s">
        <v>165</v>
      </c>
      <c r="E160" s="436"/>
      <c r="F160" s="436"/>
      <c r="G160" s="436"/>
      <c r="H160" s="436"/>
      <c r="I160" s="436"/>
      <c r="J160" s="436"/>
      <c r="K160" s="436"/>
      <c r="L160" s="436"/>
      <c r="M160" s="436"/>
      <c r="N160" s="437"/>
    </row>
    <row r="161" spans="2:14" s="93" customFormat="1" ht="24.95" customHeight="1">
      <c r="B161" s="410">
        <v>2</v>
      </c>
      <c r="C161" s="411"/>
      <c r="D161" s="436" t="s">
        <v>166</v>
      </c>
      <c r="E161" s="436"/>
      <c r="F161" s="436"/>
      <c r="G161" s="436"/>
      <c r="H161" s="436"/>
      <c r="I161" s="436"/>
      <c r="J161" s="436"/>
      <c r="K161" s="436"/>
      <c r="L161" s="436"/>
      <c r="M161" s="436"/>
      <c r="N161" s="437"/>
    </row>
    <row r="162" spans="2:14" s="93" customFormat="1" ht="24.95" customHeight="1">
      <c r="B162" s="410">
        <v>3</v>
      </c>
      <c r="C162" s="411"/>
      <c r="D162" s="436" t="s">
        <v>167</v>
      </c>
      <c r="E162" s="436"/>
      <c r="F162" s="436"/>
      <c r="G162" s="436"/>
      <c r="H162" s="436"/>
      <c r="I162" s="436"/>
      <c r="J162" s="436"/>
      <c r="K162" s="436"/>
      <c r="L162" s="436"/>
      <c r="M162" s="436"/>
      <c r="N162" s="437"/>
    </row>
    <row r="163" spans="2:14" s="93" customFormat="1" ht="24.95" customHeight="1">
      <c r="B163" s="410">
        <v>4</v>
      </c>
      <c r="C163" s="411"/>
      <c r="D163" s="436" t="s">
        <v>420</v>
      </c>
      <c r="E163" s="436"/>
      <c r="F163" s="436"/>
      <c r="G163" s="436"/>
      <c r="H163" s="436"/>
      <c r="I163" s="436"/>
      <c r="J163" s="436"/>
      <c r="K163" s="436"/>
      <c r="L163" s="436"/>
      <c r="M163" s="436"/>
      <c r="N163" s="437"/>
    </row>
    <row r="164" spans="2:14" s="93" customFormat="1" ht="24.95" customHeight="1">
      <c r="B164" s="438" t="s">
        <v>239</v>
      </c>
      <c r="C164" s="439"/>
      <c r="D164" s="439"/>
      <c r="E164" s="439"/>
      <c r="F164" s="439"/>
      <c r="G164" s="439"/>
      <c r="H164" s="439"/>
      <c r="I164" s="439"/>
      <c r="J164" s="439"/>
      <c r="K164" s="439"/>
      <c r="L164" s="439"/>
      <c r="M164" s="439"/>
      <c r="N164" s="440"/>
    </row>
    <row r="165" spans="2:14" s="93" customFormat="1" ht="24.95" customHeight="1">
      <c r="B165" s="438" t="s">
        <v>240</v>
      </c>
      <c r="C165" s="439"/>
      <c r="D165" s="439"/>
      <c r="E165" s="439"/>
      <c r="F165" s="439"/>
      <c r="G165" s="439"/>
      <c r="H165" s="439"/>
      <c r="I165" s="439"/>
      <c r="J165" s="439"/>
      <c r="K165" s="439"/>
      <c r="L165" s="439"/>
      <c r="M165" s="439"/>
      <c r="N165" s="440"/>
    </row>
    <row r="166" spans="2:14" s="93" customFormat="1" ht="41.25" customHeight="1">
      <c r="B166" s="456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8"/>
    </row>
    <row r="167" spans="2:14" s="93" customFormat="1" ht="39.950000000000003" customHeight="1">
      <c r="B167" s="459"/>
      <c r="C167" s="460"/>
      <c r="D167" s="460"/>
      <c r="E167" s="460"/>
      <c r="F167" s="460"/>
      <c r="G167" s="460"/>
      <c r="H167" s="460"/>
      <c r="I167" s="460"/>
      <c r="J167" s="460"/>
      <c r="K167" s="460"/>
      <c r="L167" s="460"/>
      <c r="M167" s="460"/>
      <c r="N167" s="461"/>
    </row>
    <row r="168" spans="2:14" s="93" customFormat="1" ht="41.25" customHeight="1">
      <c r="B168" s="459"/>
      <c r="C168" s="460"/>
      <c r="D168" s="460"/>
      <c r="E168" s="460"/>
      <c r="F168" s="460"/>
      <c r="G168" s="460"/>
      <c r="H168" s="460"/>
      <c r="I168" s="460"/>
      <c r="J168" s="460"/>
      <c r="K168" s="460"/>
      <c r="L168" s="460"/>
      <c r="M168" s="460"/>
      <c r="N168" s="461"/>
    </row>
    <row r="169" spans="2:14" s="93" customFormat="1" ht="39.950000000000003" customHeight="1" thickBot="1">
      <c r="B169" s="462"/>
      <c r="C169" s="463"/>
      <c r="D169" s="463"/>
      <c r="E169" s="463"/>
      <c r="F169" s="463"/>
      <c r="G169" s="463"/>
      <c r="H169" s="463"/>
      <c r="I169" s="463"/>
      <c r="J169" s="463"/>
      <c r="K169" s="463"/>
      <c r="L169" s="463"/>
      <c r="M169" s="463"/>
      <c r="N169" s="464"/>
    </row>
    <row r="170" spans="2:14" s="93" customFormat="1" ht="30" customHeight="1" thickTop="1">
      <c r="B170" s="446" t="s">
        <v>110</v>
      </c>
      <c r="C170" s="447"/>
      <c r="D170" s="447"/>
      <c r="E170" s="450"/>
      <c r="F170" s="451"/>
      <c r="G170" s="451"/>
      <c r="H170" s="451"/>
      <c r="I170" s="451"/>
      <c r="J170" s="451"/>
      <c r="K170" s="451"/>
      <c r="L170" s="452"/>
      <c r="M170" s="447" t="s">
        <v>204</v>
      </c>
      <c r="N170" s="448"/>
    </row>
    <row r="171" spans="2:14" s="93" customFormat="1" ht="33" customHeight="1" thickBot="1">
      <c r="B171" s="449" t="s">
        <v>107</v>
      </c>
      <c r="C171" s="444"/>
      <c r="D171" s="444"/>
      <c r="E171" s="453"/>
      <c r="F171" s="454"/>
      <c r="G171" s="454"/>
      <c r="H171" s="454"/>
      <c r="I171" s="454"/>
      <c r="J171" s="454"/>
      <c r="K171" s="454"/>
      <c r="L171" s="455"/>
      <c r="M171" s="444" t="s">
        <v>108</v>
      </c>
      <c r="N171" s="445"/>
    </row>
    <row r="172" spans="2:14" s="93" customFormat="1" ht="19.5" thickTop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</sheetData>
  <mergeCells count="223">
    <mergeCell ref="B24:C24"/>
    <mergeCell ref="B116:K116"/>
    <mergeCell ref="B54:C54"/>
    <mergeCell ref="B55:C55"/>
    <mergeCell ref="B135:C135"/>
    <mergeCell ref="D135:N135"/>
    <mergeCell ref="B131:C131"/>
    <mergeCell ref="D131:N131"/>
    <mergeCell ref="B20:C20"/>
    <mergeCell ref="B21:C21"/>
    <mergeCell ref="B22:C22"/>
    <mergeCell ref="B23:C23"/>
    <mergeCell ref="B41:C41"/>
    <mergeCell ref="B42:C42"/>
    <mergeCell ref="B133:N133"/>
    <mergeCell ref="B129:N129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34:C34"/>
    <mergeCell ref="B35:C35"/>
    <mergeCell ref="B36:C36"/>
    <mergeCell ref="B37:C37"/>
    <mergeCell ref="B38:C38"/>
    <mergeCell ref="B39:C39"/>
    <mergeCell ref="B40:C40"/>
    <mergeCell ref="B52:C52"/>
    <mergeCell ref="B53:C5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1:N171"/>
    <mergeCell ref="B170:D170"/>
    <mergeCell ref="M170:N170"/>
    <mergeCell ref="B171:D171"/>
    <mergeCell ref="B142:C142"/>
    <mergeCell ref="D142:N142"/>
    <mergeCell ref="B149:C149"/>
    <mergeCell ref="D149:N149"/>
    <mergeCell ref="B163:C163"/>
    <mergeCell ref="D163:N163"/>
    <mergeCell ref="B161:C161"/>
    <mergeCell ref="D161:N161"/>
    <mergeCell ref="B162:C162"/>
    <mergeCell ref="D162:N162"/>
    <mergeCell ref="B150:C150"/>
    <mergeCell ref="D150:N150"/>
    <mergeCell ref="E170:L170"/>
    <mergeCell ref="E171:L171"/>
    <mergeCell ref="B166:N169"/>
    <mergeCell ref="D155:N155"/>
    <mergeCell ref="B156:C156"/>
    <mergeCell ref="D156:N156"/>
    <mergeCell ref="B157:C157"/>
    <mergeCell ref="B155:C155"/>
    <mergeCell ref="B136:C136"/>
    <mergeCell ref="D136:N136"/>
    <mergeCell ref="D160:N160"/>
    <mergeCell ref="B160:C160"/>
    <mergeCell ref="B164:N164"/>
    <mergeCell ref="B165:N165"/>
    <mergeCell ref="B148:C148"/>
    <mergeCell ref="B143:C143"/>
    <mergeCell ref="D143:N143"/>
    <mergeCell ref="B144:C144"/>
    <mergeCell ref="D144:N144"/>
    <mergeCell ref="B145:C145"/>
    <mergeCell ref="D145:N145"/>
    <mergeCell ref="D157:N157"/>
    <mergeCell ref="B151:N151"/>
    <mergeCell ref="B154:N154"/>
    <mergeCell ref="B159:N159"/>
    <mergeCell ref="B158:C158"/>
    <mergeCell ref="D158:N158"/>
    <mergeCell ref="B152:C152"/>
    <mergeCell ref="D152:N152"/>
    <mergeCell ref="B153:C153"/>
    <mergeCell ref="D153:N153"/>
    <mergeCell ref="B140:C140"/>
    <mergeCell ref="D140:N140"/>
    <mergeCell ref="D148:N148"/>
    <mergeCell ref="B141:C141"/>
    <mergeCell ref="D141:N141"/>
    <mergeCell ref="B1:N5"/>
    <mergeCell ref="B11:N12"/>
    <mergeCell ref="F7:J7"/>
    <mergeCell ref="F9:J9"/>
    <mergeCell ref="B146:N146"/>
    <mergeCell ref="B147:C147"/>
    <mergeCell ref="D147:N147"/>
    <mergeCell ref="B138:N138"/>
    <mergeCell ref="B139:N139"/>
    <mergeCell ref="B130:C130"/>
    <mergeCell ref="D130:N130"/>
    <mergeCell ref="B132:C132"/>
    <mergeCell ref="D132:N132"/>
    <mergeCell ref="B137:C137"/>
    <mergeCell ref="D137:N137"/>
    <mergeCell ref="B134:C134"/>
    <mergeCell ref="D134:N134"/>
    <mergeCell ref="B43:C43"/>
    <mergeCell ref="B44:C44"/>
    <mergeCell ref="B45:C4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125:C125"/>
    <mergeCell ref="D125:N125"/>
    <mergeCell ref="B114:C114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117:M117"/>
    <mergeCell ref="B118:M118"/>
    <mergeCell ref="B119:M119"/>
    <mergeCell ref="B124:N124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28:C128"/>
    <mergeCell ref="D128:N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  <mergeCell ref="D127:N127"/>
    <mergeCell ref="B126:C126"/>
    <mergeCell ref="D126:N12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43734</v>
      </c>
      <c r="F2" s="516" t="s">
        <v>244</v>
      </c>
      <c r="G2" s="516"/>
    </row>
    <row r="3" spans="3:13">
      <c r="C3" s="297" t="s">
        <v>126</v>
      </c>
      <c r="D3" s="517" t="str">
        <f>QUOTATION!F7</f>
        <v>Ar. Venkat</v>
      </c>
      <c r="E3" s="517"/>
      <c r="F3" s="520" t="s">
        <v>245</v>
      </c>
      <c r="G3" s="521">
        <f>QUOTATION!N8</f>
        <v>43734</v>
      </c>
    </row>
    <row r="4" spans="3:13">
      <c r="C4" s="297" t="s">
        <v>242</v>
      </c>
      <c r="D4" s="518" t="str">
        <f>QUOTATION!M6</f>
        <v>ABPL-DE-19.20-2205</v>
      </c>
      <c r="E4" s="518"/>
      <c r="F4" s="520"/>
      <c r="G4" s="522"/>
    </row>
    <row r="5" spans="3:13">
      <c r="C5" s="297" t="s">
        <v>127</v>
      </c>
      <c r="D5" s="517" t="str">
        <f>QUOTATION!F8</f>
        <v>Hyderabad</v>
      </c>
      <c r="E5" s="517"/>
      <c r="F5" s="520"/>
      <c r="G5" s="522"/>
    </row>
    <row r="6" spans="3:13">
      <c r="C6" s="297" t="s">
        <v>168</v>
      </c>
      <c r="D6" s="517" t="str">
        <f>QUOTATION!F9</f>
        <v>Ms. Prathyusha : 8008103067</v>
      </c>
      <c r="E6" s="517"/>
      <c r="F6" s="520"/>
      <c r="G6" s="522"/>
    </row>
    <row r="7" spans="3:13">
      <c r="C7" s="297" t="s">
        <v>375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Powder Coating</v>
      </c>
      <c r="E8" s="517"/>
      <c r="F8" s="520"/>
      <c r="G8" s="522"/>
    </row>
    <row r="9" spans="3:13">
      <c r="C9" s="297" t="s">
        <v>177</v>
      </c>
      <c r="D9" s="517" t="str">
        <f>QUOTATION!I10</f>
        <v>Black</v>
      </c>
      <c r="E9" s="517"/>
      <c r="F9" s="520"/>
      <c r="G9" s="522"/>
    </row>
    <row r="10" spans="3:13">
      <c r="C10" s="297" t="s">
        <v>179</v>
      </c>
      <c r="D10" s="517" t="str">
        <f>QUOTATION!I8</f>
        <v>1.3Kpa</v>
      </c>
      <c r="E10" s="517"/>
      <c r="F10" s="520"/>
      <c r="G10" s="522"/>
    </row>
    <row r="11" spans="3:13">
      <c r="C11" s="297" t="s">
        <v>241</v>
      </c>
      <c r="D11" s="517" t="str">
        <f>QUOTATION!M9</f>
        <v>Bal Kumari</v>
      </c>
      <c r="E11" s="517"/>
      <c r="F11" s="520"/>
      <c r="G11" s="522"/>
    </row>
    <row r="12" spans="3:13">
      <c r="C12" s="297" t="s">
        <v>243</v>
      </c>
      <c r="D12" s="519">
        <f>QUOTATION!M7</f>
        <v>43734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4256.3999999999987</v>
      </c>
      <c r="F14" s="205"/>
      <c r="G14" s="206">
        <f>E14</f>
        <v>4256.3999999999987</v>
      </c>
    </row>
    <row r="15" spans="3:13">
      <c r="C15" s="194" t="s">
        <v>234</v>
      </c>
      <c r="D15" s="296">
        <f>'Changable Values'!D4</f>
        <v>83</v>
      </c>
      <c r="E15" s="199">
        <f>E14*D15</f>
        <v>353281.1999999999</v>
      </c>
      <c r="F15" s="205"/>
      <c r="G15" s="207">
        <f>E15</f>
        <v>353281.1999999999</v>
      </c>
    </row>
    <row r="16" spans="3:13">
      <c r="C16" s="195" t="s">
        <v>97</v>
      </c>
      <c r="D16" s="200">
        <f>'Changable Values'!D5</f>
        <v>0.1</v>
      </c>
      <c r="E16" s="199">
        <f>E15*D16</f>
        <v>35328.119999999988</v>
      </c>
      <c r="F16" s="208">
        <f>'Changable Values'!D5</f>
        <v>0.1</v>
      </c>
      <c r="G16" s="207">
        <f>G15*F16</f>
        <v>35328.119999999988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42747.025199999989</v>
      </c>
      <c r="F17" s="208">
        <f>'Changable Values'!D6</f>
        <v>0.11</v>
      </c>
      <c r="G17" s="207">
        <f>SUM(G15:G16)*F17</f>
        <v>42747.025199999989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2156.7817259999993</v>
      </c>
      <c r="F18" s="208">
        <f>'Changable Values'!D7</f>
        <v>5.0000000000000001E-3</v>
      </c>
      <c r="G18" s="207">
        <f>SUM(G15:G17)*F18</f>
        <v>2156.7817259999993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4335.1312692599986</v>
      </c>
      <c r="F19" s="208">
        <f>'Changable Values'!D8</f>
        <v>0.01</v>
      </c>
      <c r="G19" s="207">
        <f>SUM(G15:G18)*F19</f>
        <v>4335.1312692599986</v>
      </c>
    </row>
    <row r="20" spans="3:7">
      <c r="C20" s="195" t="s">
        <v>99</v>
      </c>
      <c r="D20" s="201"/>
      <c r="E20" s="199">
        <f>SUM(E15:E19)</f>
        <v>437848.2581952599</v>
      </c>
      <c r="F20" s="208"/>
      <c r="G20" s="207">
        <f>SUM(G15:G19)</f>
        <v>437848.2581952599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6567.7238729288983</v>
      </c>
      <c r="F21" s="208">
        <f>'Changable Values'!D9</f>
        <v>1.4999999999999999E-2</v>
      </c>
      <c r="G21" s="207">
        <f>G20*F21</f>
        <v>6567.7238729288983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123016.06287599998</v>
      </c>
      <c r="F23" s="209"/>
      <c r="G23" s="207">
        <f t="shared" si="0"/>
        <v>123016.06287599998</v>
      </c>
    </row>
    <row r="24" spans="3:7">
      <c r="C24" s="195" t="s">
        <v>229</v>
      </c>
      <c r="D24" s="198"/>
      <c r="E24" s="199">
        <f>'Cost Calculation'!AH111</f>
        <v>30394.359737704915</v>
      </c>
      <c r="F24" s="209"/>
      <c r="G24" s="207">
        <f t="shared" si="0"/>
        <v>30394.359737704915</v>
      </c>
    </row>
    <row r="25" spans="3:7">
      <c r="C25" s="196" t="s">
        <v>237</v>
      </c>
      <c r="D25" s="198"/>
      <c r="E25" s="199">
        <f>'Cost Calculation'!AJ109</f>
        <v>14875.7425128</v>
      </c>
      <c r="F25" s="209"/>
      <c r="G25" s="207">
        <f t="shared" si="0"/>
        <v>14875.7425128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92181.294316799991</v>
      </c>
      <c r="F27" s="209"/>
      <c r="G27" s="207">
        <f t="shared" si="0"/>
        <v>92181.294316799991</v>
      </c>
    </row>
    <row r="28" spans="3:7">
      <c r="C28" s="195" t="s">
        <v>88</v>
      </c>
      <c r="D28" s="198"/>
      <c r="E28" s="199">
        <f>'Cost Calculation'!AN109</f>
        <v>92181.294316799991</v>
      </c>
      <c r="F28" s="209"/>
      <c r="G28" s="207">
        <f t="shared" si="0"/>
        <v>92181.294316799991</v>
      </c>
    </row>
    <row r="29" spans="3:7">
      <c r="C29" s="293" t="s">
        <v>378</v>
      </c>
      <c r="D29" s="294"/>
      <c r="E29" s="295">
        <f>SUM(E20:E28)</f>
        <v>797064.73582829372</v>
      </c>
      <c r="F29" s="209"/>
      <c r="G29" s="207">
        <f>SUM(G20:G21,G24)</f>
        <v>474810.34180589369</v>
      </c>
    </row>
    <row r="30" spans="3:7">
      <c r="C30" s="293" t="s">
        <v>379</v>
      </c>
      <c r="D30" s="294"/>
      <c r="E30" s="295">
        <f>E29/E33</f>
        <v>864.67080087747172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593512.92725736718</v>
      </c>
      <c r="F31" s="214">
        <f>'Changable Values'!D23</f>
        <v>1.25</v>
      </c>
      <c r="G31" s="207">
        <f>G29*F31</f>
        <v>593512.92725736718</v>
      </c>
    </row>
    <row r="32" spans="3:7">
      <c r="C32" s="290" t="s">
        <v>5</v>
      </c>
      <c r="D32" s="291"/>
      <c r="E32" s="292">
        <f>E31+E29</f>
        <v>1390577.6630856609</v>
      </c>
      <c r="F32" s="205"/>
      <c r="G32" s="207">
        <f>SUM(G25:G31,G22:G23)</f>
        <v>1390577.6630856609</v>
      </c>
    </row>
    <row r="33" spans="3:7">
      <c r="C33" s="300" t="s">
        <v>230</v>
      </c>
      <c r="D33" s="301"/>
      <c r="E33" s="308">
        <f>'Cost Calculation'!K109</f>
        <v>921.81294316799983</v>
      </c>
      <c r="F33" s="210"/>
      <c r="G33" s="211">
        <f>E33</f>
        <v>921.81294316799983</v>
      </c>
    </row>
    <row r="34" spans="3:7">
      <c r="C34" s="302" t="s">
        <v>9</v>
      </c>
      <c r="D34" s="303"/>
      <c r="E34" s="304">
        <f>QUOTATION!L116</f>
        <v>28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1508.5247754350842</v>
      </c>
      <c r="F35" s="212"/>
      <c r="G35" s="213">
        <f>G32/(G33)</f>
        <v>1508.5247754350842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2019-09-26T07:31:19Z</cp:lastPrinted>
  <dcterms:created xsi:type="dcterms:W3CDTF">2010-12-18T06:34:46Z</dcterms:created>
  <dcterms:modified xsi:type="dcterms:W3CDTF">2019-09-30T09:38:06Z</dcterms:modified>
</cp:coreProperties>
</file>