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Drawings!$C$2:$O$282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21" i="158" l="1"/>
  <c r="R22" i="158"/>
  <c r="R18" i="158"/>
  <c r="R16" i="158"/>
  <c r="R7" i="158"/>
  <c r="R20" i="158"/>
  <c r="R19" i="158"/>
  <c r="R17" i="158"/>
  <c r="R15" i="158"/>
  <c r="R14" i="158"/>
  <c r="R13" i="158"/>
  <c r="R11" i="158"/>
  <c r="R10" i="158"/>
  <c r="R9" i="158"/>
  <c r="Q5" i="158"/>
  <c r="Q6" i="158"/>
  <c r="Q4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AH50" i="159" s="1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AH40" i="159" s="1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AH24" i="159" s="1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M52" i="160" l="1"/>
  <c r="AH53" i="159"/>
  <c r="AH21" i="159"/>
  <c r="AH45" i="159"/>
  <c r="AH47" i="159"/>
  <c r="AH12" i="159"/>
  <c r="AH35" i="159"/>
  <c r="AH43" i="159"/>
  <c r="AH46" i="159"/>
  <c r="AH54" i="159"/>
  <c r="AH57" i="159"/>
  <c r="AH38" i="159"/>
  <c r="AH48" i="159"/>
  <c r="AH51" i="159"/>
  <c r="AH33" i="159"/>
  <c r="AH36" i="159"/>
  <c r="AH41" i="159"/>
  <c r="AH44" i="159"/>
  <c r="AH31" i="159"/>
  <c r="AH52" i="159"/>
  <c r="AH55" i="159"/>
  <c r="AH49" i="159"/>
  <c r="AH34" i="159"/>
  <c r="AH39" i="159"/>
  <c r="AH42" i="159"/>
  <c r="AH37" i="159"/>
  <c r="AH56" i="159"/>
  <c r="AH32" i="159"/>
  <c r="AH30" i="159"/>
  <c r="M38" i="160"/>
  <c r="AH29" i="159"/>
  <c r="AH28" i="159"/>
  <c r="AH27" i="159"/>
  <c r="AH26" i="159"/>
  <c r="AH25" i="159"/>
  <c r="AH23" i="159"/>
  <c r="AH22" i="159"/>
  <c r="M30" i="160"/>
  <c r="AH20" i="159"/>
  <c r="AH19" i="159"/>
  <c r="AH18" i="159"/>
  <c r="M26" i="160"/>
  <c r="AH17" i="159"/>
  <c r="AH16" i="159"/>
  <c r="AH15" i="159"/>
  <c r="AH14" i="159"/>
  <c r="AH13" i="159"/>
  <c r="AH11" i="159"/>
  <c r="AH10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T107" i="159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N19" i="160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<sst xmlns="http://schemas.openxmlformats.org/spreadsheetml/2006/main" count="2071" uniqueCount="497">
  <si>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</si>
  <si>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</si>
  <si>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</si>
  <si>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</si>
  <si>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</si>
  <si>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</si>
  <si>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</si>
  <si>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</si>
  <si>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</si>
  <si>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</si>
  <si>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</si>
  <si>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</si>
  <si>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</si>
  <si>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</si>
  <si>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</si>
  <si>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</si>
  <si>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</si>
  <si>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</si>
  <si>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</si>
  <si>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</si>
  <si>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</si>
  <si>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</si>
  <si>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</si>
  <si>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</si>
  <si>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</si>
  <si>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</si>
  <si>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</si>
  <si>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</si>
  <si>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</si>
  <si>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</si>
  <si>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</si>
  <si>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</si>
  <si>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</si>
  <si>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</si>
  <si>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</si>
  <si>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</si>
  <si>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</si>
  <si>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</si>
  <si>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</si>
  <si>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</si>
  <si>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</si>
  <si>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</si>
  <si>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</si>
  <si>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</si>
  <si>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</si>
  <si>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</si>
  <si>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</si>
  <si>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</si>
  <si>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</si>
  <si>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</si>
  <si>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</si>
  <si>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</si>
  <si>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</si>
  <si>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</si>
  <si>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</si>
  <si>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</si>
  <si>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</si>
  <si>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</si>
  <si>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</si>
  <si>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</si>
  <si>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</si>
  <si>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</si>
  <si>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</si>
  <si>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</si>
  <si>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</si>
  <si>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</si>
  <si>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</si>
  <si>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</si>
  <si>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</si>
  <si>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</si>
  <si>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</si>
  <si>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</si>
  <si>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</si>
  <si>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</si>
  <si>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</si>
  <si>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</si>
  <si>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</si>
  <si>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</si>
  <si>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</si>
  <si>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</si>
  <si>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</si>
  <si>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</si>
  <si>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</si>
  <si>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</si>
  <si>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</si>
  <si>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</si>
  <si>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</si>
  <si>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</si>
  <si>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</si>
  <si>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</si>
  <si>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</si>
  <si>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</si>
  <si>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</si>
  <si>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</si>
  <si>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</si>
  <si>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</si>
  <si>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</si>
  <si>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</si>
  <si>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</si>
  <si>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</si>
  <si>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</si>
  <si>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</si>
  <si>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</si>
  <si>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</si>
  <si>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</si>
  <si>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</si>
  <si>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</si>
  <si>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</si>
  <si>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</si>
  <si>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</si>
  <si>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</si>
  <si>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</si>
  <si>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</si>
  <si>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</si>
  <si>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</si>
  <si>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</si>
  <si>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</si>
  <si>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</si>
  <si>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</si>
  <si>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</si>
  <si>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</si>
  <si>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</si>
  <si>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</si>
  <si>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</si>
  <si>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</si>
  <si>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</si>
  <si>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</si>
  <si>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</si>
  <si>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</si>
  <si>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</si>
  <si>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</si>
  <si>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</si>
  <si>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</si>
  <si>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</si>
  <si>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</si>
  <si>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</si>
  <si>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</si>
  <si>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</si>
  <si>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</si>
  <si>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</si>
  <si>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</si>
  <si>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</si>
  <si>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</si>
  <si>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</si>
  <si>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</si>
  <si>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</si>
  <si>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</si>
  <si>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</si>
  <si>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</si>
  <si>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</si>
  <si>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</si>
  <si>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</si>
  <si>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</si>
  <si>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</si>
  <si>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</si>
  <si>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</si>
  <si>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</si>
  <si>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</si>
  <si>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</si>
  <si>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</si>
  <si>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</si>
  <si>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</si>
  <si>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</si>
  <si>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</si>
  <si>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</si>
  <si>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</si>
  <si>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</si>
  <si>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</si>
  <si>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</si>
  <si>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</si>
  <si>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</si>
  <si>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</si>
  <si>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</si>
  <si>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</si>
  <si>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</si>
  <si>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</si>
  <si>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</si>
  <si>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</si>
  <si>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</si>
  <si>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</si>
  <si>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</si>
  <si>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</si>
  <si>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</si>
  <si>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</si>
  <si>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</si>
  <si>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</si>
  <si>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</si>
  <si>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</si>
  <si>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</si>
  <si>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</si>
  <si>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</si>
  <si>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</si>
  <si>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</si>
  <si>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</si>
  <si>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</si>
  <si>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</si>
  <si>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</si>
  <si>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</si>
  <si>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</si>
  <si>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</si>
  <si>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</si>
  <si>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</si>
  <si>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</si>
  <si>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</si>
  <si>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</si>
  <si>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</si>
  <si>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</si>
  <si>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</si>
  <si>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</si>
  <si>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</si>
  <si>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</si>
  <si>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</si>
  <si>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</si>
  <si>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</si>
  <si>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</si>
  <si>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</si>
  <si>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</si>
  <si>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</si>
  <si>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</si>
  <si>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</si>
  <si>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</si>
  <si>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</si>
  <si>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</si>
  <si>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</si>
  <si>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</si>
  <si>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</si>
  <si>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</si>
  <si>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</si>
  <si>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</si>
  <si>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</si>
  <si>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</si>
  <si>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</si>
  <si>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</si>
  <si>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</si>
  <si>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</si>
  <si>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</si>
  <si>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</si>
  <si>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</si>
  <si>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</si>
  <si>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</si>
  <si>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</si>
  <si>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</si>
  <si>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</si>
  <si>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</si>
  <si>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</si>
  <si>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</si>
  <si>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</si>
  <si>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</si>
  <si>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</si>
  <si>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</si>
  <si>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</si>
  <si>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</si>
  <si>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</si>
  <si>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</si>
  <si>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</si>
  <si>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</si>
  <si>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</si>
  <si>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</si>
  <si>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</si>
  <si>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</si>
  <si>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</si>
  <si>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</si>
  <si>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</si>
  <si>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</si>
  <si>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</si>
  <si>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</si>
  <si>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</si>
  <si>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</si>
  <si>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</si>
  <si>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</si>
  <si>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</si>
  <si>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</si>
  <si>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</si>
  <si>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</si>
  <si>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</si>
  <si>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</si>
  <si>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</si>
  <si>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</si>
  <si>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</si>
  <si>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</si>
  <si>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</si>
  <si>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</si>
  <si>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</si>
  <si>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</si>
  <si>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</si>
  <si>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</si>
  <si>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</si>
  <si>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</si>
  <si>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</si>
  <si>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</si>
  <si>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</si>
  <si>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</si>
  <si>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</si>
  <si>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</si>
  <si>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</si>
  <si>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</si>
  <si>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</si>
  <si>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</si>
  <si>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</si>
  <si>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</si>
  <si>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</si>
  <si>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</si>
  <si>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</si>
  <si>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</si>
  <si>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</si>
  <si>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</si>
  <si>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</si>
  <si>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</si>
  <si>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</si>
  <si>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</si>
  <si>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</si>
  <si>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</si>
  <si>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</si>
  <si>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</si>
  <si>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</si>
  <si>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</si>
  <si>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</si>
  <si>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</si>
  <si>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</si>
  <si>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</si>
  <si>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</si>
  <si>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</si>
  <si>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</si>
  <si>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</si>
  <si>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</si>
  <si>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</si>
  <si>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</si>
  <si>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</si>
  <si>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</si>
  <si>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</si>
  <si>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</si>
  <si>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</si>
  <si>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</si>
  <si>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</si>
  <si>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</si>
  <si>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</si>
  <si>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</si>
  <si>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</si>
  <si>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</si>
  <si>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</si>
  <si>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</si>
  <si>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</si>
  <si>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</si>
  <si>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</si>
  <si>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</si>
  <si>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</si>
  <si>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</si>
  <si>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</si>
  <si>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</si>
  <si>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</si>
  <si>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</si>
  <si>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</si>
  <si>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</si>
  <si>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</si>
  <si>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</si>
  <si>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</si>
  <si>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</si>
  <si>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</si>
  <si>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</si>
  <si>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</si>
  <si>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</si>
  <si>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</si>
  <si>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</si>
  <si>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</si>
  <si>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</si>
  <si>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</si>
  <si>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</si>
  <si>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</si>
  <si>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</si>
  <si>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</si>
  <si>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</si>
  <si>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</si>
  <si>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</si>
  <si>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</si>
  <si>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</si>
  <si>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</si>
  <si>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</si>
  <si>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</si>
  <si>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</si>
  <si>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</si>
  <si>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</si>
  <si>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</si>
  <si>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</si>
  <si>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</si>
  <si>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</si>
  <si>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</si>
  <si>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</si>
  <si>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</si>
  <si>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</si>
  <si>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</si>
  <si>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</si>
  <si>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</si>
  <si>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</si>
  <si>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</si>
  <si>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</si>
  <si>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</si>
  <si>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</si>
  <si>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</si>
  <si>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</si>
  <si>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</si>
  <si>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</si>
  <si>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</si>
  <si>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</si>
  <si>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</si>
  <si>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</si>
  <si>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</si>
  <si>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</si>
  <si>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</si>
  <si>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</si>
  <si>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</si>
  <si>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</si>
  <si>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</si>
  <si>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</si>
  <si>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</si>
  <si>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</si>
  <si>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</si>
  <si>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</si>
  <si>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</si>
  <si>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</si>
  <si>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</si>
  <si>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</si>
  <si>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</si>
  <si>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</si>
  <si>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</si>
  <si>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Mr. Manu Wassan</t>
  </si>
  <si>
    <t>Chennai</t>
  </si>
  <si>
    <t>Wood Effect</t>
  </si>
  <si>
    <t>2.5Kpa</t>
  </si>
  <si>
    <t>ABPL-DE-19.20-2206</t>
  </si>
  <si>
    <t>SD3</t>
  </si>
  <si>
    <t>M14600</t>
  </si>
  <si>
    <t>POCKET DOOR</t>
  </si>
  <si>
    <t>SS</t>
  </si>
  <si>
    <t>FF - TULSI BALCONY</t>
  </si>
  <si>
    <t>SD2</t>
  </si>
  <si>
    <t>3 TRACK 2 SHUTTER SLIDING DOOR</t>
  </si>
  <si>
    <t>AV ROOM</t>
  </si>
  <si>
    <t>FD1</t>
  </si>
  <si>
    <t>LIVING</t>
  </si>
  <si>
    <t>3 TRACK 2 SHUTTER SLIDING DOOR WITH 2 FIXED</t>
  </si>
  <si>
    <t>FD3</t>
  </si>
  <si>
    <t>M15000</t>
  </si>
  <si>
    <t>2 SIDE HUNG DOORS WITH CENTER FIXED</t>
  </si>
  <si>
    <t>RETRACTABLE</t>
  </si>
  <si>
    <t>DINING</t>
  </si>
  <si>
    <t>FD2</t>
  </si>
  <si>
    <t>FIXED GLASS 6 NO'S</t>
  </si>
  <si>
    <t>NO</t>
  </si>
  <si>
    <t>W1</t>
  </si>
  <si>
    <t>SIDE HUNG WINDOW</t>
  </si>
  <si>
    <t>MASTER BEDROOM</t>
  </si>
  <si>
    <t>W2</t>
  </si>
  <si>
    <t>FRENCH CASEMENT WINDOW</t>
  </si>
  <si>
    <t>DEN, BEDROOM &amp; AV ROOM</t>
  </si>
  <si>
    <t>W3</t>
  </si>
  <si>
    <t>STUDY, ANTI SPACE, LOUNGE, DRESS &amp; MASSAGE ROOM</t>
  </si>
  <si>
    <t>FW1</t>
  </si>
  <si>
    <t>FIXED GLASS</t>
  </si>
  <si>
    <t>FLOOR LOBBY</t>
  </si>
  <si>
    <t>W4</t>
  </si>
  <si>
    <t>2 FRENCH CASEMENT WINDOW</t>
  </si>
  <si>
    <t>BED ROOM</t>
  </si>
  <si>
    <t>W5</t>
  </si>
  <si>
    <t>DRESS, MASTER BEDROOM &amp; TERRACE</t>
  </si>
  <si>
    <t>W6</t>
  </si>
  <si>
    <t>BEDROOM &amp; LAUNDRY</t>
  </si>
  <si>
    <t>FG</t>
  </si>
  <si>
    <t>SIDE HUNG WINDOW WITH BOTTOM FIXED</t>
  </si>
  <si>
    <t>DOUBLE HEIGHT AREA</t>
  </si>
  <si>
    <t>SW</t>
  </si>
  <si>
    <t>SERVANT ROOM</t>
  </si>
  <si>
    <t>FD4</t>
  </si>
  <si>
    <t>32MM &amp; 24MM</t>
  </si>
  <si>
    <t>KW1</t>
  </si>
  <si>
    <t>KITCHEN</t>
  </si>
  <si>
    <t>KW2</t>
  </si>
  <si>
    <t>GW</t>
  </si>
  <si>
    <t>GYM AREA</t>
  </si>
  <si>
    <t>CW</t>
  </si>
  <si>
    <t>2 SIDE HUNG DOORS WITH CORNOR FIXED</t>
  </si>
  <si>
    <t>BEDROOM</t>
  </si>
  <si>
    <t>SW1</t>
  </si>
  <si>
    <t>STAIRCASE CORE</t>
  </si>
  <si>
    <t>V1</t>
  </si>
  <si>
    <t>TOP HUNG WINDOW</t>
  </si>
  <si>
    <t>24MM (F)</t>
  </si>
  <si>
    <t>BATH &amp; BOX ROOM</t>
  </si>
  <si>
    <t>V2</t>
  </si>
  <si>
    <t>BATH &amp; PUMP ROOM</t>
  </si>
  <si>
    <t>FV</t>
  </si>
  <si>
    <t>POWDER BATH &amp; DRESS</t>
  </si>
  <si>
    <t>FG1</t>
  </si>
  <si>
    <t>PD</t>
  </si>
  <si>
    <t>FRENCH CASEMENT WINDOW IN SHAPE</t>
  </si>
  <si>
    <t>PANEL ROOM DOOR</t>
  </si>
  <si>
    <t>24mm (F):- 6mm Frosted Toughened Glass + 12mm Spacer + 6mm Clear Toughened Glass</t>
  </si>
  <si>
    <t>32mm :- 10mm Clear Toughened Glass + 12mm Spacer + 10mm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</si>
</sst>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emf"/><Relationship Id="rId3" Type="http://schemas.openxmlformats.org/officeDocument/2006/relationships/image" Target="../media/image5.tmp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1461655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231913</xdr:colOff>
      <xdr:row>19</xdr:row>
      <xdr:rowOff>33130</xdr:rowOff>
    </xdr:from>
    <xdr:to>
      <xdr:col>6</xdr:col>
      <xdr:colOff>82827</xdr:colOff>
      <xdr:row>27</xdr:row>
      <xdr:rowOff>261392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3" y="4820478"/>
          <a:ext cx="1830457" cy="274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288234</xdr:colOff>
      <xdr:row>30</xdr:row>
      <xdr:rowOff>86139</xdr:rowOff>
    </xdr:from>
    <xdr:to>
      <xdr:col>8</xdr:col>
      <xdr:colOff>538369</xdr:colOff>
      <xdr:row>38</xdr:row>
      <xdr:rowOff>205158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430" y="8186530"/>
          <a:ext cx="4167809" cy="2636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115956</xdr:colOff>
      <xdr:row>33</xdr:row>
      <xdr:rowOff>8282</xdr:rowOff>
    </xdr:from>
    <xdr:to>
      <xdr:col>4</xdr:col>
      <xdr:colOff>630378</xdr:colOff>
      <xdr:row>33</xdr:row>
      <xdr:rowOff>303598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8217" y="9052891"/>
          <a:ext cx="514422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231913</xdr:colOff>
      <xdr:row>33</xdr:row>
      <xdr:rowOff>8282</xdr:rowOff>
    </xdr:from>
    <xdr:to>
      <xdr:col>8</xdr:col>
      <xdr:colOff>92008</xdr:colOff>
      <xdr:row>33</xdr:row>
      <xdr:rowOff>303598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6" y="9052891"/>
          <a:ext cx="514422" cy="295316"/>
        </a:xfrm>
        <a:prstGeom prst="rect">
          <a:avLst/>
        </a:prstGeom>
      </xdr:spPr>
    </xdr:pic>
    <xdr:clientData/>
  </xdr:twoCellAnchor>
  <xdr:twoCellAnchor>
    <xdr:from>
      <xdr:col>4</xdr:col>
      <xdr:colOff>389282</xdr:colOff>
      <xdr:row>41</xdr:row>
      <xdr:rowOff>82826</xdr:rowOff>
    </xdr:from>
    <xdr:to>
      <xdr:col>8</xdr:col>
      <xdr:colOff>306456</xdr:colOff>
      <xdr:row>49</xdr:row>
      <xdr:rowOff>187179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543" y="11496261"/>
          <a:ext cx="3246783" cy="2622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101568</xdr:colOff>
      <xdr:row>52</xdr:row>
      <xdr:rowOff>289892</xdr:rowOff>
    </xdr:from>
    <xdr:to>
      <xdr:col>9</xdr:col>
      <xdr:colOff>364435</xdr:colOff>
      <xdr:row>59</xdr:row>
      <xdr:rowOff>280451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764" y="15016370"/>
          <a:ext cx="4768606" cy="2193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63</xdr:row>
      <xdr:rowOff>281609</xdr:rowOff>
    </xdr:from>
    <xdr:to>
      <xdr:col>5</xdr:col>
      <xdr:colOff>1515717</xdr:colOff>
      <xdr:row>70</xdr:row>
      <xdr:rowOff>176575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18321131"/>
          <a:ext cx="1184413" cy="209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106016</xdr:colOff>
      <xdr:row>75</xdr:row>
      <xdr:rowOff>56321</xdr:rowOff>
    </xdr:from>
    <xdr:to>
      <xdr:col>6</xdr:col>
      <xdr:colOff>49695</xdr:colOff>
      <xdr:row>81</xdr:row>
      <xdr:rowOff>130034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016" y="21723625"/>
          <a:ext cx="1923222" cy="1962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</xdr:colOff>
      <xdr:row>86</xdr:row>
      <xdr:rowOff>28990</xdr:rowOff>
    </xdr:from>
    <xdr:to>
      <xdr:col>5</xdr:col>
      <xdr:colOff>1716218</xdr:colOff>
      <xdr:row>92</xdr:row>
      <xdr:rowOff>306457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473" y="25009338"/>
          <a:ext cx="1684745" cy="2165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107673</xdr:colOff>
      <xdr:row>96</xdr:row>
      <xdr:rowOff>273326</xdr:rowOff>
    </xdr:from>
    <xdr:to>
      <xdr:col>5</xdr:col>
      <xdr:colOff>1457739</xdr:colOff>
      <xdr:row>104</xdr:row>
      <xdr:rowOff>57699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3" y="28251978"/>
          <a:ext cx="1350066" cy="2302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114299</xdr:colOff>
      <xdr:row>108</xdr:row>
      <xdr:rowOff>9939</xdr:rowOff>
    </xdr:from>
    <xdr:to>
      <xdr:col>7</xdr:col>
      <xdr:colOff>107674</xdr:colOff>
      <xdr:row>115</xdr:row>
      <xdr:rowOff>177735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560" y="31616374"/>
          <a:ext cx="3057940" cy="2370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263387</xdr:colOff>
      <xdr:row>118</xdr:row>
      <xdr:rowOff>295275</xdr:rowOff>
    </xdr:from>
    <xdr:to>
      <xdr:col>5</xdr:col>
      <xdr:colOff>1689653</xdr:colOff>
      <xdr:row>125</xdr:row>
      <xdr:rowOff>232162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1387" y="34900014"/>
          <a:ext cx="1426266" cy="214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246820</xdr:colOff>
      <xdr:row>130</xdr:row>
      <xdr:rowOff>15737</xdr:rowOff>
    </xdr:from>
    <xdr:to>
      <xdr:col>6</xdr:col>
      <xdr:colOff>173050</xdr:colOff>
      <xdr:row>136</xdr:row>
      <xdr:rowOff>190500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4820" y="38248259"/>
          <a:ext cx="1905773" cy="2063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536713</xdr:colOff>
      <xdr:row>140</xdr:row>
      <xdr:rowOff>54251</xdr:rowOff>
    </xdr:from>
    <xdr:to>
      <xdr:col>5</xdr:col>
      <xdr:colOff>1841993</xdr:colOff>
      <xdr:row>148</xdr:row>
      <xdr:rowOff>231914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4713" y="41285077"/>
          <a:ext cx="1305280" cy="2695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115957</xdr:colOff>
      <xdr:row>152</xdr:row>
      <xdr:rowOff>149086</xdr:rowOff>
    </xdr:from>
    <xdr:to>
      <xdr:col>5</xdr:col>
      <xdr:colOff>1903561</xdr:colOff>
      <xdr:row>158</xdr:row>
      <xdr:rowOff>49695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7" y="45007695"/>
          <a:ext cx="1787604" cy="1789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588064</xdr:colOff>
      <xdr:row>162</xdr:row>
      <xdr:rowOff>124239</xdr:rowOff>
    </xdr:from>
    <xdr:to>
      <xdr:col>9</xdr:col>
      <xdr:colOff>405846</xdr:colOff>
      <xdr:row>170</xdr:row>
      <xdr:rowOff>135897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194" y="47981152"/>
          <a:ext cx="4911587" cy="252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175</xdr:row>
      <xdr:rowOff>0</xdr:rowOff>
    </xdr:from>
    <xdr:to>
      <xdr:col>5</xdr:col>
      <xdr:colOff>1524000</xdr:colOff>
      <xdr:row>180</xdr:row>
      <xdr:rowOff>83455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51799435"/>
          <a:ext cx="1441174" cy="16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139146</xdr:colOff>
      <xdr:row>185</xdr:row>
      <xdr:rowOff>101047</xdr:rowOff>
    </xdr:from>
    <xdr:to>
      <xdr:col>5</xdr:col>
      <xdr:colOff>1772477</xdr:colOff>
      <xdr:row>190</xdr:row>
      <xdr:rowOff>171250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7146" y="54898786"/>
          <a:ext cx="1633331" cy="1643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207065</xdr:colOff>
      <xdr:row>196</xdr:row>
      <xdr:rowOff>49694</xdr:rowOff>
    </xdr:from>
    <xdr:to>
      <xdr:col>8</xdr:col>
      <xdr:colOff>298174</xdr:colOff>
      <xdr:row>202</xdr:row>
      <xdr:rowOff>309661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6" y="58160477"/>
          <a:ext cx="3420718" cy="2148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412472</xdr:colOff>
      <xdr:row>206</xdr:row>
      <xdr:rowOff>238539</xdr:rowOff>
    </xdr:from>
    <xdr:to>
      <xdr:col>8</xdr:col>
      <xdr:colOff>158347</xdr:colOff>
      <xdr:row>214</xdr:row>
      <xdr:rowOff>82826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6668" y="61347626"/>
          <a:ext cx="3663549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265042</xdr:colOff>
      <xdr:row>219</xdr:row>
      <xdr:rowOff>49694</xdr:rowOff>
    </xdr:from>
    <xdr:to>
      <xdr:col>5</xdr:col>
      <xdr:colOff>1358347</xdr:colOff>
      <xdr:row>222</xdr:row>
      <xdr:rowOff>198782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2" y="65101303"/>
          <a:ext cx="1093305" cy="1093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389282</xdr:colOff>
      <xdr:row>229</xdr:row>
      <xdr:rowOff>198783</xdr:rowOff>
    </xdr:from>
    <xdr:to>
      <xdr:col>5</xdr:col>
      <xdr:colOff>1419690</xdr:colOff>
      <xdr:row>234</xdr:row>
      <xdr:rowOff>41413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543" y="68248696"/>
          <a:ext cx="1726147" cy="1416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</xdr:colOff>
      <xdr:row>240</xdr:row>
      <xdr:rowOff>46796</xdr:rowOff>
    </xdr:from>
    <xdr:to>
      <xdr:col>5</xdr:col>
      <xdr:colOff>1631673</xdr:colOff>
      <xdr:row>245</xdr:row>
      <xdr:rowOff>88646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473" y="71409753"/>
          <a:ext cx="1600200" cy="1615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263386</xdr:colOff>
      <xdr:row>251</xdr:row>
      <xdr:rowOff>266286</xdr:rowOff>
    </xdr:from>
    <xdr:to>
      <xdr:col>5</xdr:col>
      <xdr:colOff>1366630</xdr:colOff>
      <xdr:row>255</xdr:row>
      <xdr:rowOff>121149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1386" y="74942286"/>
          <a:ext cx="1103244" cy="111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97733</xdr:colOff>
      <xdr:row>261</xdr:row>
      <xdr:rowOff>48866</xdr:rowOff>
    </xdr:from>
    <xdr:to>
      <xdr:col>9</xdr:col>
      <xdr:colOff>352261</xdr:colOff>
      <xdr:row>269</xdr:row>
      <xdr:rowOff>223630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929" y="77723170"/>
          <a:ext cx="4760267" cy="26926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578124</xdr:colOff>
      <xdr:row>272</xdr:row>
      <xdr:rowOff>144530</xdr:rowOff>
    </xdr:from>
    <xdr:to>
      <xdr:col>7</xdr:col>
      <xdr:colOff>107672</xdr:colOff>
      <xdr:row>280</xdr:row>
      <xdr:rowOff>230782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385" y="81131878"/>
          <a:ext cx="2594113" cy="2604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422413</xdr:colOff>
      <xdr:row>8</xdr:row>
      <xdr:rowOff>115957</xdr:rowOff>
    </xdr:from>
    <xdr:to>
      <xdr:col>6</xdr:col>
      <xdr:colOff>99392</xdr:colOff>
      <xdr:row>16</xdr:row>
      <xdr:rowOff>187045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3" y="1590261"/>
          <a:ext cx="1656522" cy="2589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193" zoomScale="115" zoomScaleNormal="100" zoomScaleSheetLayoutView="115" workbookViewId="0">
      <selection activeCell="Q9" sqref="Q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ABPL-DE-19.20-2206</v>
      </c>
      <c r="O2" s="537"/>
      <c r="P2" s="219" t="s">
        <v>256</v>
      </c>
    </row>
    <row r="3" spans="2:16">
      <c r="B3" s="218"/>
      <c r="C3" s="536" t="s">
        <v>126</v>
      </c>
      <c r="D3" s="536"/>
      <c r="E3" s="536"/>
      <c r="F3" s="537" t="str">
        <f>QUOTATION!F7</f>
        <v>Mr. Manu Wassan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43736</v>
      </c>
      <c r="O3" s="544"/>
      <c r="P3" s="219" t="s">
        <v>255</v>
      </c>
    </row>
    <row r="4" spans="2:16">
      <c r="B4" s="218"/>
      <c r="C4" s="536" t="s">
        <v>127</v>
      </c>
      <c r="D4" s="536"/>
      <c r="E4" s="536"/>
      <c r="F4" s="285" t="str">
        <f>QUOTATION!F8</f>
        <v>Chennai</v>
      </c>
      <c r="G4" s="536"/>
      <c r="H4" s="536"/>
      <c r="I4" s="538" t="s">
        <v>179</v>
      </c>
      <c r="J4" s="538"/>
      <c r="K4" s="537" t="str">
        <f>QUOTATION!I8</f>
        <v>2.5Kpa</v>
      </c>
      <c r="L4" s="537"/>
      <c r="M4" s="284" t="s">
        <v>105</v>
      </c>
      <c r="N4" s="286" t="str">
        <f>QUOTATION!M8</f>
        <v>R0</v>
      </c>
      <c r="O4" s="287">
        <f>QUOTATION!N8</f>
        <v>43736</v>
      </c>
    </row>
    <row r="5" spans="2:16">
      <c r="B5" s="218"/>
      <c r="C5" s="536" t="s">
        <v>168</v>
      </c>
      <c r="D5" s="536"/>
      <c r="E5" s="536"/>
      <c r="F5" s="537" t="str">
        <f>QUOTATION!F9</f>
        <v>Mr. Raju Savasi : 9840355091</v>
      </c>
      <c r="G5" s="537"/>
      <c r="H5" s="537"/>
      <c r="I5" s="537"/>
      <c r="J5" s="537"/>
      <c r="K5" s="537"/>
      <c r="L5" s="537"/>
      <c r="M5" s="284" t="s">
        <v>178</v>
      </c>
      <c r="N5" s="537" t="str">
        <f>QUOTATION!M9</f>
        <v>Pradeep</v>
      </c>
      <c r="O5" s="537"/>
    </row>
    <row r="6" spans="2:16">
      <c r="B6" s="218"/>
      <c r="C6" s="536" t="s">
        <v>176</v>
      </c>
      <c r="D6" s="536"/>
      <c r="E6" s="536"/>
      <c r="F6" s="285" t="str">
        <f>QUOTATION!F10</f>
        <v>Wood Effect</v>
      </c>
      <c r="G6" s="536"/>
      <c r="H6" s="536"/>
      <c r="I6" s="538" t="s">
        <v>177</v>
      </c>
      <c r="J6" s="538"/>
      <c r="K6" s="537" t="str">
        <f>QUOTATION!I10</f>
        <v>Black</v>
      </c>
      <c r="L6" s="537"/>
      <c r="M6" s="320" t="s">
        <v>374</v>
      </c>
      <c r="N6" s="545">
        <f>'BD Team'!J5</f>
        <v>0</v>
      </c>
      <c r="O6" s="546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5" t="s">
        <v>253</v>
      </c>
      <c r="D8" s="536"/>
      <c r="E8" s="286" t="str">
        <f>'BD Team'!B9</f>
        <v>SD3</v>
      </c>
      <c r="F8" s="288" t="s">
        <v>254</v>
      </c>
      <c r="G8" s="537" t="str">
        <f>'BD Team'!D9</f>
        <v>POCKET DOOR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FF - TULSI BALCONY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246</v>
      </c>
      <c r="M10" s="536"/>
      <c r="N10" s="537" t="str">
        <f>$F$6</f>
        <v>Wood Effect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177</v>
      </c>
      <c r="M11" s="536"/>
      <c r="N11" s="537" t="str">
        <f>$K$6</f>
        <v>Black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247</v>
      </c>
      <c r="M12" s="536"/>
      <c r="N12" s="542" t="s">
        <v>255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248</v>
      </c>
      <c r="M13" s="536"/>
      <c r="N13" s="537" t="str">
        <f>CONCATENATE('BD Team'!H9," X ",'BD Team'!I9)</f>
        <v>1800 X 2400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249</v>
      </c>
      <c r="M14" s="536"/>
      <c r="N14" s="540">
        <f>'BD Team'!J9</f>
        <v>1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250</v>
      </c>
      <c r="M15" s="536"/>
      <c r="N15" s="537" t="str">
        <f>'BD Team'!C9</f>
        <v>M14600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251</v>
      </c>
      <c r="M16" s="536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252</v>
      </c>
      <c r="M17" s="536"/>
      <c r="N17" s="537" t="str">
        <f>'BD Team'!F9</f>
        <v>SS</v>
      </c>
      <c r="O17" s="537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253</v>
      </c>
      <c r="D19" s="536"/>
      <c r="E19" s="286" t="str">
        <f>'BD Team'!B10</f>
        <v>SD2</v>
      </c>
      <c r="F19" s="288" t="s">
        <v>254</v>
      </c>
      <c r="G19" s="537" t="str">
        <f>'BD Team'!D10</f>
        <v>3 TRACK 2 SHUTTER SLIDING DOOR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 t="str">
        <f>'BD Team'!G10</f>
        <v>AV ROOM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246</v>
      </c>
      <c r="M21" s="536"/>
      <c r="N21" s="537" t="str">
        <f>$F$6</f>
        <v>Wood Effect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177</v>
      </c>
      <c r="M22" s="536"/>
      <c r="N22" s="537" t="str">
        <f>$K$6</f>
        <v>Black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247</v>
      </c>
      <c r="M23" s="536"/>
      <c r="N23" s="539" t="s">
        <v>255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248</v>
      </c>
      <c r="M24" s="536"/>
      <c r="N24" s="537" t="str">
        <f>CONCATENATE('BD Team'!H10," X ",'BD Team'!I10)</f>
        <v>1890 X 2400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249</v>
      </c>
      <c r="M25" s="536"/>
      <c r="N25" s="540">
        <f>'BD Team'!J10</f>
        <v>1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250</v>
      </c>
      <c r="M26" s="536"/>
      <c r="N26" s="537" t="str">
        <f>'BD Team'!C10</f>
        <v>M14600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251</v>
      </c>
      <c r="M27" s="536"/>
      <c r="N27" s="537" t="str">
        <f>'BD Team'!E10</f>
        <v>24MM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252</v>
      </c>
      <c r="M28" s="536"/>
      <c r="N28" s="537" t="str">
        <f>'BD Team'!F10</f>
        <v>SS</v>
      </c>
      <c r="O28" s="537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253</v>
      </c>
      <c r="D30" s="536"/>
      <c r="E30" s="286" t="str">
        <f>'BD Team'!B11</f>
        <v>FD1</v>
      </c>
      <c r="F30" s="288" t="s">
        <v>254</v>
      </c>
      <c r="G30" s="537" t="str">
        <f>'BD Team'!D11</f>
        <v>3 TRACK 2 SHUTTER SLIDING DOOR WITH 2 FIXED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 t="str">
        <f>'BD Team'!G11</f>
        <v>LIVING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246</v>
      </c>
      <c r="M32" s="536"/>
      <c r="N32" s="537" t="str">
        <f>$F$6</f>
        <v>Wood Effect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177</v>
      </c>
      <c r="M33" s="536"/>
      <c r="N33" s="537" t="str">
        <f>$K$6</f>
        <v>Black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247</v>
      </c>
      <c r="M34" s="536"/>
      <c r="N34" s="539" t="s">
        <v>255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248</v>
      </c>
      <c r="M35" s="536"/>
      <c r="N35" s="537" t="str">
        <f>CONCATENATE('BD Team'!H11," X ",'BD Team'!I11)</f>
        <v>4850 X 2400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249</v>
      </c>
      <c r="M36" s="536"/>
      <c r="N36" s="540">
        <f>'BD Team'!J11</f>
        <v>1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250</v>
      </c>
      <c r="M37" s="536"/>
      <c r="N37" s="537" t="str">
        <f>'BD Team'!C11</f>
        <v>M14600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251</v>
      </c>
      <c r="M38" s="536"/>
      <c r="N38" s="537" t="str">
        <f>'BD Team'!E11</f>
        <v>24MM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252</v>
      </c>
      <c r="M39" s="536"/>
      <c r="N39" s="537" t="str">
        <f>'BD Team'!F11</f>
        <v>SS</v>
      </c>
      <c r="O39" s="537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5" t="s">
        <v>253</v>
      </c>
      <c r="D41" s="536"/>
      <c r="E41" s="286" t="str">
        <f>'BD Team'!B12</f>
        <v>FD3</v>
      </c>
      <c r="F41" s="288" t="s">
        <v>254</v>
      </c>
      <c r="G41" s="537" t="str">
        <f>'BD Team'!D12</f>
        <v>2 SIDE HUNG DOORS WITH CENTER FIXED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 t="str">
        <f>'BD Team'!G12</f>
        <v>DINING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246</v>
      </c>
      <c r="M43" s="536"/>
      <c r="N43" s="537" t="str">
        <f>$F$6</f>
        <v>Wood Effect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177</v>
      </c>
      <c r="M44" s="536"/>
      <c r="N44" s="537" t="str">
        <f>$K$6</f>
        <v>Black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247</v>
      </c>
      <c r="M45" s="536"/>
      <c r="N45" s="539" t="s">
        <v>255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248</v>
      </c>
      <c r="M46" s="536"/>
      <c r="N46" s="537" t="str">
        <f>CONCATENATE('BD Team'!H12," X ",'BD Team'!I12)</f>
        <v>3000 X 2200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249</v>
      </c>
      <c r="M47" s="536"/>
      <c r="N47" s="540">
        <f>'BD Team'!J12</f>
        <v>1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250</v>
      </c>
      <c r="M48" s="536"/>
      <c r="N48" s="537" t="str">
        <f>'BD Team'!C12</f>
        <v>M15000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251</v>
      </c>
      <c r="M49" s="536"/>
      <c r="N49" s="537" t="str">
        <f>'BD Team'!E12</f>
        <v>24MM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252</v>
      </c>
      <c r="M50" s="536"/>
      <c r="N50" s="537" t="str">
        <f>'BD Team'!F12</f>
        <v>RETRACTABLE</v>
      </c>
      <c r="O50" s="537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35" t="s">
        <v>253</v>
      </c>
      <c r="D52" s="536"/>
      <c r="E52" s="286" t="str">
        <f>'BD Team'!B13</f>
        <v>FD2</v>
      </c>
      <c r="F52" s="288" t="s">
        <v>254</v>
      </c>
      <c r="G52" s="537" t="str">
        <f>'BD Team'!D13</f>
        <v>FIXED GLASS 6 NO'S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 t="str">
        <f>'BD Team'!G13</f>
        <v>LIVING</v>
      </c>
      <c r="O53" s="539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246</v>
      </c>
      <c r="M54" s="536"/>
      <c r="N54" s="537" t="str">
        <f>$F$6</f>
        <v>Wood Effect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177</v>
      </c>
      <c r="M55" s="536"/>
      <c r="N55" s="537" t="str">
        <f>$K$6</f>
        <v>Black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247</v>
      </c>
      <c r="M56" s="536"/>
      <c r="N56" s="539" t="s">
        <v>255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248</v>
      </c>
      <c r="M57" s="536"/>
      <c r="N57" s="537" t="str">
        <f>CONCATENATE('BD Team'!H13," X ",'BD Team'!I13)</f>
        <v>4850 X 1900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249</v>
      </c>
      <c r="M58" s="536"/>
      <c r="N58" s="540">
        <f>'BD Team'!J13</f>
        <v>1</v>
      </c>
      <c r="O58" s="540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250</v>
      </c>
      <c r="M59" s="536"/>
      <c r="N59" s="537" t="str">
        <f>'BD Team'!C13</f>
        <v>M15000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251</v>
      </c>
      <c r="M60" s="536"/>
      <c r="N60" s="537" t="str">
        <f>'BD Team'!E13</f>
        <v>24MM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252</v>
      </c>
      <c r="M61" s="536"/>
      <c r="N61" s="537" t="str">
        <f>'BD Team'!F13</f>
        <v>NO</v>
      </c>
      <c r="O61" s="537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35" t="s">
        <v>253</v>
      </c>
      <c r="D63" s="536"/>
      <c r="E63" s="286" t="str">
        <f>'BD Team'!B14</f>
        <v>W1</v>
      </c>
      <c r="F63" s="288" t="s">
        <v>254</v>
      </c>
      <c r="G63" s="537" t="str">
        <f>'BD Team'!D14</f>
        <v>SIDE HUNG WINDOW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 t="str">
        <f>'BD Team'!G14</f>
        <v>MASTER BEDROOM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246</v>
      </c>
      <c r="M65" s="536"/>
      <c r="N65" s="537" t="str">
        <f>$F$6</f>
        <v>Wood Effect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177</v>
      </c>
      <c r="M66" s="536"/>
      <c r="N66" s="537" t="str">
        <f>$K$6</f>
        <v>Black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247</v>
      </c>
      <c r="M67" s="536"/>
      <c r="N67" s="539" t="s">
        <v>255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248</v>
      </c>
      <c r="M68" s="536"/>
      <c r="N68" s="537" t="str">
        <f>CONCATENATE('BD Team'!H14," X ",'BD Team'!I14)</f>
        <v>800 X 1600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249</v>
      </c>
      <c r="M69" s="536"/>
      <c r="N69" s="540">
        <f>'BD Team'!J14</f>
        <v>1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250</v>
      </c>
      <c r="M70" s="536"/>
      <c r="N70" s="537" t="str">
        <f>'BD Team'!C14</f>
        <v>M15000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251</v>
      </c>
      <c r="M71" s="536"/>
      <c r="N71" s="537" t="str">
        <f>'BD Team'!E14</f>
        <v>24MM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252</v>
      </c>
      <c r="M72" s="536"/>
      <c r="N72" s="537" t="str">
        <f>'BD Team'!F14</f>
        <v>RETRACTABLE</v>
      </c>
      <c r="O72" s="537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5" t="s">
        <v>253</v>
      </c>
      <c r="D74" s="536"/>
      <c r="E74" s="286" t="str">
        <f>'BD Team'!B15</f>
        <v>W2</v>
      </c>
      <c r="F74" s="288" t="s">
        <v>254</v>
      </c>
      <c r="G74" s="537" t="str">
        <f>'BD Team'!D15</f>
        <v>FRENCH CASEMENT WINDOW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 t="str">
        <f>'BD Team'!G15</f>
        <v>DEN, BEDROOM &amp; AV ROOM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246</v>
      </c>
      <c r="M76" s="536"/>
      <c r="N76" s="537" t="str">
        <f>$F$6</f>
        <v>Wood Effect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177</v>
      </c>
      <c r="M77" s="536"/>
      <c r="N77" s="537" t="str">
        <f>$K$6</f>
        <v>Black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247</v>
      </c>
      <c r="M78" s="536"/>
      <c r="N78" s="539" t="s">
        <v>255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248</v>
      </c>
      <c r="M79" s="536"/>
      <c r="N79" s="537" t="str">
        <f>CONCATENATE('BD Team'!H15," X ",'BD Team'!I15)</f>
        <v>1600 X 1600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249</v>
      </c>
      <c r="M80" s="536"/>
      <c r="N80" s="540">
        <f>'BD Team'!J15</f>
        <v>5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250</v>
      </c>
      <c r="M81" s="536"/>
      <c r="N81" s="537" t="str">
        <f>'BD Team'!C15</f>
        <v>M15000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251</v>
      </c>
      <c r="M82" s="536"/>
      <c r="N82" s="537" t="str">
        <f>'BD Team'!E15</f>
        <v>24MM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252</v>
      </c>
      <c r="M83" s="536"/>
      <c r="N83" s="537" t="str">
        <f>'BD Team'!F15</f>
        <v>RETRACTABLE</v>
      </c>
      <c r="O83" s="537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5" t="s">
        <v>253</v>
      </c>
      <c r="D85" s="536"/>
      <c r="E85" s="286" t="str">
        <f>'BD Team'!B16</f>
        <v>W3</v>
      </c>
      <c r="F85" s="288" t="s">
        <v>254</v>
      </c>
      <c r="G85" s="537" t="str">
        <f>'BD Team'!D16</f>
        <v>FRENCH CASEMENT WINDOW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 t="str">
        <f>'BD Team'!G16</f>
        <v>STUDY, ANTI SPACE, LOUNGE, DRESS &amp; MASSAGE ROOM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246</v>
      </c>
      <c r="M87" s="536"/>
      <c r="N87" s="537" t="str">
        <f>$F$6</f>
        <v>Wood Effect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177</v>
      </c>
      <c r="M88" s="536"/>
      <c r="N88" s="537" t="str">
        <f>$K$6</f>
        <v>Black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247</v>
      </c>
      <c r="M89" s="536"/>
      <c r="N89" s="539" t="s">
        <v>255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248</v>
      </c>
      <c r="M90" s="536"/>
      <c r="N90" s="537" t="str">
        <f>CONCATENATE('BD Team'!H16," X ",'BD Team'!I16)</f>
        <v>1200 X 1600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249</v>
      </c>
      <c r="M91" s="536"/>
      <c r="N91" s="540">
        <f>'BD Team'!J16</f>
        <v>7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250</v>
      </c>
      <c r="M92" s="536"/>
      <c r="N92" s="537" t="str">
        <f>'BD Team'!C16</f>
        <v>M15000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251</v>
      </c>
      <c r="M93" s="536"/>
      <c r="N93" s="537" t="str">
        <f>'BD Team'!E16</f>
        <v>24MM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252</v>
      </c>
      <c r="M94" s="536"/>
      <c r="N94" s="537" t="str">
        <f>'BD Team'!F16</f>
        <v>RETRACTABLE</v>
      </c>
      <c r="O94" s="537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5" t="s">
        <v>253</v>
      </c>
      <c r="D96" s="536"/>
      <c r="E96" s="286" t="str">
        <f>'BD Team'!B17</f>
        <v>FW1</v>
      </c>
      <c r="F96" s="288" t="s">
        <v>254</v>
      </c>
      <c r="G96" s="537" t="str">
        <f>'BD Team'!D17</f>
        <v>FIXED GLASS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 t="str">
        <f>'BD Team'!G17</f>
        <v>FLOOR LOBBY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246</v>
      </c>
      <c r="M98" s="536"/>
      <c r="N98" s="537" t="str">
        <f>$F$6</f>
        <v>Wood Effect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177</v>
      </c>
      <c r="M99" s="536"/>
      <c r="N99" s="537" t="str">
        <f>$K$6</f>
        <v>Black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247</v>
      </c>
      <c r="M100" s="536"/>
      <c r="N100" s="539" t="s">
        <v>255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248</v>
      </c>
      <c r="M101" s="536"/>
      <c r="N101" s="537" t="str">
        <f>CONCATENATE('BD Team'!H17," X ",'BD Team'!I17)</f>
        <v>1200 X 2200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249</v>
      </c>
      <c r="M102" s="536"/>
      <c r="N102" s="540">
        <f>'BD Team'!J17</f>
        <v>1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250</v>
      </c>
      <c r="M103" s="536"/>
      <c r="N103" s="537" t="str">
        <f>'BD Team'!C17</f>
        <v>M15000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251</v>
      </c>
      <c r="M104" s="536"/>
      <c r="N104" s="537" t="str">
        <f>'BD Team'!E17</f>
        <v>24MM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252</v>
      </c>
      <c r="M105" s="536"/>
      <c r="N105" s="537" t="str">
        <f>'BD Team'!F17</f>
        <v>NO</v>
      </c>
      <c r="O105" s="537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5" t="s">
        <v>253</v>
      </c>
      <c r="D107" s="536"/>
      <c r="E107" s="286" t="str">
        <f>'BD Team'!B18</f>
        <v>W4</v>
      </c>
      <c r="F107" s="288" t="s">
        <v>254</v>
      </c>
      <c r="G107" s="537" t="str">
        <f>'BD Team'!D18</f>
        <v>2 FRENCH CASEMENT WINDOW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 t="str">
        <f>'BD Team'!G18</f>
        <v>BED ROOM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246</v>
      </c>
      <c r="M109" s="536"/>
      <c r="N109" s="537" t="str">
        <f>$F$6</f>
        <v>Wood Effect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177</v>
      </c>
      <c r="M110" s="536"/>
      <c r="N110" s="537" t="str">
        <f>$K$6</f>
        <v>Black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247</v>
      </c>
      <c r="M111" s="536"/>
      <c r="N111" s="539" t="s">
        <v>255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248</v>
      </c>
      <c r="M112" s="536"/>
      <c r="N112" s="537" t="str">
        <f>CONCATENATE('BD Team'!H18," X ",'BD Team'!I18)</f>
        <v>2400 X 1600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249</v>
      </c>
      <c r="M113" s="536"/>
      <c r="N113" s="540">
        <f>'BD Team'!J18</f>
        <v>1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250</v>
      </c>
      <c r="M114" s="536"/>
      <c r="N114" s="537" t="str">
        <f>'BD Team'!C18</f>
        <v>M15000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251</v>
      </c>
      <c r="M115" s="536"/>
      <c r="N115" s="537" t="str">
        <f>'BD Team'!E18</f>
        <v>24MM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252</v>
      </c>
      <c r="M116" s="536"/>
      <c r="N116" s="537" t="str">
        <f>'BD Team'!F18</f>
        <v>RETRACTABLE</v>
      </c>
      <c r="O116" s="537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5" t="s">
        <v>253</v>
      </c>
      <c r="D118" s="536"/>
      <c r="E118" s="286" t="str">
        <f>'BD Team'!B19</f>
        <v>W5</v>
      </c>
      <c r="F118" s="288" t="s">
        <v>254</v>
      </c>
      <c r="G118" s="537" t="str">
        <f>'BD Team'!D19</f>
        <v>FRENCH CASEMENT WINDOW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 t="str">
        <f>'BD Team'!G19</f>
        <v>DRESS, MASTER BEDROOM &amp; TERRACE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246</v>
      </c>
      <c r="M120" s="536"/>
      <c r="N120" s="537" t="str">
        <f>$F$6</f>
        <v>Wood Effect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177</v>
      </c>
      <c r="M121" s="536"/>
      <c r="N121" s="537" t="str">
        <f>$K$6</f>
        <v>Black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247</v>
      </c>
      <c r="M122" s="536"/>
      <c r="N122" s="539" t="s">
        <v>255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248</v>
      </c>
      <c r="M123" s="536"/>
      <c r="N123" s="537" t="str">
        <f>CONCATENATE('BD Team'!H19," X ",'BD Team'!I19)</f>
        <v>1000 X 1600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249</v>
      </c>
      <c r="M124" s="536"/>
      <c r="N124" s="540">
        <f>'BD Team'!J19</f>
        <v>4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250</v>
      </c>
      <c r="M125" s="536"/>
      <c r="N125" s="537" t="str">
        <f>'BD Team'!C19</f>
        <v>M15000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251</v>
      </c>
      <c r="M126" s="536"/>
      <c r="N126" s="537" t="str">
        <f>'BD Team'!E19</f>
        <v>24MM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252</v>
      </c>
      <c r="M127" s="536"/>
      <c r="N127" s="537" t="str">
        <f>'BD Team'!F19</f>
        <v>RETRACTABLE</v>
      </c>
      <c r="O127" s="537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5" t="s">
        <v>253</v>
      </c>
      <c r="D129" s="536"/>
      <c r="E129" s="286" t="str">
        <f>'BD Team'!B20</f>
        <v>W6</v>
      </c>
      <c r="F129" s="288" t="s">
        <v>254</v>
      </c>
      <c r="G129" s="537" t="str">
        <f>'BD Team'!D20</f>
        <v>FRENCH CASEMENT WINDOW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 t="str">
        <f>'BD Team'!G20</f>
        <v>BEDROOM &amp; LAUNDRY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246</v>
      </c>
      <c r="M131" s="536"/>
      <c r="N131" s="537" t="str">
        <f>$F$6</f>
        <v>Wood Effect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177</v>
      </c>
      <c r="M132" s="536"/>
      <c r="N132" s="537" t="str">
        <f>$K$6</f>
        <v>Black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247</v>
      </c>
      <c r="M133" s="536"/>
      <c r="N133" s="539" t="s">
        <v>255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248</v>
      </c>
      <c r="M134" s="536"/>
      <c r="N134" s="537" t="str">
        <f>CONCATENATE('BD Team'!H20," X ",'BD Team'!I20)</f>
        <v>1500 X 1600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249</v>
      </c>
      <c r="M135" s="536"/>
      <c r="N135" s="540">
        <f>'BD Team'!J20</f>
        <v>3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250</v>
      </c>
      <c r="M136" s="536"/>
      <c r="N136" s="537" t="str">
        <f>'BD Team'!C20</f>
        <v>M15000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251</v>
      </c>
      <c r="M137" s="536"/>
      <c r="N137" s="537" t="str">
        <f>'BD Team'!E20</f>
        <v>24MM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252</v>
      </c>
      <c r="M138" s="536"/>
      <c r="N138" s="537" t="str">
        <f>'BD Team'!F20</f>
        <v>RETRACTABLE</v>
      </c>
      <c r="O138" s="537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5" t="s">
        <v>253</v>
      </c>
      <c r="D140" s="536"/>
      <c r="E140" s="286" t="str">
        <f>'BD Team'!B21</f>
        <v>FG</v>
      </c>
      <c r="F140" s="288" t="s">
        <v>254</v>
      </c>
      <c r="G140" s="537" t="str">
        <f>'BD Team'!D21</f>
        <v>SIDE HUNG WINDOW WITH BOTTOM FIXED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 t="str">
        <f>'BD Team'!G21</f>
        <v>DOUBLE HEIGHT AREA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246</v>
      </c>
      <c r="M142" s="536"/>
      <c r="N142" s="537" t="str">
        <f>$F$6</f>
        <v>Wood Effect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177</v>
      </c>
      <c r="M143" s="536"/>
      <c r="N143" s="537" t="str">
        <f>$K$6</f>
        <v>Black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247</v>
      </c>
      <c r="M144" s="536"/>
      <c r="N144" s="539" t="s">
        <v>255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248</v>
      </c>
      <c r="M145" s="536"/>
      <c r="N145" s="537" t="str">
        <f>CONCATENATE('BD Team'!H21," X ",'BD Team'!I21)</f>
        <v>1100 X 2860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249</v>
      </c>
      <c r="M146" s="536"/>
      <c r="N146" s="540">
        <f>'BD Team'!J21</f>
        <v>4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250</v>
      </c>
      <c r="M147" s="536"/>
      <c r="N147" s="537" t="str">
        <f>'BD Team'!C21</f>
        <v>M15000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251</v>
      </c>
      <c r="M148" s="536"/>
      <c r="N148" s="537" t="str">
        <f>'BD Team'!E21</f>
        <v>24MM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252</v>
      </c>
      <c r="M149" s="536"/>
      <c r="N149" s="537" t="str">
        <f>'BD Team'!F21</f>
        <v>RETRACTABLE</v>
      </c>
      <c r="O149" s="537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5" t="s">
        <v>253</v>
      </c>
      <c r="D151" s="536"/>
      <c r="E151" s="286" t="str">
        <f>'BD Team'!B22</f>
        <v>SW</v>
      </c>
      <c r="F151" s="288" t="s">
        <v>254</v>
      </c>
      <c r="G151" s="537" t="str">
        <f>'BD Team'!D22</f>
        <v>FRENCH CASEMENT WINDOW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 t="str">
        <f>'BD Team'!G22</f>
        <v>SERVANT ROOM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246</v>
      </c>
      <c r="M153" s="536"/>
      <c r="N153" s="537" t="str">
        <f>$F$6</f>
        <v>Wood Effect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177</v>
      </c>
      <c r="M154" s="536"/>
      <c r="N154" s="537" t="str">
        <f>$K$6</f>
        <v>Black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247</v>
      </c>
      <c r="M155" s="536"/>
      <c r="N155" s="539" t="s">
        <v>255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248</v>
      </c>
      <c r="M156" s="536"/>
      <c r="N156" s="537" t="str">
        <f>CONCATENATE('BD Team'!H22," X ",'BD Team'!I22)</f>
        <v>1200 X 1200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249</v>
      </c>
      <c r="M157" s="536"/>
      <c r="N157" s="540">
        <f>'BD Team'!J22</f>
        <v>1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250</v>
      </c>
      <c r="M158" s="536"/>
      <c r="N158" s="537" t="str">
        <f>'BD Team'!C22</f>
        <v>M15000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251</v>
      </c>
      <c r="M159" s="536"/>
      <c r="N159" s="537" t="str">
        <f>'BD Team'!E22</f>
        <v>24MM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252</v>
      </c>
      <c r="M160" s="536"/>
      <c r="N160" s="537" t="str">
        <f>'BD Team'!F22</f>
        <v>RETRACTABLE</v>
      </c>
      <c r="O160" s="537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5" t="s">
        <v>253</v>
      </c>
      <c r="D162" s="536"/>
      <c r="E162" s="286" t="str">
        <f>'BD Team'!B23</f>
        <v>FD4</v>
      </c>
      <c r="F162" s="288" t="s">
        <v>254</v>
      </c>
      <c r="G162" s="537" t="str">
        <f>'BD Team'!D23</f>
        <v>2 SIDE HUNG DOORS WITH CENTER FIXED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 t="str">
        <f>'BD Team'!G23</f>
        <v>MASTER BEDROOM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246</v>
      </c>
      <c r="M164" s="536"/>
      <c r="N164" s="537" t="str">
        <f>$F$6</f>
        <v>Wood Effect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177</v>
      </c>
      <c r="M165" s="536"/>
      <c r="N165" s="537" t="str">
        <f>$K$6</f>
        <v>Black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247</v>
      </c>
      <c r="M166" s="536"/>
      <c r="N166" s="539" t="s">
        <v>255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248</v>
      </c>
      <c r="M167" s="536"/>
      <c r="N167" s="537" t="str">
        <f>CONCATENATE('BD Team'!H23," X ",'BD Team'!I23)</f>
        <v>4880 X 2200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249</v>
      </c>
      <c r="M168" s="536"/>
      <c r="N168" s="540">
        <f>'BD Team'!J23</f>
        <v>1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250</v>
      </c>
      <c r="M169" s="536"/>
      <c r="N169" s="537" t="str">
        <f>'BD Team'!C23</f>
        <v>M15000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251</v>
      </c>
      <c r="M170" s="536"/>
      <c r="N170" s="537" t="str">
        <f>'BD Team'!E23</f>
        <v>32MM &amp; 24MM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252</v>
      </c>
      <c r="M171" s="536"/>
      <c r="N171" s="537" t="str">
        <f>'BD Team'!F23</f>
        <v>RETRACTABLE</v>
      </c>
      <c r="O171" s="537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5" t="s">
        <v>253</v>
      </c>
      <c r="D173" s="536"/>
      <c r="E173" s="286" t="str">
        <f>'BD Team'!B24</f>
        <v>KW1</v>
      </c>
      <c r="F173" s="288" t="s">
        <v>254</v>
      </c>
      <c r="G173" s="537" t="str">
        <f>'BD Team'!D24</f>
        <v>FRENCH CASEMENT WINDOW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 t="str">
        <f>'BD Team'!G24</f>
        <v>KITCHEN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246</v>
      </c>
      <c r="M175" s="536"/>
      <c r="N175" s="537" t="str">
        <f>$F$6</f>
        <v>Wood Effect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177</v>
      </c>
      <c r="M176" s="536"/>
      <c r="N176" s="537" t="str">
        <f>$K$6</f>
        <v>Black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247</v>
      </c>
      <c r="M177" s="536"/>
      <c r="N177" s="539" t="s">
        <v>255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248</v>
      </c>
      <c r="M178" s="536"/>
      <c r="N178" s="537" t="str">
        <f>CONCATENATE('BD Team'!H24," X ",'BD Team'!I24)</f>
        <v>1000 X 1200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249</v>
      </c>
      <c r="M179" s="536"/>
      <c r="N179" s="540">
        <f>'BD Team'!J24</f>
        <v>2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250</v>
      </c>
      <c r="M180" s="536"/>
      <c r="N180" s="537" t="str">
        <f>'BD Team'!C24</f>
        <v>M15000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251</v>
      </c>
      <c r="M181" s="536"/>
      <c r="N181" s="537" t="str">
        <f>'BD Team'!E24</f>
        <v>24MM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252</v>
      </c>
      <c r="M182" s="536"/>
      <c r="N182" s="537" t="str">
        <f>'BD Team'!F24</f>
        <v>RETRACTABLE</v>
      </c>
      <c r="O182" s="537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5" t="s">
        <v>253</v>
      </c>
      <c r="D184" s="536"/>
      <c r="E184" s="286" t="str">
        <f>'BD Team'!B25</f>
        <v>KW2</v>
      </c>
      <c r="F184" s="288" t="s">
        <v>254</v>
      </c>
      <c r="G184" s="537" t="str">
        <f>'BD Team'!D25</f>
        <v>FRENCH CASEMENT WINDOW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 t="str">
        <f>'BD Team'!G25</f>
        <v>KITCHEN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246</v>
      </c>
      <c r="M186" s="536"/>
      <c r="N186" s="537" t="str">
        <f>$F$6</f>
        <v>Wood Effect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177</v>
      </c>
      <c r="M187" s="536"/>
      <c r="N187" s="537" t="str">
        <f>$K$6</f>
        <v>Black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247</v>
      </c>
      <c r="M188" s="536"/>
      <c r="N188" s="539" t="s">
        <v>255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248</v>
      </c>
      <c r="M189" s="536"/>
      <c r="N189" s="537" t="str">
        <f>CONCATENATE('BD Team'!H25," X ",'BD Team'!I25)</f>
        <v>1200 X 1200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249</v>
      </c>
      <c r="M190" s="536"/>
      <c r="N190" s="540">
        <f>'BD Team'!J25</f>
        <v>1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250</v>
      </c>
      <c r="M191" s="536"/>
      <c r="N191" s="537" t="str">
        <f>'BD Team'!C25</f>
        <v>M15000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251</v>
      </c>
      <c r="M192" s="536"/>
      <c r="N192" s="537" t="str">
        <f>'BD Team'!E25</f>
        <v>24MM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252</v>
      </c>
      <c r="M193" s="536"/>
      <c r="N193" s="537" t="str">
        <f>'BD Team'!F25</f>
        <v>RETRACTABLE</v>
      </c>
      <c r="O193" s="537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5" t="s">
        <v>253</v>
      </c>
      <c r="D195" s="536"/>
      <c r="E195" s="286" t="str">
        <f>'BD Team'!B26</f>
        <v>GW</v>
      </c>
      <c r="F195" s="288" t="s">
        <v>254</v>
      </c>
      <c r="G195" s="537" t="str">
        <f>'BD Team'!D26</f>
        <v>2 SIDE HUNG DOORS WITH CENTER FIXED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 t="str">
        <f>'BD Team'!G26</f>
        <v>GYM AREA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246</v>
      </c>
      <c r="M197" s="536"/>
      <c r="N197" s="537" t="str">
        <f>$F$6</f>
        <v>Wood Effect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177</v>
      </c>
      <c r="M198" s="536"/>
      <c r="N198" s="537" t="str">
        <f>$K$6</f>
        <v>Black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247</v>
      </c>
      <c r="M199" s="536"/>
      <c r="N199" s="539" t="s">
        <v>255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248</v>
      </c>
      <c r="M200" s="536"/>
      <c r="N200" s="537" t="str">
        <f>CONCATENATE('BD Team'!H26," X ",'BD Team'!I26)</f>
        <v>3000 X 1600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249</v>
      </c>
      <c r="M201" s="536"/>
      <c r="N201" s="540">
        <f>'BD Team'!J26</f>
        <v>2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250</v>
      </c>
      <c r="M202" s="536"/>
      <c r="N202" s="537" t="str">
        <f>'BD Team'!C26</f>
        <v>M15000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251</v>
      </c>
      <c r="M203" s="536"/>
      <c r="N203" s="537" t="str">
        <f>'BD Team'!E26</f>
        <v>24MM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252</v>
      </c>
      <c r="M204" s="536"/>
      <c r="N204" s="537" t="str">
        <f>'BD Team'!F26</f>
        <v>RETRACTABLE</v>
      </c>
      <c r="O204" s="537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5" t="s">
        <v>253</v>
      </c>
      <c r="D206" s="536"/>
      <c r="E206" s="286" t="str">
        <f>'BD Team'!B27</f>
        <v>CW</v>
      </c>
      <c r="F206" s="288" t="s">
        <v>254</v>
      </c>
      <c r="G206" s="537" t="str">
        <f>'BD Team'!D27</f>
        <v>2 SIDE HUNG DOORS WITH CORNOR FIXED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 t="str">
        <f>'BD Team'!G27</f>
        <v>BEDROOM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246</v>
      </c>
      <c r="M208" s="536"/>
      <c r="N208" s="537" t="str">
        <f>$F$6</f>
        <v>Wood Effect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177</v>
      </c>
      <c r="M209" s="536"/>
      <c r="N209" s="537" t="str">
        <f>$K$6</f>
        <v>Black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247</v>
      </c>
      <c r="M210" s="536"/>
      <c r="N210" s="539" t="s">
        <v>255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248</v>
      </c>
      <c r="M211" s="536"/>
      <c r="N211" s="537" t="str">
        <f>CONCATENATE('BD Team'!H27," X ",'BD Team'!I27)</f>
        <v>3220 X 1600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249</v>
      </c>
      <c r="M212" s="536"/>
      <c r="N212" s="540">
        <f>'BD Team'!J27</f>
        <v>2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250</v>
      </c>
      <c r="M213" s="536"/>
      <c r="N213" s="537" t="str">
        <f>'BD Team'!C27</f>
        <v>M15000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251</v>
      </c>
      <c r="M214" s="536"/>
      <c r="N214" s="537" t="str">
        <f>'BD Team'!E27</f>
        <v>24MM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252</v>
      </c>
      <c r="M215" s="536"/>
      <c r="N215" s="537" t="str">
        <f>'BD Team'!F27</f>
        <v>RETRACTABLE</v>
      </c>
      <c r="O215" s="537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5" t="s">
        <v>253</v>
      </c>
      <c r="D217" s="536"/>
      <c r="E217" s="286" t="str">
        <f>'BD Team'!B28</f>
        <v>SW1</v>
      </c>
      <c r="F217" s="288" t="s">
        <v>254</v>
      </c>
      <c r="G217" s="537" t="str">
        <f>'BD Team'!D28</f>
        <v>FIXED GLASS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 t="str">
        <f>'BD Team'!G28</f>
        <v>STAIRCASE CORE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246</v>
      </c>
      <c r="M219" s="536"/>
      <c r="N219" s="537" t="str">
        <f>$F$6</f>
        <v>Wood Effect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177</v>
      </c>
      <c r="M220" s="536"/>
      <c r="N220" s="537" t="str">
        <f>$K$6</f>
        <v>Black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247</v>
      </c>
      <c r="M221" s="536"/>
      <c r="N221" s="539" t="s">
        <v>255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248</v>
      </c>
      <c r="M222" s="536"/>
      <c r="N222" s="537" t="str">
        <f>CONCATENATE('BD Team'!H28," X ",'BD Team'!I28)</f>
        <v>500 X 500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249</v>
      </c>
      <c r="M223" s="536"/>
      <c r="N223" s="540">
        <f>'BD Team'!J28</f>
        <v>13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250</v>
      </c>
      <c r="M224" s="536"/>
      <c r="N224" s="537" t="str">
        <f>'BD Team'!C28</f>
        <v>M15000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251</v>
      </c>
      <c r="M225" s="536"/>
      <c r="N225" s="537" t="str">
        <f>'BD Team'!E28</f>
        <v>24MM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252</v>
      </c>
      <c r="M226" s="536"/>
      <c r="N226" s="537" t="str">
        <f>'BD Team'!F28</f>
        <v>NO</v>
      </c>
      <c r="O226" s="537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5" t="s">
        <v>253</v>
      </c>
      <c r="D228" s="536"/>
      <c r="E228" s="286" t="str">
        <f>'BD Team'!B29</f>
        <v>V1</v>
      </c>
      <c r="F228" s="288" t="s">
        <v>254</v>
      </c>
      <c r="G228" s="537" t="str">
        <f>'BD Team'!D29</f>
        <v>TOP HUNG WINDOW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 t="str">
        <f>'BD Team'!G29</f>
        <v>BATH &amp; BOX ROOM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246</v>
      </c>
      <c r="M230" s="536"/>
      <c r="N230" s="537" t="str">
        <f>$F$6</f>
        <v>Wood Effect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177</v>
      </c>
      <c r="M231" s="536"/>
      <c r="N231" s="537" t="str">
        <f>$K$6</f>
        <v>Black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247</v>
      </c>
      <c r="M232" s="536"/>
      <c r="N232" s="539" t="s">
        <v>255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248</v>
      </c>
      <c r="M233" s="536"/>
      <c r="N233" s="537" t="str">
        <f>CONCATENATE('BD Team'!H29," X ",'BD Team'!I29)</f>
        <v>800 X 600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249</v>
      </c>
      <c r="M234" s="536"/>
      <c r="N234" s="540">
        <f>'BD Team'!J29</f>
        <v>5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250</v>
      </c>
      <c r="M235" s="536"/>
      <c r="N235" s="537" t="str">
        <f>'BD Team'!C29</f>
        <v>M15000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251</v>
      </c>
      <c r="M236" s="536"/>
      <c r="N236" s="537" t="str">
        <f>'BD Team'!E29</f>
        <v>24MM (F)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252</v>
      </c>
      <c r="M237" s="536"/>
      <c r="N237" s="537" t="str">
        <f>'BD Team'!F29</f>
        <v>NO</v>
      </c>
      <c r="O237" s="537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5" t="s">
        <v>253</v>
      </c>
      <c r="D239" s="536"/>
      <c r="E239" s="286" t="str">
        <f>'BD Team'!B30</f>
        <v>V2</v>
      </c>
      <c r="F239" s="288" t="s">
        <v>254</v>
      </c>
      <c r="G239" s="537" t="str">
        <f>'BD Team'!D30</f>
        <v>TOP HUNG WINDOW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 t="str">
        <f>'BD Team'!G30</f>
        <v>BATH &amp; PUMP ROOM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246</v>
      </c>
      <c r="M241" s="536"/>
      <c r="N241" s="537" t="str">
        <f>$F$6</f>
        <v>Wood Effect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177</v>
      </c>
      <c r="M242" s="536"/>
      <c r="N242" s="537" t="str">
        <f>$K$6</f>
        <v>Black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247</v>
      </c>
      <c r="M243" s="536"/>
      <c r="N243" s="539" t="s">
        <v>255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248</v>
      </c>
      <c r="M244" s="536"/>
      <c r="N244" s="537" t="str">
        <f>CONCATENATE('BD Team'!H30," X ",'BD Team'!I30)</f>
        <v>600 X 600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249</v>
      </c>
      <c r="M245" s="536"/>
      <c r="N245" s="540">
        <f>'BD Team'!J30</f>
        <v>3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250</v>
      </c>
      <c r="M246" s="536"/>
      <c r="N246" s="537" t="str">
        <f>'BD Team'!C30</f>
        <v>M15000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251</v>
      </c>
      <c r="M247" s="536"/>
      <c r="N247" s="537" t="str">
        <f>'BD Team'!E30</f>
        <v>24MM (F)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252</v>
      </c>
      <c r="M248" s="536"/>
      <c r="N248" s="537" t="str">
        <f>'BD Team'!F30</f>
        <v>NO</v>
      </c>
      <c r="O248" s="537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5" t="s">
        <v>253</v>
      </c>
      <c r="D250" s="536"/>
      <c r="E250" s="286" t="str">
        <f>'BD Team'!B31</f>
        <v>FV</v>
      </c>
      <c r="F250" s="288" t="s">
        <v>254</v>
      </c>
      <c r="G250" s="537" t="str">
        <f>'BD Team'!D31</f>
        <v>FIXED GLASS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 t="str">
        <f>'BD Team'!G31</f>
        <v>POWDER BATH &amp; DRESS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246</v>
      </c>
      <c r="M252" s="536"/>
      <c r="N252" s="537" t="str">
        <f>$F$6</f>
        <v>Wood Effect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177</v>
      </c>
      <c r="M253" s="536"/>
      <c r="N253" s="537" t="str">
        <f>$K$6</f>
        <v>Black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247</v>
      </c>
      <c r="M254" s="536"/>
      <c r="N254" s="539" t="s">
        <v>255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248</v>
      </c>
      <c r="M255" s="536"/>
      <c r="N255" s="537" t="str">
        <f>CONCATENATE('BD Team'!H31," X ",'BD Team'!I31)</f>
        <v>600 X 600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249</v>
      </c>
      <c r="M256" s="536"/>
      <c r="N256" s="540">
        <f>'BD Team'!J31</f>
        <v>5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250</v>
      </c>
      <c r="M257" s="536"/>
      <c r="N257" s="537" t="str">
        <f>'BD Team'!C31</f>
        <v>M15000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251</v>
      </c>
      <c r="M258" s="536"/>
      <c r="N258" s="537" t="str">
        <f>'BD Team'!E31</f>
        <v>24MM (F)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252</v>
      </c>
      <c r="M259" s="536"/>
      <c r="N259" s="537" t="str">
        <f>'BD Team'!F31</f>
        <v>NO</v>
      </c>
      <c r="O259" s="537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5" t="s">
        <v>253</v>
      </c>
      <c r="D261" s="536"/>
      <c r="E261" s="286" t="str">
        <f>'BD Team'!B32</f>
        <v>FG1</v>
      </c>
      <c r="F261" s="288" t="s">
        <v>254</v>
      </c>
      <c r="G261" s="537" t="str">
        <f>'BD Team'!D32</f>
        <v>FIXED GLASS 6 NO'S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 t="str">
        <f>'BD Team'!G32</f>
        <v>BEDROOM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246</v>
      </c>
      <c r="M263" s="536"/>
      <c r="N263" s="537" t="str">
        <f>$F$6</f>
        <v>Wood Effect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177</v>
      </c>
      <c r="M264" s="536"/>
      <c r="N264" s="537" t="str">
        <f>$K$6</f>
        <v>Black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247</v>
      </c>
      <c r="M265" s="536"/>
      <c r="N265" s="539" t="s">
        <v>255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248</v>
      </c>
      <c r="M266" s="536"/>
      <c r="N266" s="537" t="str">
        <f>CONCATENATE('BD Team'!H32," X ",'BD Team'!I32)</f>
        <v>5580 X 2860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249</v>
      </c>
      <c r="M267" s="536"/>
      <c r="N267" s="540">
        <f>'BD Team'!J32</f>
        <v>1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250</v>
      </c>
      <c r="M268" s="536"/>
      <c r="N268" s="537" t="str">
        <f>'BD Team'!C32</f>
        <v>M15000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251</v>
      </c>
      <c r="M269" s="536"/>
      <c r="N269" s="537" t="str">
        <f>'BD Team'!E32</f>
        <v>24MM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252</v>
      </c>
      <c r="M270" s="536"/>
      <c r="N270" s="537" t="str">
        <f>'BD Team'!F32</f>
        <v>NO</v>
      </c>
      <c r="O270" s="537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5" t="s">
        <v>253</v>
      </c>
      <c r="D272" s="536"/>
      <c r="E272" s="286" t="str">
        <f>'BD Team'!B33</f>
        <v>PD</v>
      </c>
      <c r="F272" s="288" t="s">
        <v>254</v>
      </c>
      <c r="G272" s="537" t="str">
        <f>'BD Team'!D33</f>
        <v>FRENCH CASEMENT WINDOW IN SHAPE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 t="str">
        <f>'BD Team'!G33</f>
        <v>PANEL ROOM DOOR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246</v>
      </c>
      <c r="M274" s="536"/>
      <c r="N274" s="537" t="str">
        <f>$F$6</f>
        <v>Wood Effect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177</v>
      </c>
      <c r="M275" s="536"/>
      <c r="N275" s="537" t="str">
        <f>$K$6</f>
        <v>Black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247</v>
      </c>
      <c r="M276" s="536"/>
      <c r="N276" s="539" t="s">
        <v>255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248</v>
      </c>
      <c r="M277" s="536"/>
      <c r="N277" s="537" t="str">
        <f>CONCATENATE('BD Team'!H33," X ",'BD Team'!I33)</f>
        <v>1900 X 2130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249</v>
      </c>
      <c r="M278" s="536"/>
      <c r="N278" s="540">
        <f>'BD Team'!J33</f>
        <v>1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250</v>
      </c>
      <c r="M279" s="536"/>
      <c r="N279" s="537" t="str">
        <f>'BD Team'!C33</f>
        <v>M15000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251</v>
      </c>
      <c r="M280" s="536"/>
      <c r="N280" s="537" t="str">
        <f>'BD Team'!E33</f>
        <v>24MM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252</v>
      </c>
      <c r="M281" s="536"/>
      <c r="N281" s="537" t="str">
        <f>'BD Team'!F33</f>
        <v>NO</v>
      </c>
      <c r="O281" s="537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5" t="s">
        <v>253</v>
      </c>
      <c r="D283" s="536"/>
      <c r="E283" s="286">
        <f>'BD Team'!B34</f>
        <v>0</v>
      </c>
      <c r="F283" s="288" t="s">
        <v>254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>
        <f>'BD Team'!G34</f>
        <v>0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246</v>
      </c>
      <c r="M285" s="536"/>
      <c r="N285" s="537" t="str">
        <f>$F$6</f>
        <v>Wood Effect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177</v>
      </c>
      <c r="M286" s="536"/>
      <c r="N286" s="537" t="str">
        <f>$K$6</f>
        <v>Black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247</v>
      </c>
      <c r="M287" s="536"/>
      <c r="N287" s="539" t="s">
        <v>255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248</v>
      </c>
      <c r="M288" s="536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249</v>
      </c>
      <c r="M289" s="536"/>
      <c r="N289" s="540">
        <f>'BD Team'!J34</f>
        <v>0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250</v>
      </c>
      <c r="M290" s="536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251</v>
      </c>
      <c r="M291" s="536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252</v>
      </c>
      <c r="M292" s="536"/>
      <c r="N292" s="537">
        <f>'BD Team'!F34</f>
        <v>0</v>
      </c>
      <c r="O292" s="537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5" t="s">
        <v>253</v>
      </c>
      <c r="D294" s="536"/>
      <c r="E294" s="286">
        <f>'BD Team'!B35</f>
        <v>0</v>
      </c>
      <c r="F294" s="288" t="s">
        <v>254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>
        <f>'BD Team'!G35</f>
        <v>0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246</v>
      </c>
      <c r="M296" s="536"/>
      <c r="N296" s="537" t="str">
        <f>$F$6</f>
        <v>Wood Effect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177</v>
      </c>
      <c r="M297" s="536"/>
      <c r="N297" s="537" t="str">
        <f>$K$6</f>
        <v>Black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247</v>
      </c>
      <c r="M298" s="536"/>
      <c r="N298" s="539" t="s">
        <v>255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248</v>
      </c>
      <c r="M299" s="536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249</v>
      </c>
      <c r="M300" s="536"/>
      <c r="N300" s="540">
        <f>'BD Team'!J35</f>
        <v>0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250</v>
      </c>
      <c r="M301" s="536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251</v>
      </c>
      <c r="M302" s="536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252</v>
      </c>
      <c r="M303" s="536"/>
      <c r="N303" s="537">
        <f>'BD Team'!F35</f>
        <v>0</v>
      </c>
      <c r="O303" s="537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5" t="s">
        <v>253</v>
      </c>
      <c r="D305" s="536"/>
      <c r="E305" s="286">
        <f>'BD Team'!B36</f>
        <v>0</v>
      </c>
      <c r="F305" s="288" t="s">
        <v>254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>
        <f>'BD Team'!G36</f>
        <v>0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246</v>
      </c>
      <c r="M307" s="536"/>
      <c r="N307" s="537" t="str">
        <f>$F$6</f>
        <v>Wood Effect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177</v>
      </c>
      <c r="M308" s="536"/>
      <c r="N308" s="537" t="str">
        <f>$K$6</f>
        <v>Black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247</v>
      </c>
      <c r="M309" s="536"/>
      <c r="N309" s="539" t="s">
        <v>255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248</v>
      </c>
      <c r="M310" s="536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249</v>
      </c>
      <c r="M311" s="536"/>
      <c r="N311" s="540">
        <f>'BD Team'!J36</f>
        <v>0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250</v>
      </c>
      <c r="M312" s="536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251</v>
      </c>
      <c r="M313" s="536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252</v>
      </c>
      <c r="M314" s="536"/>
      <c r="N314" s="537">
        <f>'BD Team'!F36</f>
        <v>0</v>
      </c>
      <c r="O314" s="537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5" t="s">
        <v>253</v>
      </c>
      <c r="D316" s="536"/>
      <c r="E316" s="286">
        <f>'BD Team'!B37</f>
        <v>0</v>
      </c>
      <c r="F316" s="288" t="s">
        <v>254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>
        <f>'BD Team'!G37</f>
        <v>0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246</v>
      </c>
      <c r="M318" s="536"/>
      <c r="N318" s="537" t="str">
        <f>$F$6</f>
        <v>Wood Effect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177</v>
      </c>
      <c r="M319" s="536"/>
      <c r="N319" s="537" t="str">
        <f>$K$6</f>
        <v>Black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247</v>
      </c>
      <c r="M320" s="536"/>
      <c r="N320" s="539" t="s">
        <v>255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248</v>
      </c>
      <c r="M321" s="536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249</v>
      </c>
      <c r="M322" s="536"/>
      <c r="N322" s="540">
        <f>'BD Team'!J37</f>
        <v>0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250</v>
      </c>
      <c r="M323" s="536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251</v>
      </c>
      <c r="M324" s="536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252</v>
      </c>
      <c r="M325" s="536"/>
      <c r="N325" s="537">
        <f>'BD Team'!F37</f>
        <v>0</v>
      </c>
      <c r="O325" s="537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5" t="s">
        <v>253</v>
      </c>
      <c r="D327" s="536"/>
      <c r="E327" s="286">
        <f>'BD Team'!B38</f>
        <v>0</v>
      </c>
      <c r="F327" s="288" t="s">
        <v>254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>
        <f>'BD Team'!G38</f>
        <v>0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246</v>
      </c>
      <c r="M329" s="536"/>
      <c r="N329" s="537" t="str">
        <f>$F$6</f>
        <v>Wood Effect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177</v>
      </c>
      <c r="M330" s="536"/>
      <c r="N330" s="537" t="str">
        <f>$K$6</f>
        <v>Black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247</v>
      </c>
      <c r="M331" s="536"/>
      <c r="N331" s="539" t="s">
        <v>255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248</v>
      </c>
      <c r="M332" s="536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249</v>
      </c>
      <c r="M333" s="536"/>
      <c r="N333" s="540">
        <f>'BD Team'!J38</f>
        <v>0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250</v>
      </c>
      <c r="M334" s="536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251</v>
      </c>
      <c r="M335" s="536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252</v>
      </c>
      <c r="M336" s="536"/>
      <c r="N336" s="537">
        <f>'BD Team'!F38</f>
        <v>0</v>
      </c>
      <c r="O336" s="537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5" t="s">
        <v>253</v>
      </c>
      <c r="D338" s="536"/>
      <c r="E338" s="286">
        <f>'BD Team'!B39</f>
        <v>0</v>
      </c>
      <c r="F338" s="288" t="s">
        <v>254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>
        <f>'BD Team'!G39</f>
        <v>0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246</v>
      </c>
      <c r="M340" s="536"/>
      <c r="N340" s="537" t="str">
        <f>$F$6</f>
        <v>Wood Effect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177</v>
      </c>
      <c r="M341" s="536"/>
      <c r="N341" s="537" t="str">
        <f>$K$6</f>
        <v>Black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247</v>
      </c>
      <c r="M342" s="536"/>
      <c r="N342" s="539" t="s">
        <v>255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248</v>
      </c>
      <c r="M343" s="536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249</v>
      </c>
      <c r="M344" s="536"/>
      <c r="N344" s="540">
        <f>'BD Team'!J39</f>
        <v>0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250</v>
      </c>
      <c r="M345" s="536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251</v>
      </c>
      <c r="M346" s="536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252</v>
      </c>
      <c r="M347" s="536"/>
      <c r="N347" s="537">
        <f>'BD Team'!F39</f>
        <v>0</v>
      </c>
      <c r="O347" s="537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5" t="s">
        <v>253</v>
      </c>
      <c r="D349" s="536"/>
      <c r="E349" s="286">
        <f>'BD Team'!B40</f>
        <v>0</v>
      </c>
      <c r="F349" s="288" t="s">
        <v>254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>
        <f>'BD Team'!G40</f>
        <v>0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246</v>
      </c>
      <c r="M351" s="536"/>
      <c r="N351" s="537" t="str">
        <f>$F$6</f>
        <v>Wood Effect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177</v>
      </c>
      <c r="M352" s="536"/>
      <c r="N352" s="537" t="str">
        <f>$K$6</f>
        <v>Black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247</v>
      </c>
      <c r="M353" s="536"/>
      <c r="N353" s="539" t="s">
        <v>255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248</v>
      </c>
      <c r="M354" s="536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249</v>
      </c>
      <c r="M355" s="536"/>
      <c r="N355" s="540">
        <f>'BD Team'!J40</f>
        <v>0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250</v>
      </c>
      <c r="M356" s="536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251</v>
      </c>
      <c r="M357" s="536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252</v>
      </c>
      <c r="M358" s="536"/>
      <c r="N358" s="537">
        <f>'BD Team'!F40</f>
        <v>0</v>
      </c>
      <c r="O358" s="537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5" t="s">
        <v>253</v>
      </c>
      <c r="D360" s="536"/>
      <c r="E360" s="286">
        <f>'BD Team'!B41</f>
        <v>0</v>
      </c>
      <c r="F360" s="288" t="s">
        <v>254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>
        <f>'BD Team'!G41</f>
        <v>0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246</v>
      </c>
      <c r="M362" s="536"/>
      <c r="N362" s="537" t="str">
        <f>$F$6</f>
        <v>Wood Effect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177</v>
      </c>
      <c r="M363" s="536"/>
      <c r="N363" s="537" t="str">
        <f>$K$6</f>
        <v>Black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247</v>
      </c>
      <c r="M364" s="536"/>
      <c r="N364" s="539" t="s">
        <v>255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248</v>
      </c>
      <c r="M365" s="536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249</v>
      </c>
      <c r="M366" s="536"/>
      <c r="N366" s="540">
        <f>'BD Team'!J41</f>
        <v>0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250</v>
      </c>
      <c r="M367" s="536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251</v>
      </c>
      <c r="M368" s="536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252</v>
      </c>
      <c r="M369" s="536"/>
      <c r="N369" s="537">
        <f>'BD Team'!F41</f>
        <v>0</v>
      </c>
      <c r="O369" s="537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5" t="s">
        <v>253</v>
      </c>
      <c r="D371" s="536"/>
      <c r="E371" s="286">
        <f>'BD Team'!B42</f>
        <v>0</v>
      </c>
      <c r="F371" s="288" t="s">
        <v>254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>
        <f>'BD Team'!G42</f>
        <v>0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246</v>
      </c>
      <c r="M373" s="536"/>
      <c r="N373" s="537" t="str">
        <f>$F$6</f>
        <v>Wood Effect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177</v>
      </c>
      <c r="M374" s="536"/>
      <c r="N374" s="537" t="str">
        <f>$K$6</f>
        <v>Black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247</v>
      </c>
      <c r="M375" s="536"/>
      <c r="N375" s="539" t="s">
        <v>255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248</v>
      </c>
      <c r="M376" s="536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249</v>
      </c>
      <c r="M377" s="536"/>
      <c r="N377" s="540">
        <f>'BD Team'!J42</f>
        <v>0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250</v>
      </c>
      <c r="M378" s="536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251</v>
      </c>
      <c r="M379" s="536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252</v>
      </c>
      <c r="M380" s="536"/>
      <c r="N380" s="537">
        <f>'BD Team'!F42</f>
        <v>0</v>
      </c>
      <c r="O380" s="537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5" t="s">
        <v>253</v>
      </c>
      <c r="D382" s="536"/>
      <c r="E382" s="286">
        <f>'BD Team'!B43</f>
        <v>0</v>
      </c>
      <c r="F382" s="288" t="s">
        <v>254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>
        <f>'BD Team'!G43</f>
        <v>0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246</v>
      </c>
      <c r="M384" s="536"/>
      <c r="N384" s="537" t="str">
        <f>$F$6</f>
        <v>Wood Effect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177</v>
      </c>
      <c r="M385" s="536"/>
      <c r="N385" s="537" t="str">
        <f>$K$6</f>
        <v>Black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247</v>
      </c>
      <c r="M386" s="536"/>
      <c r="N386" s="539" t="s">
        <v>255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248</v>
      </c>
      <c r="M387" s="536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249</v>
      </c>
      <c r="M388" s="536"/>
      <c r="N388" s="540">
        <f>'BD Team'!J43</f>
        <v>0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250</v>
      </c>
      <c r="M389" s="536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251</v>
      </c>
      <c r="M390" s="536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252</v>
      </c>
      <c r="M391" s="536"/>
      <c r="N391" s="537">
        <f>'BD Team'!F43</f>
        <v>0</v>
      </c>
      <c r="O391" s="537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5" t="s">
        <v>253</v>
      </c>
      <c r="D393" s="536"/>
      <c r="E393" s="286">
        <f>'BD Team'!B44</f>
        <v>0</v>
      </c>
      <c r="F393" s="288" t="s">
        <v>254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>
        <f>'BD Team'!G44</f>
        <v>0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246</v>
      </c>
      <c r="M395" s="536"/>
      <c r="N395" s="537" t="str">
        <f>$F$6</f>
        <v>Wood Effect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177</v>
      </c>
      <c r="M396" s="536"/>
      <c r="N396" s="537" t="str">
        <f>$K$6</f>
        <v>Black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247</v>
      </c>
      <c r="M397" s="536"/>
      <c r="N397" s="539" t="s">
        <v>255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248</v>
      </c>
      <c r="M398" s="536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249</v>
      </c>
      <c r="M399" s="536"/>
      <c r="N399" s="540">
        <f>'BD Team'!J44</f>
        <v>0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250</v>
      </c>
      <c r="M400" s="536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251</v>
      </c>
      <c r="M401" s="536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252</v>
      </c>
      <c r="M402" s="536"/>
      <c r="N402" s="537">
        <f>'BD Team'!F44</f>
        <v>0</v>
      </c>
      <c r="O402" s="537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5" t="s">
        <v>253</v>
      </c>
      <c r="D404" s="536"/>
      <c r="E404" s="286">
        <f>'BD Team'!B45</f>
        <v>0</v>
      </c>
      <c r="F404" s="288" t="s">
        <v>254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>
        <f>'BD Team'!G45</f>
        <v>0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246</v>
      </c>
      <c r="M406" s="536"/>
      <c r="N406" s="537" t="str">
        <f>$F$6</f>
        <v>Wood Effect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177</v>
      </c>
      <c r="M407" s="536"/>
      <c r="N407" s="537" t="str">
        <f>$K$6</f>
        <v>Black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247</v>
      </c>
      <c r="M408" s="536"/>
      <c r="N408" s="539" t="s">
        <v>255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248</v>
      </c>
      <c r="M409" s="536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249</v>
      </c>
      <c r="M410" s="536"/>
      <c r="N410" s="540">
        <f>'BD Team'!J45</f>
        <v>0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250</v>
      </c>
      <c r="M411" s="536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251</v>
      </c>
      <c r="M412" s="536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252</v>
      </c>
      <c r="M413" s="536"/>
      <c r="N413" s="537">
        <f>'BD Team'!F45</f>
        <v>0</v>
      </c>
      <c r="O413" s="537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5" t="s">
        <v>253</v>
      </c>
      <c r="D415" s="536"/>
      <c r="E415" s="286">
        <f>'BD Team'!B46</f>
        <v>0</v>
      </c>
      <c r="F415" s="288" t="s">
        <v>254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>
        <f>'BD Team'!G46</f>
        <v>0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246</v>
      </c>
      <c r="M417" s="536"/>
      <c r="N417" s="537" t="str">
        <f>$F$6</f>
        <v>Wood Effect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177</v>
      </c>
      <c r="M418" s="536"/>
      <c r="N418" s="537" t="str">
        <f>$K$6</f>
        <v>Black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247</v>
      </c>
      <c r="M419" s="536"/>
      <c r="N419" s="539" t="s">
        <v>255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248</v>
      </c>
      <c r="M420" s="536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249</v>
      </c>
      <c r="M421" s="536"/>
      <c r="N421" s="540">
        <f>'BD Team'!J46</f>
        <v>0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250</v>
      </c>
      <c r="M422" s="536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251</v>
      </c>
      <c r="M423" s="536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252</v>
      </c>
      <c r="M424" s="536"/>
      <c r="N424" s="537">
        <f>'BD Team'!F46</f>
        <v>0</v>
      </c>
      <c r="O424" s="537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5" t="s">
        <v>253</v>
      </c>
      <c r="D426" s="536"/>
      <c r="E426" s="286">
        <f>'BD Team'!B47</f>
        <v>0</v>
      </c>
      <c r="F426" s="288" t="s">
        <v>254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246</v>
      </c>
      <c r="M428" s="536"/>
      <c r="N428" s="537" t="str">
        <f>$F$6</f>
        <v>Wood Effect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177</v>
      </c>
      <c r="M429" s="536"/>
      <c r="N429" s="537" t="str">
        <f>$K$6</f>
        <v>Black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247</v>
      </c>
      <c r="M430" s="536"/>
      <c r="N430" s="539" t="s">
        <v>255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248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249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250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251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252</v>
      </c>
      <c r="M435" s="536"/>
      <c r="N435" s="537">
        <f>'BD Team'!F47</f>
        <v>0</v>
      </c>
      <c r="O435" s="537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5" t="s">
        <v>253</v>
      </c>
      <c r="D437" s="536"/>
      <c r="E437" s="286">
        <f>'BD Team'!B48</f>
        <v>0</v>
      </c>
      <c r="F437" s="288" t="s">
        <v>254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246</v>
      </c>
      <c r="M439" s="536"/>
      <c r="N439" s="537" t="str">
        <f>$F$6</f>
        <v>Wood Effect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177</v>
      </c>
      <c r="M440" s="536"/>
      <c r="N440" s="537" t="str">
        <f>$K$6</f>
        <v>Black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247</v>
      </c>
      <c r="M441" s="536"/>
      <c r="N441" s="539" t="s">
        <v>255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248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249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250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251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252</v>
      </c>
      <c r="M446" s="536"/>
      <c r="N446" s="537">
        <f>'BD Team'!F48</f>
        <v>0</v>
      </c>
      <c r="O446" s="537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5" t="s">
        <v>253</v>
      </c>
      <c r="D448" s="536"/>
      <c r="E448" s="286">
        <f>'BD Team'!B49</f>
        <v>0</v>
      </c>
      <c r="F448" s="288" t="s">
        <v>254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246</v>
      </c>
      <c r="M450" s="536"/>
      <c r="N450" s="537" t="str">
        <f>$F$6</f>
        <v>Wood Effect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177</v>
      </c>
      <c r="M451" s="536"/>
      <c r="N451" s="537" t="str">
        <f>$K$6</f>
        <v>Black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247</v>
      </c>
      <c r="M452" s="536"/>
      <c r="N452" s="539" t="s">
        <v>255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248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249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250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251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252</v>
      </c>
      <c r="M457" s="536"/>
      <c r="N457" s="537">
        <f>'BD Team'!F49</f>
        <v>0</v>
      </c>
      <c r="O457" s="537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5" t="s">
        <v>253</v>
      </c>
      <c r="D459" s="536"/>
      <c r="E459" s="286">
        <f>'BD Team'!B50</f>
        <v>0</v>
      </c>
      <c r="F459" s="288" t="s">
        <v>254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246</v>
      </c>
      <c r="M461" s="536"/>
      <c r="N461" s="537" t="str">
        <f>$F$6</f>
        <v>Wood Effect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177</v>
      </c>
      <c r="M462" s="536"/>
      <c r="N462" s="537" t="str">
        <f>$K$6</f>
        <v>Black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247</v>
      </c>
      <c r="M463" s="536"/>
      <c r="N463" s="539" t="s">
        <v>255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248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249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250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251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252</v>
      </c>
      <c r="M468" s="536"/>
      <c r="N468" s="537">
        <f>'BD Team'!F50</f>
        <v>0</v>
      </c>
      <c r="O468" s="537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5" t="s">
        <v>253</v>
      </c>
      <c r="D470" s="536"/>
      <c r="E470" s="286">
        <f>'BD Team'!B51</f>
        <v>0</v>
      </c>
      <c r="F470" s="288" t="s">
        <v>254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246</v>
      </c>
      <c r="M472" s="536"/>
      <c r="N472" s="537" t="str">
        <f>$F$6</f>
        <v>Wood Effect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177</v>
      </c>
      <c r="M473" s="536"/>
      <c r="N473" s="537" t="str">
        <f>$K$6</f>
        <v>Black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247</v>
      </c>
      <c r="M474" s="536"/>
      <c r="N474" s="539" t="s">
        <v>255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248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249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250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251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252</v>
      </c>
      <c r="M479" s="536"/>
      <c r="N479" s="537">
        <f>'BD Team'!F51</f>
        <v>0</v>
      </c>
      <c r="O479" s="537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5" t="s">
        <v>253</v>
      </c>
      <c r="D481" s="536"/>
      <c r="E481" s="286">
        <f>'BD Team'!B52</f>
        <v>0</v>
      </c>
      <c r="F481" s="288" t="s">
        <v>254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246</v>
      </c>
      <c r="M483" s="536"/>
      <c r="N483" s="537" t="str">
        <f>$F$6</f>
        <v>Wood Effect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177</v>
      </c>
      <c r="M484" s="536"/>
      <c r="N484" s="537" t="str">
        <f>$K$6</f>
        <v>Black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247</v>
      </c>
      <c r="M485" s="536"/>
      <c r="N485" s="539" t="s">
        <v>255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248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249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250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251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252</v>
      </c>
      <c r="M490" s="536"/>
      <c r="N490" s="537">
        <f>'BD Team'!F52</f>
        <v>0</v>
      </c>
      <c r="O490" s="537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5" t="s">
        <v>253</v>
      </c>
      <c r="D492" s="536"/>
      <c r="E492" s="286">
        <f>'BD Team'!B53</f>
        <v>0</v>
      </c>
      <c r="F492" s="288" t="s">
        <v>254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246</v>
      </c>
      <c r="M494" s="536"/>
      <c r="N494" s="537" t="str">
        <f>$F$6</f>
        <v>Wood Effect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177</v>
      </c>
      <c r="M495" s="536"/>
      <c r="N495" s="537" t="str">
        <f>$K$6</f>
        <v>Black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247</v>
      </c>
      <c r="M496" s="536"/>
      <c r="N496" s="539" t="s">
        <v>255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248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249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250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251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252</v>
      </c>
      <c r="M501" s="536"/>
      <c r="N501" s="537">
        <f>'BD Team'!F53</f>
        <v>0</v>
      </c>
      <c r="O501" s="537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5" t="s">
        <v>253</v>
      </c>
      <c r="D503" s="536"/>
      <c r="E503" s="286">
        <f>'BD Team'!B54</f>
        <v>0</v>
      </c>
      <c r="F503" s="288" t="s">
        <v>254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246</v>
      </c>
      <c r="M505" s="536"/>
      <c r="N505" s="537" t="str">
        <f>$F$6</f>
        <v>Wood Effect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177</v>
      </c>
      <c r="M506" s="536"/>
      <c r="N506" s="537" t="str">
        <f>$K$6</f>
        <v>Black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247</v>
      </c>
      <c r="M507" s="536"/>
      <c r="N507" s="539" t="s">
        <v>255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248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249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250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251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252</v>
      </c>
      <c r="M512" s="536"/>
      <c r="N512" s="537">
        <f>'BD Team'!F54</f>
        <v>0</v>
      </c>
      <c r="O512" s="537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5" t="s">
        <v>253</v>
      </c>
      <c r="D514" s="536"/>
      <c r="E514" s="286">
        <f>'BD Team'!B55</f>
        <v>0</v>
      </c>
      <c r="F514" s="288" t="s">
        <v>254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246</v>
      </c>
      <c r="M516" s="536"/>
      <c r="N516" s="537" t="str">
        <f>$F$6</f>
        <v>Wood Effect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177</v>
      </c>
      <c r="M517" s="536"/>
      <c r="N517" s="537" t="str">
        <f>$K$6</f>
        <v>Black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247</v>
      </c>
      <c r="M518" s="536"/>
      <c r="N518" s="539" t="s">
        <v>255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248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249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250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251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252</v>
      </c>
      <c r="M523" s="536"/>
      <c r="N523" s="537">
        <f>'BD Team'!F55</f>
        <v>0</v>
      </c>
      <c r="O523" s="537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5" t="s">
        <v>253</v>
      </c>
      <c r="D525" s="536"/>
      <c r="E525" s="286">
        <f>'BD Team'!B56</f>
        <v>0</v>
      </c>
      <c r="F525" s="288" t="s">
        <v>254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246</v>
      </c>
      <c r="M527" s="536"/>
      <c r="N527" s="537" t="str">
        <f>$F$6</f>
        <v>Wood Effect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177</v>
      </c>
      <c r="M528" s="536"/>
      <c r="N528" s="537" t="str">
        <f>$K$6</f>
        <v>Black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247</v>
      </c>
      <c r="M529" s="536"/>
      <c r="N529" s="539" t="s">
        <v>255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248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249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250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251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252</v>
      </c>
      <c r="M534" s="536"/>
      <c r="N534" s="537">
        <f>'BD Team'!F56</f>
        <v>0</v>
      </c>
      <c r="O534" s="537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5" t="s">
        <v>253</v>
      </c>
      <c r="D536" s="536"/>
      <c r="E536" s="286">
        <f>'BD Team'!B57</f>
        <v>0</v>
      </c>
      <c r="F536" s="288" t="s">
        <v>254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246</v>
      </c>
      <c r="M538" s="536"/>
      <c r="N538" s="537" t="str">
        <f>$F$6</f>
        <v>Wood Effect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177</v>
      </c>
      <c r="M539" s="536"/>
      <c r="N539" s="537" t="str">
        <f>$K$6</f>
        <v>Black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247</v>
      </c>
      <c r="M540" s="536"/>
      <c r="N540" s="539" t="s">
        <v>255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248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249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250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251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252</v>
      </c>
      <c r="M545" s="536"/>
      <c r="N545" s="537">
        <f>'BD Team'!F57</f>
        <v>0</v>
      </c>
      <c r="O545" s="537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5" t="s">
        <v>253</v>
      </c>
      <c r="D547" s="536"/>
      <c r="E547" s="286">
        <f>'BD Team'!B58</f>
        <v>0</v>
      </c>
      <c r="F547" s="288" t="s">
        <v>254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246</v>
      </c>
      <c r="M549" s="536"/>
      <c r="N549" s="537" t="str">
        <f>$F$6</f>
        <v>Wood Effect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177</v>
      </c>
      <c r="M550" s="536"/>
      <c r="N550" s="537" t="str">
        <f>$K$6</f>
        <v>Black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247</v>
      </c>
      <c r="M551" s="536"/>
      <c r="N551" s="539" t="s">
        <v>255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248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249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250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251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252</v>
      </c>
      <c r="M556" s="536"/>
      <c r="N556" s="537">
        <f>'BD Team'!F58</f>
        <v>0</v>
      </c>
      <c r="O556" s="537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5" t="s">
        <v>253</v>
      </c>
      <c r="D558" s="536"/>
      <c r="E558" s="289">
        <f>'BD Team'!B59</f>
        <v>0</v>
      </c>
      <c r="F558" s="288" t="s">
        <v>254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7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246</v>
      </c>
      <c r="M560" s="536"/>
      <c r="N560" s="537" t="str">
        <f>$F$6</f>
        <v>Wood Effect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177</v>
      </c>
      <c r="M561" s="536"/>
      <c r="N561" s="537" t="str">
        <f>$K$6</f>
        <v>Black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247</v>
      </c>
      <c r="M562" s="536"/>
      <c r="N562" s="539" t="s">
        <v>255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248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249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250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251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252</v>
      </c>
      <c r="M567" s="536"/>
      <c r="N567" s="540">
        <f>'BD Team'!F59</f>
        <v>0</v>
      </c>
      <c r="O567" s="537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5" t="s">
        <v>253</v>
      </c>
      <c r="D569" s="536"/>
      <c r="E569" s="289">
        <f>'BD Team'!B60</f>
        <v>0</v>
      </c>
      <c r="F569" s="288" t="s">
        <v>254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7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246</v>
      </c>
      <c r="M571" s="536"/>
      <c r="N571" s="537" t="str">
        <f>$F$6</f>
        <v>Wood Effect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177</v>
      </c>
      <c r="M572" s="536"/>
      <c r="N572" s="537" t="str">
        <f>$K$6</f>
        <v>Black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247</v>
      </c>
      <c r="M573" s="536"/>
      <c r="N573" s="539" t="s">
        <v>255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248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249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250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251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252</v>
      </c>
      <c r="M578" s="536"/>
      <c r="N578" s="540">
        <f>'BD Team'!F60</f>
        <v>0</v>
      </c>
      <c r="O578" s="537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5" t="s">
        <v>253</v>
      </c>
      <c r="D580" s="536"/>
      <c r="E580" s="289">
        <f>'BD Team'!B61</f>
        <v>0</v>
      </c>
      <c r="F580" s="288" t="s">
        <v>254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7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246</v>
      </c>
      <c r="M582" s="536"/>
      <c r="N582" s="537" t="str">
        <f>$F$6</f>
        <v>Wood Effect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177</v>
      </c>
      <c r="M583" s="536"/>
      <c r="N583" s="537" t="str">
        <f>$K$6</f>
        <v>Black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247</v>
      </c>
      <c r="M584" s="536"/>
      <c r="N584" s="539" t="s">
        <v>255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248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249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250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251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252</v>
      </c>
      <c r="M589" s="536"/>
      <c r="N589" s="540">
        <f>'BD Team'!F61</f>
        <v>0</v>
      </c>
      <c r="O589" s="537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5" t="s">
        <v>253</v>
      </c>
      <c r="D591" s="536"/>
      <c r="E591" s="289">
        <f>'BD Team'!B62</f>
        <v>0</v>
      </c>
      <c r="F591" s="288" t="s">
        <v>254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7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246</v>
      </c>
      <c r="M593" s="536"/>
      <c r="N593" s="537" t="str">
        <f>$F$6</f>
        <v>Wood Effect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177</v>
      </c>
      <c r="M594" s="536"/>
      <c r="N594" s="537" t="str">
        <f>$K$6</f>
        <v>Black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247</v>
      </c>
      <c r="M595" s="536"/>
      <c r="N595" s="539" t="s">
        <v>255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248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249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250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251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252</v>
      </c>
      <c r="M600" s="536"/>
      <c r="N600" s="540">
        <f>'BD Team'!F62</f>
        <v>0</v>
      </c>
      <c r="O600" s="537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5" t="s">
        <v>253</v>
      </c>
      <c r="D602" s="536"/>
      <c r="E602" s="289">
        <f>'BD Team'!B63</f>
        <v>0</v>
      </c>
      <c r="F602" s="288" t="s">
        <v>254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7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246</v>
      </c>
      <c r="M604" s="536"/>
      <c r="N604" s="537" t="str">
        <f>$F$6</f>
        <v>Wood Effect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177</v>
      </c>
      <c r="M605" s="536"/>
      <c r="N605" s="537" t="str">
        <f>$K$6</f>
        <v>Black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247</v>
      </c>
      <c r="M606" s="536"/>
      <c r="N606" s="539" t="s">
        <v>255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248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249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250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251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252</v>
      </c>
      <c r="M611" s="536"/>
      <c r="N611" s="540">
        <f>'BD Team'!F63</f>
        <v>0</v>
      </c>
      <c r="O611" s="537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5" t="s">
        <v>253</v>
      </c>
      <c r="D613" s="536"/>
      <c r="E613" s="289">
        <f>'BD Team'!B64</f>
        <v>0</v>
      </c>
      <c r="F613" s="288" t="s">
        <v>254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7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246</v>
      </c>
      <c r="M615" s="536"/>
      <c r="N615" s="537" t="str">
        <f>$F$6</f>
        <v>Wood Effect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177</v>
      </c>
      <c r="M616" s="536"/>
      <c r="N616" s="537" t="str">
        <f>$K$6</f>
        <v>Black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247</v>
      </c>
      <c r="M617" s="536"/>
      <c r="N617" s="539" t="s">
        <v>255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248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249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250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251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252</v>
      </c>
      <c r="M622" s="536"/>
      <c r="N622" s="540">
        <f>'BD Team'!F64</f>
        <v>0</v>
      </c>
      <c r="O622" s="537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5" t="s">
        <v>253</v>
      </c>
      <c r="D624" s="536"/>
      <c r="E624" s="289">
        <f>'BD Team'!B65</f>
        <v>0</v>
      </c>
      <c r="F624" s="288" t="s">
        <v>254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7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246</v>
      </c>
      <c r="M626" s="536"/>
      <c r="N626" s="537" t="str">
        <f>$F$6</f>
        <v>Wood Effect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177</v>
      </c>
      <c r="M627" s="536"/>
      <c r="N627" s="537" t="str">
        <f>$K$6</f>
        <v>Black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247</v>
      </c>
      <c r="M628" s="536"/>
      <c r="N628" s="539" t="s">
        <v>255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248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249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250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251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252</v>
      </c>
      <c r="M633" s="536"/>
      <c r="N633" s="540">
        <f>'BD Team'!F65</f>
        <v>0</v>
      </c>
      <c r="O633" s="537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5" t="s">
        <v>253</v>
      </c>
      <c r="D635" s="536"/>
      <c r="E635" s="289">
        <f>'BD Team'!B66</f>
        <v>0</v>
      </c>
      <c r="F635" s="288" t="s">
        <v>254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7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246</v>
      </c>
      <c r="M637" s="536"/>
      <c r="N637" s="537" t="str">
        <f>$F$6</f>
        <v>Wood Effect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177</v>
      </c>
      <c r="M638" s="536"/>
      <c r="N638" s="537" t="str">
        <f>$K$6</f>
        <v>Black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247</v>
      </c>
      <c r="M639" s="536"/>
      <c r="N639" s="539" t="s">
        <v>255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248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249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250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251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252</v>
      </c>
      <c r="M644" s="536"/>
      <c r="N644" s="540">
        <f>'BD Team'!F66</f>
        <v>0</v>
      </c>
      <c r="O644" s="537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5" t="s">
        <v>253</v>
      </c>
      <c r="D646" s="536"/>
      <c r="E646" s="289">
        <f>'BD Team'!B67</f>
        <v>0</v>
      </c>
      <c r="F646" s="288" t="s">
        <v>254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7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246</v>
      </c>
      <c r="M648" s="536"/>
      <c r="N648" s="537" t="str">
        <f>$F$6</f>
        <v>Wood Effect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177</v>
      </c>
      <c r="M649" s="536"/>
      <c r="N649" s="537" t="str">
        <f>$K$6</f>
        <v>Black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247</v>
      </c>
      <c r="M650" s="536"/>
      <c r="N650" s="539" t="s">
        <v>255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248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249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250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251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252</v>
      </c>
      <c r="M655" s="536"/>
      <c r="N655" s="540">
        <f>'BD Team'!F67</f>
        <v>0</v>
      </c>
      <c r="O655" s="537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5" t="s">
        <v>253</v>
      </c>
      <c r="D657" s="536"/>
      <c r="E657" s="289">
        <f>'BD Team'!B68</f>
        <v>0</v>
      </c>
      <c r="F657" s="288" t="s">
        <v>254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7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246</v>
      </c>
      <c r="M659" s="536"/>
      <c r="N659" s="537" t="str">
        <f>$F$6</f>
        <v>Wood Effect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177</v>
      </c>
      <c r="M660" s="536"/>
      <c r="N660" s="537" t="str">
        <f>$K$6</f>
        <v>Black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247</v>
      </c>
      <c r="M661" s="536"/>
      <c r="N661" s="539" t="s">
        <v>255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248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249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250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251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252</v>
      </c>
      <c r="M666" s="536"/>
      <c r="N666" s="540">
        <f>'BD Team'!F68</f>
        <v>0</v>
      </c>
      <c r="O666" s="537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5" t="s">
        <v>253</v>
      </c>
      <c r="D668" s="536"/>
      <c r="E668" s="289">
        <f>'BD Team'!B69</f>
        <v>0</v>
      </c>
      <c r="F668" s="288" t="s">
        <v>254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7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246</v>
      </c>
      <c r="M670" s="536"/>
      <c r="N670" s="537" t="str">
        <f>$F$6</f>
        <v>Wood Effect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177</v>
      </c>
      <c r="M671" s="536"/>
      <c r="N671" s="537" t="str">
        <f>$K$6</f>
        <v>Black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247</v>
      </c>
      <c r="M672" s="536"/>
      <c r="N672" s="539" t="s">
        <v>255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248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249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250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251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252</v>
      </c>
      <c r="M677" s="536"/>
      <c r="N677" s="540">
        <f>'BD Team'!F69</f>
        <v>0</v>
      </c>
      <c r="O677" s="537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5" t="s">
        <v>253</v>
      </c>
      <c r="D679" s="536"/>
      <c r="E679" s="289">
        <f>'BD Team'!B70</f>
        <v>0</v>
      </c>
      <c r="F679" s="288" t="s">
        <v>254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7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246</v>
      </c>
      <c r="M681" s="536"/>
      <c r="N681" s="537" t="str">
        <f>$F$6</f>
        <v>Wood Effect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177</v>
      </c>
      <c r="M682" s="536"/>
      <c r="N682" s="537" t="str">
        <f>$K$6</f>
        <v>Black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247</v>
      </c>
      <c r="M683" s="536"/>
      <c r="N683" s="539" t="s">
        <v>255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248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249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250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251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252</v>
      </c>
      <c r="M688" s="536"/>
      <c r="N688" s="540">
        <f>'BD Team'!F70</f>
        <v>0</v>
      </c>
      <c r="O688" s="537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5" t="s">
        <v>253</v>
      </c>
      <c r="D690" s="536"/>
      <c r="E690" s="289">
        <f>'BD Team'!B71</f>
        <v>0</v>
      </c>
      <c r="F690" s="288" t="s">
        <v>254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7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246</v>
      </c>
      <c r="M692" s="536"/>
      <c r="N692" s="537" t="str">
        <f>$F$6</f>
        <v>Wood Effect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177</v>
      </c>
      <c r="M693" s="536"/>
      <c r="N693" s="537" t="str">
        <f>$K$6</f>
        <v>Black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247</v>
      </c>
      <c r="M694" s="536"/>
      <c r="N694" s="539" t="s">
        <v>255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248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249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250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251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252</v>
      </c>
      <c r="M699" s="536"/>
      <c r="N699" s="540">
        <f>'BD Team'!F71</f>
        <v>0</v>
      </c>
      <c r="O699" s="537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5" t="s">
        <v>253</v>
      </c>
      <c r="D701" s="536"/>
      <c r="E701" s="289">
        <f>'BD Team'!B72</f>
        <v>0</v>
      </c>
      <c r="F701" s="288" t="s">
        <v>254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7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246</v>
      </c>
      <c r="M703" s="536"/>
      <c r="N703" s="537" t="str">
        <f>$F$6</f>
        <v>Wood Effect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177</v>
      </c>
      <c r="M704" s="536"/>
      <c r="N704" s="537" t="str">
        <f>$K$6</f>
        <v>Black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247</v>
      </c>
      <c r="M705" s="536"/>
      <c r="N705" s="539" t="s">
        <v>255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248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249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250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251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252</v>
      </c>
      <c r="M710" s="536"/>
      <c r="N710" s="540">
        <f>'BD Team'!F72</f>
        <v>0</v>
      </c>
      <c r="O710" s="537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5" t="s">
        <v>253</v>
      </c>
      <c r="D712" s="536"/>
      <c r="E712" s="289">
        <f>'BD Team'!B73</f>
        <v>0</v>
      </c>
      <c r="F712" s="288" t="s">
        <v>254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7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246</v>
      </c>
      <c r="M714" s="536"/>
      <c r="N714" s="537" t="str">
        <f>$F$6</f>
        <v>Wood Effect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177</v>
      </c>
      <c r="M715" s="536"/>
      <c r="N715" s="537" t="str">
        <f>$K$6</f>
        <v>Black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247</v>
      </c>
      <c r="M716" s="536"/>
      <c r="N716" s="539" t="s">
        <v>255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248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249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250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251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252</v>
      </c>
      <c r="M721" s="536"/>
      <c r="N721" s="540">
        <f>'BD Team'!F73</f>
        <v>0</v>
      </c>
      <c r="O721" s="537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5" t="s">
        <v>253</v>
      </c>
      <c r="D723" s="536"/>
      <c r="E723" s="289">
        <f>'BD Team'!B74</f>
        <v>0</v>
      </c>
      <c r="F723" s="288" t="s">
        <v>254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7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246</v>
      </c>
      <c r="M725" s="536"/>
      <c r="N725" s="537" t="str">
        <f>$F$6</f>
        <v>Wood Effect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177</v>
      </c>
      <c r="M726" s="536"/>
      <c r="N726" s="537" t="str">
        <f>$K$6</f>
        <v>Black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247</v>
      </c>
      <c r="M727" s="536"/>
      <c r="N727" s="539" t="s">
        <v>255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248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249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250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251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252</v>
      </c>
      <c r="M732" s="536"/>
      <c r="N732" s="540">
        <f>'BD Team'!F74</f>
        <v>0</v>
      </c>
      <c r="O732" s="537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5" t="s">
        <v>253</v>
      </c>
      <c r="D734" s="536"/>
      <c r="E734" s="289">
        <f>'BD Team'!B75</f>
        <v>0</v>
      </c>
      <c r="F734" s="288" t="s">
        <v>254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7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246</v>
      </c>
      <c r="M736" s="536"/>
      <c r="N736" s="537" t="str">
        <f>$F$6</f>
        <v>Wood Effect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177</v>
      </c>
      <c r="M737" s="536"/>
      <c r="N737" s="537" t="str">
        <f>$K$6</f>
        <v>Black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247</v>
      </c>
      <c r="M738" s="536"/>
      <c r="N738" s="539" t="s">
        <v>255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248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249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250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251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252</v>
      </c>
      <c r="M743" s="536"/>
      <c r="N743" s="540">
        <f>'BD Team'!F75</f>
        <v>0</v>
      </c>
      <c r="O743" s="537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5" t="s">
        <v>253</v>
      </c>
      <c r="D745" s="536"/>
      <c r="E745" s="289">
        <f>'BD Team'!B76</f>
        <v>0</v>
      </c>
      <c r="F745" s="288" t="s">
        <v>254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7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246</v>
      </c>
      <c r="M747" s="536"/>
      <c r="N747" s="537" t="str">
        <f>$F$6</f>
        <v>Wood Effect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177</v>
      </c>
      <c r="M748" s="536"/>
      <c r="N748" s="537" t="str">
        <f>$K$6</f>
        <v>Black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247</v>
      </c>
      <c r="M749" s="536"/>
      <c r="N749" s="539" t="s">
        <v>255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248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249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250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251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252</v>
      </c>
      <c r="M754" s="536"/>
      <c r="N754" s="540">
        <f>'BD Team'!F76</f>
        <v>0</v>
      </c>
      <c r="O754" s="537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5" t="s">
        <v>253</v>
      </c>
      <c r="D756" s="536"/>
      <c r="E756" s="289">
        <f>'BD Team'!B77</f>
        <v>0</v>
      </c>
      <c r="F756" s="288" t="s">
        <v>254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7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246</v>
      </c>
      <c r="M758" s="536"/>
      <c r="N758" s="537" t="str">
        <f>$F$6</f>
        <v>Wood Effect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177</v>
      </c>
      <c r="M759" s="536"/>
      <c r="N759" s="537" t="str">
        <f>$K$6</f>
        <v>Black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247</v>
      </c>
      <c r="M760" s="536"/>
      <c r="N760" s="539" t="s">
        <v>255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248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249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250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251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252</v>
      </c>
      <c r="M765" s="536"/>
      <c r="N765" s="540">
        <f>'BD Team'!F77</f>
        <v>0</v>
      </c>
      <c r="O765" s="537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5" t="s">
        <v>253</v>
      </c>
      <c r="D767" s="536"/>
      <c r="E767" s="289">
        <f>'BD Team'!B78</f>
        <v>0</v>
      </c>
      <c r="F767" s="288" t="s">
        <v>254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7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246</v>
      </c>
      <c r="M769" s="536"/>
      <c r="N769" s="537" t="str">
        <f>$F$6</f>
        <v>Wood Effect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177</v>
      </c>
      <c r="M770" s="536"/>
      <c r="N770" s="537" t="str">
        <f>$K$6</f>
        <v>Black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247</v>
      </c>
      <c r="M771" s="536"/>
      <c r="N771" s="539" t="s">
        <v>255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248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249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250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251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252</v>
      </c>
      <c r="M776" s="536"/>
      <c r="N776" s="540">
        <f>'BD Team'!F78</f>
        <v>0</v>
      </c>
      <c r="O776" s="537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5" t="s">
        <v>253</v>
      </c>
      <c r="D778" s="536"/>
      <c r="E778" s="289">
        <f>'BD Team'!B79</f>
        <v>0</v>
      </c>
      <c r="F778" s="288" t="s">
        <v>254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7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246</v>
      </c>
      <c r="M780" s="536"/>
      <c r="N780" s="537" t="str">
        <f>$F$6</f>
        <v>Wood Effect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177</v>
      </c>
      <c r="M781" s="536"/>
      <c r="N781" s="537" t="str">
        <f>$K$6</f>
        <v>Black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247</v>
      </c>
      <c r="M782" s="536"/>
      <c r="N782" s="539" t="s">
        <v>255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248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249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250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251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252</v>
      </c>
      <c r="M787" s="536"/>
      <c r="N787" s="540">
        <f>'BD Team'!F79</f>
        <v>0</v>
      </c>
      <c r="O787" s="537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5" t="s">
        <v>253</v>
      </c>
      <c r="D789" s="536"/>
      <c r="E789" s="289">
        <f>'BD Team'!B80</f>
        <v>0</v>
      </c>
      <c r="F789" s="288" t="s">
        <v>254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7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246</v>
      </c>
      <c r="M791" s="536"/>
      <c r="N791" s="537" t="str">
        <f>$F$6</f>
        <v>Wood Effect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177</v>
      </c>
      <c r="M792" s="536"/>
      <c r="N792" s="537" t="str">
        <f>$K$6</f>
        <v>Black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247</v>
      </c>
      <c r="M793" s="536"/>
      <c r="N793" s="539" t="s">
        <v>255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248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249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250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251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252</v>
      </c>
      <c r="M798" s="536"/>
      <c r="N798" s="540">
        <f>'BD Team'!F80</f>
        <v>0</v>
      </c>
      <c r="O798" s="537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5" t="s">
        <v>253</v>
      </c>
      <c r="D800" s="536"/>
      <c r="E800" s="289">
        <f>'BD Team'!B81</f>
        <v>0</v>
      </c>
      <c r="F800" s="288" t="s">
        <v>254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7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246</v>
      </c>
      <c r="M802" s="536"/>
      <c r="N802" s="537" t="str">
        <f>$F$6</f>
        <v>Wood Effect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177</v>
      </c>
      <c r="M803" s="536"/>
      <c r="N803" s="537" t="str">
        <f>$K$6</f>
        <v>Black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247</v>
      </c>
      <c r="M804" s="536"/>
      <c r="N804" s="539" t="s">
        <v>255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248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249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250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251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252</v>
      </c>
      <c r="M809" s="536"/>
      <c r="N809" s="540">
        <f>'BD Team'!F81</f>
        <v>0</v>
      </c>
      <c r="O809" s="537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5" t="s">
        <v>253</v>
      </c>
      <c r="D811" s="536"/>
      <c r="E811" s="289">
        <f>'BD Team'!B82</f>
        <v>0</v>
      </c>
      <c r="F811" s="288" t="s">
        <v>254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7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246</v>
      </c>
      <c r="M813" s="536"/>
      <c r="N813" s="537" t="str">
        <f>$F$6</f>
        <v>Wood Effect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177</v>
      </c>
      <c r="M814" s="536"/>
      <c r="N814" s="537" t="str">
        <f>$K$6</f>
        <v>Black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247</v>
      </c>
      <c r="M815" s="536"/>
      <c r="N815" s="539" t="s">
        <v>255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248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249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250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251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252</v>
      </c>
      <c r="M820" s="536"/>
      <c r="N820" s="540">
        <f>'BD Team'!F82</f>
        <v>0</v>
      </c>
      <c r="O820" s="537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5" t="s">
        <v>253</v>
      </c>
      <c r="D822" s="536"/>
      <c r="E822" s="289">
        <f>'BD Team'!B83</f>
        <v>0</v>
      </c>
      <c r="F822" s="288" t="s">
        <v>254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7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246</v>
      </c>
      <c r="M824" s="536"/>
      <c r="N824" s="537" t="str">
        <f>$F$6</f>
        <v>Wood Effect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177</v>
      </c>
      <c r="M825" s="536"/>
      <c r="N825" s="537" t="str">
        <f>$K$6</f>
        <v>Black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247</v>
      </c>
      <c r="M826" s="536"/>
      <c r="N826" s="539" t="s">
        <v>255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248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249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250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251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252</v>
      </c>
      <c r="M831" s="536"/>
      <c r="N831" s="540">
        <f>'BD Team'!F83</f>
        <v>0</v>
      </c>
      <c r="O831" s="537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5" t="s">
        <v>253</v>
      </c>
      <c r="D833" s="536"/>
      <c r="E833" s="289">
        <f>'BD Team'!B84</f>
        <v>0</v>
      </c>
      <c r="F833" s="288" t="s">
        <v>254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7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246</v>
      </c>
      <c r="M835" s="536"/>
      <c r="N835" s="537" t="str">
        <f>$F$6</f>
        <v>Wood Effect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177</v>
      </c>
      <c r="M836" s="536"/>
      <c r="N836" s="537" t="str">
        <f>$K$6</f>
        <v>Black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247</v>
      </c>
      <c r="M837" s="536"/>
      <c r="N837" s="539" t="s">
        <v>255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248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249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250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251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252</v>
      </c>
      <c r="M842" s="536"/>
      <c r="N842" s="540">
        <f>'BD Team'!F84</f>
        <v>0</v>
      </c>
      <c r="O842" s="537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5" t="s">
        <v>253</v>
      </c>
      <c r="D844" s="536"/>
      <c r="E844" s="289">
        <f>'BD Team'!B85</f>
        <v>0</v>
      </c>
      <c r="F844" s="288" t="s">
        <v>254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7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246</v>
      </c>
      <c r="M846" s="536"/>
      <c r="N846" s="537" t="str">
        <f>$F$6</f>
        <v>Wood Effect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177</v>
      </c>
      <c r="M847" s="536"/>
      <c r="N847" s="537" t="str">
        <f>$K$6</f>
        <v>Black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247</v>
      </c>
      <c r="M848" s="536"/>
      <c r="N848" s="539" t="s">
        <v>255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248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249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250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251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252</v>
      </c>
      <c r="M853" s="536"/>
      <c r="N853" s="540">
        <f>'BD Team'!F85</f>
        <v>0</v>
      </c>
      <c r="O853" s="537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5" t="s">
        <v>253</v>
      </c>
      <c r="D855" s="536"/>
      <c r="E855" s="289">
        <f>'BD Team'!B86</f>
        <v>0</v>
      </c>
      <c r="F855" s="288" t="s">
        <v>254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7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246</v>
      </c>
      <c r="M857" s="536"/>
      <c r="N857" s="537" t="str">
        <f>$F$6</f>
        <v>Wood Effect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177</v>
      </c>
      <c r="M858" s="536"/>
      <c r="N858" s="537" t="str">
        <f>$K$6</f>
        <v>Black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247</v>
      </c>
      <c r="M859" s="536"/>
      <c r="N859" s="539" t="s">
        <v>255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248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249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250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251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252</v>
      </c>
      <c r="M864" s="536"/>
      <c r="N864" s="540">
        <f>'BD Team'!F86</f>
        <v>0</v>
      </c>
      <c r="O864" s="537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5" t="s">
        <v>253</v>
      </c>
      <c r="D866" s="536"/>
      <c r="E866" s="289">
        <f>'BD Team'!B87</f>
        <v>0</v>
      </c>
      <c r="F866" s="288" t="s">
        <v>254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7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246</v>
      </c>
      <c r="M868" s="536"/>
      <c r="N868" s="537" t="str">
        <f>$F$6</f>
        <v>Wood Effect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177</v>
      </c>
      <c r="M869" s="536"/>
      <c r="N869" s="537" t="str">
        <f>$K$6</f>
        <v>Black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247</v>
      </c>
      <c r="M870" s="536"/>
      <c r="N870" s="539" t="s">
        <v>255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248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249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250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251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252</v>
      </c>
      <c r="M875" s="536"/>
      <c r="N875" s="540">
        <f>'BD Team'!F87</f>
        <v>0</v>
      </c>
      <c r="O875" s="537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5" t="s">
        <v>253</v>
      </c>
      <c r="D877" s="536"/>
      <c r="E877" s="289">
        <f>'BD Team'!B88</f>
        <v>0</v>
      </c>
      <c r="F877" s="288" t="s">
        <v>254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7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246</v>
      </c>
      <c r="M879" s="536"/>
      <c r="N879" s="537" t="str">
        <f>$F$6</f>
        <v>Wood Effect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177</v>
      </c>
      <c r="M880" s="536"/>
      <c r="N880" s="537" t="str">
        <f>$K$6</f>
        <v>Black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247</v>
      </c>
      <c r="M881" s="536"/>
      <c r="N881" s="539" t="s">
        <v>255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248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249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250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251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252</v>
      </c>
      <c r="M886" s="536"/>
      <c r="N886" s="540">
        <f>'BD Team'!F88</f>
        <v>0</v>
      </c>
      <c r="O886" s="537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5" t="s">
        <v>253</v>
      </c>
      <c r="D888" s="536"/>
      <c r="E888" s="289">
        <f>'BD Team'!B89</f>
        <v>0</v>
      </c>
      <c r="F888" s="288" t="s">
        <v>254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7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246</v>
      </c>
      <c r="M890" s="536"/>
      <c r="N890" s="537" t="str">
        <f>$F$6</f>
        <v>Wood Effect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177</v>
      </c>
      <c r="M891" s="536"/>
      <c r="N891" s="537" t="str">
        <f>$K$6</f>
        <v>Black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247</v>
      </c>
      <c r="M892" s="536"/>
      <c r="N892" s="539" t="s">
        <v>255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248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249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250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251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252</v>
      </c>
      <c r="M897" s="536"/>
      <c r="N897" s="540">
        <f>'BD Team'!F89</f>
        <v>0</v>
      </c>
      <c r="O897" s="537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5" t="s">
        <v>253</v>
      </c>
      <c r="D899" s="536"/>
      <c r="E899" s="289">
        <f>'BD Team'!B90</f>
        <v>0</v>
      </c>
      <c r="F899" s="288" t="s">
        <v>254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7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246</v>
      </c>
      <c r="M901" s="536"/>
      <c r="N901" s="537" t="str">
        <f>$F$6</f>
        <v>Wood Effect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177</v>
      </c>
      <c r="M902" s="536"/>
      <c r="N902" s="537" t="str">
        <f>$K$6</f>
        <v>Black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247</v>
      </c>
      <c r="M903" s="536"/>
      <c r="N903" s="539" t="s">
        <v>255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248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249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250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251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252</v>
      </c>
      <c r="M908" s="536"/>
      <c r="N908" s="540">
        <f>'BD Team'!F90</f>
        <v>0</v>
      </c>
      <c r="O908" s="537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5" t="s">
        <v>253</v>
      </c>
      <c r="D910" s="536"/>
      <c r="E910" s="289">
        <f>'BD Team'!B91</f>
        <v>0</v>
      </c>
      <c r="F910" s="288" t="s">
        <v>254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7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246</v>
      </c>
      <c r="M912" s="536"/>
      <c r="N912" s="537" t="str">
        <f>$F$6</f>
        <v>Wood Effect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177</v>
      </c>
      <c r="M913" s="536"/>
      <c r="N913" s="537" t="str">
        <f>$K$6</f>
        <v>Black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247</v>
      </c>
      <c r="M914" s="536"/>
      <c r="N914" s="539" t="s">
        <v>255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248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249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250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251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252</v>
      </c>
      <c r="M919" s="536"/>
      <c r="N919" s="540">
        <f>'BD Team'!F91</f>
        <v>0</v>
      </c>
      <c r="O919" s="537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5" t="s">
        <v>253</v>
      </c>
      <c r="D921" s="536"/>
      <c r="E921" s="289">
        <f>'BD Team'!B92</f>
        <v>0</v>
      </c>
      <c r="F921" s="288" t="s">
        <v>254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7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246</v>
      </c>
      <c r="M923" s="536"/>
      <c r="N923" s="537" t="str">
        <f>$F$6</f>
        <v>Wood Effect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177</v>
      </c>
      <c r="M924" s="536"/>
      <c r="N924" s="537" t="str">
        <f>$K$6</f>
        <v>Black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247</v>
      </c>
      <c r="M925" s="536"/>
      <c r="N925" s="539" t="s">
        <v>255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248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249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250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251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252</v>
      </c>
      <c r="M930" s="536"/>
      <c r="N930" s="540">
        <f>'BD Team'!F92</f>
        <v>0</v>
      </c>
      <c r="O930" s="537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5" t="s">
        <v>253</v>
      </c>
      <c r="D932" s="536"/>
      <c r="E932" s="289">
        <f>'BD Team'!B93</f>
        <v>0</v>
      </c>
      <c r="F932" s="288" t="s">
        <v>254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7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246</v>
      </c>
      <c r="M934" s="536"/>
      <c r="N934" s="537" t="str">
        <f>$F$6</f>
        <v>Wood Effect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177</v>
      </c>
      <c r="M935" s="536"/>
      <c r="N935" s="537" t="str">
        <f>$K$6</f>
        <v>Black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247</v>
      </c>
      <c r="M936" s="536"/>
      <c r="N936" s="539" t="s">
        <v>255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248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249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250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251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252</v>
      </c>
      <c r="M941" s="536"/>
      <c r="N941" s="540">
        <f>'BD Team'!F93</f>
        <v>0</v>
      </c>
      <c r="O941" s="537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5" t="s">
        <v>253</v>
      </c>
      <c r="D943" s="536"/>
      <c r="E943" s="289">
        <f>'BD Team'!B94</f>
        <v>0</v>
      </c>
      <c r="F943" s="288" t="s">
        <v>254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7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246</v>
      </c>
      <c r="M945" s="536"/>
      <c r="N945" s="537" t="str">
        <f>$F$6</f>
        <v>Wood Effect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177</v>
      </c>
      <c r="M946" s="536"/>
      <c r="N946" s="537" t="str">
        <f>$K$6</f>
        <v>Black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247</v>
      </c>
      <c r="M947" s="536"/>
      <c r="N947" s="539" t="s">
        <v>255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248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249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250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251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252</v>
      </c>
      <c r="M952" s="536"/>
      <c r="N952" s="540">
        <f>'BD Team'!F94</f>
        <v>0</v>
      </c>
      <c r="O952" s="537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5" t="s">
        <v>253</v>
      </c>
      <c r="D954" s="536"/>
      <c r="E954" s="289">
        <f>'BD Team'!B95</f>
        <v>0</v>
      </c>
      <c r="F954" s="288" t="s">
        <v>254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7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246</v>
      </c>
      <c r="M956" s="536"/>
      <c r="N956" s="537" t="str">
        <f>$F$6</f>
        <v>Wood Effect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177</v>
      </c>
      <c r="M957" s="536"/>
      <c r="N957" s="537" t="str">
        <f>$K$6</f>
        <v>Black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247</v>
      </c>
      <c r="M958" s="536"/>
      <c r="N958" s="539" t="s">
        <v>255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248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249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250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251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252</v>
      </c>
      <c r="M963" s="536"/>
      <c r="N963" s="540">
        <f>'BD Team'!F95</f>
        <v>0</v>
      </c>
      <c r="O963" s="537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5" t="s">
        <v>253</v>
      </c>
      <c r="D965" s="536"/>
      <c r="E965" s="289">
        <f>'BD Team'!B96</f>
        <v>0</v>
      </c>
      <c r="F965" s="288" t="s">
        <v>254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7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246</v>
      </c>
      <c r="M967" s="536"/>
      <c r="N967" s="537" t="str">
        <f>$F$6</f>
        <v>Wood Effect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177</v>
      </c>
      <c r="M968" s="536"/>
      <c r="N968" s="537" t="str">
        <f>$K$6</f>
        <v>Black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247</v>
      </c>
      <c r="M969" s="536"/>
      <c r="N969" s="539" t="s">
        <v>255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248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249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250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251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252</v>
      </c>
      <c r="M974" s="536"/>
      <c r="N974" s="540">
        <f>'BD Team'!F96</f>
        <v>0</v>
      </c>
      <c r="O974" s="537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5" t="s">
        <v>253</v>
      </c>
      <c r="D976" s="536"/>
      <c r="E976" s="289">
        <f>'BD Team'!B97</f>
        <v>0</v>
      </c>
      <c r="F976" s="288" t="s">
        <v>254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7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246</v>
      </c>
      <c r="M978" s="536"/>
      <c r="N978" s="537" t="str">
        <f>$F$6</f>
        <v>Wood Effect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177</v>
      </c>
      <c r="M979" s="536"/>
      <c r="N979" s="537" t="str">
        <f>$K$6</f>
        <v>Black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247</v>
      </c>
      <c r="M980" s="536"/>
      <c r="N980" s="539" t="s">
        <v>255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248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249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250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251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252</v>
      </c>
      <c r="M985" s="536"/>
      <c r="N985" s="540">
        <f>'BD Team'!F97</f>
        <v>0</v>
      </c>
      <c r="O985" s="537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5" t="s">
        <v>253</v>
      </c>
      <c r="D987" s="536"/>
      <c r="E987" s="289">
        <f>'BD Team'!B98</f>
        <v>0</v>
      </c>
      <c r="F987" s="288" t="s">
        <v>254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7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246</v>
      </c>
      <c r="M989" s="536"/>
      <c r="N989" s="537" t="str">
        <f>$F$6</f>
        <v>Wood Effect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177</v>
      </c>
      <c r="M990" s="536"/>
      <c r="N990" s="537" t="str">
        <f>$K$6</f>
        <v>Black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247</v>
      </c>
      <c r="M991" s="536"/>
      <c r="N991" s="539" t="s">
        <v>255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248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249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250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251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252</v>
      </c>
      <c r="M996" s="536"/>
      <c r="N996" s="540">
        <f>'BD Team'!F98</f>
        <v>0</v>
      </c>
      <c r="O996" s="537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5" t="s">
        <v>253</v>
      </c>
      <c r="D998" s="536"/>
      <c r="E998" s="289">
        <f>'BD Team'!B99</f>
        <v>0</v>
      </c>
      <c r="F998" s="288" t="s">
        <v>254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7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246</v>
      </c>
      <c r="M1000" s="536"/>
      <c r="N1000" s="537" t="str">
        <f>$F$6</f>
        <v>Wood Effect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177</v>
      </c>
      <c r="M1001" s="536"/>
      <c r="N1001" s="537" t="str">
        <f>$K$6</f>
        <v>Black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247</v>
      </c>
      <c r="M1002" s="536"/>
      <c r="N1002" s="539" t="s">
        <v>255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248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249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250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251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252</v>
      </c>
      <c r="M1007" s="536"/>
      <c r="N1007" s="540">
        <f>'BD Team'!F99</f>
        <v>0</v>
      </c>
      <c r="O1007" s="537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5" t="s">
        <v>253</v>
      </c>
      <c r="D1009" s="536"/>
      <c r="E1009" s="289">
        <f>'BD Team'!B100</f>
        <v>0</v>
      </c>
      <c r="F1009" s="288" t="s">
        <v>254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7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246</v>
      </c>
      <c r="M1011" s="536"/>
      <c r="N1011" s="537" t="str">
        <f>$F$6</f>
        <v>Wood Effect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177</v>
      </c>
      <c r="M1012" s="536"/>
      <c r="N1012" s="537" t="str">
        <f>$K$6</f>
        <v>Black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247</v>
      </c>
      <c r="M1013" s="536"/>
      <c r="N1013" s="539" t="s">
        <v>255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248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249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250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251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252</v>
      </c>
      <c r="M1018" s="536"/>
      <c r="N1018" s="540">
        <f>'BD Team'!F100</f>
        <v>0</v>
      </c>
      <c r="O1018" s="537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5" t="s">
        <v>253</v>
      </c>
      <c r="D1020" s="536"/>
      <c r="E1020" s="289">
        <f>'BD Team'!B101</f>
        <v>0</v>
      </c>
      <c r="F1020" s="288" t="s">
        <v>254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7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246</v>
      </c>
      <c r="M1022" s="536"/>
      <c r="N1022" s="537" t="str">
        <f>$F$6</f>
        <v>Wood Effect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177</v>
      </c>
      <c r="M1023" s="536"/>
      <c r="N1023" s="537" t="str">
        <f>$K$6</f>
        <v>Black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247</v>
      </c>
      <c r="M1024" s="536"/>
      <c r="N1024" s="539" t="s">
        <v>255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248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249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250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251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252</v>
      </c>
      <c r="M1029" s="536"/>
      <c r="N1029" s="540">
        <f>'BD Team'!F101</f>
        <v>0</v>
      </c>
      <c r="O1029" s="537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5" t="s">
        <v>253</v>
      </c>
      <c r="D1031" s="536"/>
      <c r="E1031" s="289">
        <f>'BD Team'!B102</f>
        <v>0</v>
      </c>
      <c r="F1031" s="288" t="s">
        <v>254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7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246</v>
      </c>
      <c r="M1033" s="536"/>
      <c r="N1033" s="537" t="str">
        <f>$F$6</f>
        <v>Wood Effect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177</v>
      </c>
      <c r="M1034" s="536"/>
      <c r="N1034" s="537" t="str">
        <f>$K$6</f>
        <v>Black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247</v>
      </c>
      <c r="M1035" s="536"/>
      <c r="N1035" s="539" t="s">
        <v>255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248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249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250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251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252</v>
      </c>
      <c r="M1040" s="536"/>
      <c r="N1040" s="540">
        <f>'BD Team'!F102</f>
        <v>0</v>
      </c>
      <c r="O1040" s="537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5" t="s">
        <v>253</v>
      </c>
      <c r="D1042" s="536"/>
      <c r="E1042" s="289">
        <f>'BD Team'!B103</f>
        <v>0</v>
      </c>
      <c r="F1042" s="288" t="s">
        <v>254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7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246</v>
      </c>
      <c r="M1044" s="536"/>
      <c r="N1044" s="537" t="str">
        <f>$F$6</f>
        <v>Wood Effect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177</v>
      </c>
      <c r="M1045" s="536"/>
      <c r="N1045" s="537" t="str">
        <f>$K$6</f>
        <v>Black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247</v>
      </c>
      <c r="M1046" s="536"/>
      <c r="N1046" s="539" t="s">
        <v>255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248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249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250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251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252</v>
      </c>
      <c r="M1051" s="536"/>
      <c r="N1051" s="540">
        <f>'BD Team'!F103</f>
        <v>0</v>
      </c>
      <c r="O1051" s="537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5" t="s">
        <v>253</v>
      </c>
      <c r="D1053" s="536"/>
      <c r="E1053" s="289">
        <f>'BD Team'!B104</f>
        <v>0</v>
      </c>
      <c r="F1053" s="288" t="s">
        <v>254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7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246</v>
      </c>
      <c r="M1055" s="536"/>
      <c r="N1055" s="537" t="str">
        <f>$F$6</f>
        <v>Wood Effect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177</v>
      </c>
      <c r="M1056" s="536"/>
      <c r="N1056" s="537" t="str">
        <f>$K$6</f>
        <v>Black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247</v>
      </c>
      <c r="M1057" s="536"/>
      <c r="N1057" s="539" t="s">
        <v>255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248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249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250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251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252</v>
      </c>
      <c r="M1062" s="536"/>
      <c r="N1062" s="540">
        <f>'BD Team'!F104</f>
        <v>0</v>
      </c>
      <c r="O1062" s="537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5" t="s">
        <v>253</v>
      </c>
      <c r="D1064" s="536"/>
      <c r="E1064" s="289">
        <f>'BD Team'!B105</f>
        <v>0</v>
      </c>
      <c r="F1064" s="288" t="s">
        <v>254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7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246</v>
      </c>
      <c r="M1066" s="536"/>
      <c r="N1066" s="537" t="str">
        <f>$F$6</f>
        <v>Wood Effect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177</v>
      </c>
      <c r="M1067" s="536"/>
      <c r="N1067" s="537" t="str">
        <f>$K$6</f>
        <v>Black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247</v>
      </c>
      <c r="M1068" s="536"/>
      <c r="N1068" s="539" t="s">
        <v>255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248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249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250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251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252</v>
      </c>
      <c r="M1073" s="536"/>
      <c r="N1073" s="540">
        <f>'BD Team'!F105</f>
        <v>0</v>
      </c>
      <c r="O1073" s="537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5" t="s">
        <v>253</v>
      </c>
      <c r="D1075" s="536"/>
      <c r="E1075" s="289">
        <f>'BD Team'!B106</f>
        <v>0</v>
      </c>
      <c r="F1075" s="288" t="s">
        <v>254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7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246</v>
      </c>
      <c r="M1077" s="536"/>
      <c r="N1077" s="537" t="str">
        <f>$F$6</f>
        <v>Wood Effect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177</v>
      </c>
      <c r="M1078" s="536"/>
      <c r="N1078" s="537" t="str">
        <f>$K$6</f>
        <v>Black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247</v>
      </c>
      <c r="M1079" s="536"/>
      <c r="N1079" s="539" t="s">
        <v>255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248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249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250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251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252</v>
      </c>
      <c r="M1084" s="536"/>
      <c r="N1084" s="540">
        <f>'BD Team'!F106</f>
        <v>0</v>
      </c>
      <c r="O1084" s="537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5" t="s">
        <v>253</v>
      </c>
      <c r="D1086" s="536"/>
      <c r="E1086" s="289">
        <f>'BD Team'!B107</f>
        <v>0</v>
      </c>
      <c r="F1086" s="288" t="s">
        <v>254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7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246</v>
      </c>
      <c r="M1088" s="536"/>
      <c r="N1088" s="537" t="str">
        <f>$F$6</f>
        <v>Wood Effect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177</v>
      </c>
      <c r="M1089" s="536"/>
      <c r="N1089" s="537" t="str">
        <f>$K$6</f>
        <v>Black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247</v>
      </c>
      <c r="M1090" s="536"/>
      <c r="N1090" s="539" t="s">
        <v>255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248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249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250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251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252</v>
      </c>
      <c r="M1095" s="536"/>
      <c r="N1095" s="540">
        <f>'BD Team'!F107</f>
        <v>0</v>
      </c>
      <c r="O1095" s="537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5" t="s">
        <v>253</v>
      </c>
      <c r="D1097" s="536"/>
      <c r="E1097" s="289">
        <f>'BD Team'!B108</f>
        <v>0</v>
      </c>
      <c r="F1097" s="288" t="s">
        <v>254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7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246</v>
      </c>
      <c r="M1099" s="536"/>
      <c r="N1099" s="537" t="str">
        <f>$F$6</f>
        <v>Wood Effect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177</v>
      </c>
      <c r="M1100" s="536"/>
      <c r="N1100" s="537" t="str">
        <f>$K$6</f>
        <v>Black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247</v>
      </c>
      <c r="M1101" s="536"/>
      <c r="N1101" s="539" t="s">
        <v>255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248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249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250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251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252</v>
      </c>
      <c r="M1106" s="536"/>
      <c r="N1106" s="540">
        <f>'BD Team'!F108</f>
        <v>0</v>
      </c>
      <c r="O1106" s="537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262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1239</v>
      </c>
    </row>
    <row r="5" spans="3:5">
      <c r="C5" s="236" t="s">
        <v>396</v>
      </c>
      <c r="D5" s="236" t="s">
        <v>394</v>
      </c>
      <c r="E5" s="309">
        <f>ROUND(Pricing!U104,0.1)/40</f>
        <v>37.174999999999997</v>
      </c>
    </row>
    <row r="6" spans="3:5">
      <c r="C6" s="236" t="s">
        <v>83</v>
      </c>
      <c r="D6" s="236" t="s">
        <v>393</v>
      </c>
      <c r="E6" s="309">
        <f>ROUND(Pricing!V104,0.1)</f>
        <v>77</v>
      </c>
    </row>
    <row r="7" spans="3:5">
      <c r="C7" s="236" t="s">
        <v>400</v>
      </c>
      <c r="D7" s="236" t="s">
        <v>392</v>
      </c>
      <c r="E7" s="309">
        <f>ROUND(Pricing!W104,0.1)</f>
        <v>1239</v>
      </c>
    </row>
    <row r="8" spans="3:5">
      <c r="C8" s="236" t="s">
        <v>397</v>
      </c>
      <c r="D8" s="236" t="s">
        <v>392</v>
      </c>
      <c r="E8" s="309">
        <f>ROUND(Pricing!X104,0.1)</f>
        <v>2478</v>
      </c>
    </row>
    <row r="9" spans="3:5">
      <c r="C9" t="s">
        <v>222</v>
      </c>
      <c r="D9" s="236" t="s">
        <v>395</v>
      </c>
      <c r="E9" s="309">
        <f>ROUND(Pricing!Y104,0.1)</f>
        <v>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A13" workbookViewId="0">
      <selection activeCell="A27" sqref="A2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SD3</v>
      </c>
      <c r="B2" s="318" t="str">
        <f>'BD Team'!C9</f>
        <v>M14600</v>
      </c>
      <c r="C2" s="318" t="str">
        <f>'BD Team'!D9</f>
        <v>POCKET DOOR</v>
      </c>
      <c r="D2" s="318" t="str">
        <f>'BD Team'!E9</f>
        <v>24MM</v>
      </c>
      <c r="E2" s="318" t="str">
        <f>'BD Team'!G9</f>
        <v>FF - TULSI BALCONY</v>
      </c>
      <c r="F2" s="318" t="str">
        <f>'BD Team'!F9</f>
        <v>SS</v>
      </c>
      <c r="I2" s="318">
        <f>'BD Team'!H9</f>
        <v>1800</v>
      </c>
      <c r="J2" s="318">
        <f>'BD Team'!I9</f>
        <v>2400</v>
      </c>
      <c r="K2" s="318">
        <f>'BD Team'!J9</f>
        <v>1</v>
      </c>
      <c r="L2" s="319">
        <f>'BD Team'!K9</f>
        <v>565.29999999999995</v>
      </c>
      <c r="M2" s="318">
        <f>Pricing!O4</f>
        <v>2938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</v>
      </c>
      <c r="E3" s="318" t="str">
        <f>'BD Team'!G10</f>
        <v>AV ROOM</v>
      </c>
      <c r="F3" s="318" t="str">
        <f>'BD Team'!F10</f>
        <v>SS</v>
      </c>
      <c r="I3" s="318">
        <f>'BD Team'!H10</f>
        <v>1890</v>
      </c>
      <c r="J3" s="318">
        <f>'BD Team'!I10</f>
        <v>2400</v>
      </c>
      <c r="K3" s="318">
        <f>'BD Team'!J10</f>
        <v>1</v>
      </c>
      <c r="L3" s="319">
        <f>'BD Team'!K10</f>
        <v>568.1</v>
      </c>
      <c r="M3" s="318">
        <f>Pricing!O5</f>
        <v>2938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FD1</v>
      </c>
      <c r="B4" s="318" t="str">
        <f>'BD Team'!C11</f>
        <v>M14600</v>
      </c>
      <c r="C4" s="318" t="str">
        <f>'BD Team'!D11</f>
        <v>3 TRACK 2 SHUTTER SLIDING DOOR WITH 2 FIXED</v>
      </c>
      <c r="D4" s="318" t="str">
        <f>'BD Team'!E11</f>
        <v>24MM</v>
      </c>
      <c r="E4" s="318" t="str">
        <f>'BD Team'!G11</f>
        <v>LIVING</v>
      </c>
      <c r="F4" s="318" t="str">
        <f>'BD Team'!F11</f>
        <v>SS</v>
      </c>
      <c r="I4" s="318">
        <f>'BD Team'!H11</f>
        <v>4850</v>
      </c>
      <c r="J4" s="318">
        <f>'BD Team'!I11</f>
        <v>2400</v>
      </c>
      <c r="K4" s="318">
        <f>'BD Team'!J11</f>
        <v>1</v>
      </c>
      <c r="L4" s="319">
        <f>'BD Team'!K11</f>
        <v>1551.25</v>
      </c>
      <c r="M4" s="318">
        <f>Pricing!O6</f>
        <v>2938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FD3</v>
      </c>
      <c r="B5" s="318" t="str">
        <f>'BD Team'!C12</f>
        <v>M15000</v>
      </c>
      <c r="C5" s="318" t="str">
        <f>'BD Team'!D12</f>
        <v>2 SIDE HUNG DOORS WITH CENTER FIXED</v>
      </c>
      <c r="D5" s="318" t="str">
        <f>'BD Team'!E12</f>
        <v>24MM</v>
      </c>
      <c r="E5" s="318" t="str">
        <f>'BD Team'!G12</f>
        <v>DINING</v>
      </c>
      <c r="F5" s="318" t="str">
        <f>'BD Team'!F12</f>
        <v>RETRACTABLE</v>
      </c>
      <c r="I5" s="318">
        <f>'BD Team'!H12</f>
        <v>3000</v>
      </c>
      <c r="J5" s="318">
        <f>'BD Team'!I12</f>
        <v>2200</v>
      </c>
      <c r="K5" s="318">
        <f>'BD Team'!J12</f>
        <v>1</v>
      </c>
      <c r="L5" s="319">
        <f>'BD Team'!K12</f>
        <v>569.99</v>
      </c>
      <c r="M5" s="318">
        <f>Pricing!O7</f>
        <v>2938</v>
      </c>
      <c r="N5" s="318">
        <f>Pricing!Q7</f>
        <v>0</v>
      </c>
      <c r="O5" s="318">
        <f>Pricing!R7</f>
        <v>3229.2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FD2</v>
      </c>
      <c r="B6" s="318" t="str">
        <f>'BD Team'!C13</f>
        <v>M15000</v>
      </c>
      <c r="C6" s="318" t="str">
        <f>'BD Team'!D13</f>
        <v>FIXED GLASS 6 NO'S</v>
      </c>
      <c r="D6" s="318" t="str">
        <f>'BD Team'!E13</f>
        <v>24MM</v>
      </c>
      <c r="E6" s="318" t="str">
        <f>'BD Team'!G13</f>
        <v>LIVING</v>
      </c>
      <c r="F6" s="318" t="str">
        <f>'BD Team'!F13</f>
        <v>NO</v>
      </c>
      <c r="I6" s="318">
        <f>'BD Team'!H13</f>
        <v>4850</v>
      </c>
      <c r="J6" s="318">
        <f>'BD Team'!I13</f>
        <v>1900</v>
      </c>
      <c r="K6" s="318">
        <f>'BD Team'!J13</f>
        <v>1</v>
      </c>
      <c r="L6" s="319">
        <f>'BD Team'!K13</f>
        <v>441.48</v>
      </c>
      <c r="M6" s="318">
        <f>Pricing!O8</f>
        <v>2938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M15000</v>
      </c>
      <c r="C7" s="318" t="str">
        <f>'BD Team'!D14</f>
        <v>SIDE HUNG WINDOW</v>
      </c>
      <c r="D7" s="318" t="str">
        <f>'BD Team'!E14</f>
        <v>24MM</v>
      </c>
      <c r="E7" s="318" t="str">
        <f>'BD Team'!G14</f>
        <v>MASTER BEDROOM</v>
      </c>
      <c r="F7" s="318" t="str">
        <f>'BD Team'!F14</f>
        <v>RETRACTABLE</v>
      </c>
      <c r="I7" s="318">
        <f>'BD Team'!H14</f>
        <v>800</v>
      </c>
      <c r="J7" s="318">
        <f>'BD Team'!I14</f>
        <v>1600</v>
      </c>
      <c r="K7" s="318">
        <f>'BD Team'!J14</f>
        <v>1</v>
      </c>
      <c r="L7" s="319">
        <f>'BD Team'!K14</f>
        <v>168.47</v>
      </c>
      <c r="M7" s="318">
        <f>Pricing!O9</f>
        <v>2938</v>
      </c>
      <c r="N7" s="318">
        <f>Pricing!Q9</f>
        <v>0</v>
      </c>
      <c r="O7" s="318">
        <f>Pricing!R9</f>
        <v>6458.4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W2</v>
      </c>
      <c r="B8" s="318" t="str">
        <f>'BD Team'!C15</f>
        <v>M15000</v>
      </c>
      <c r="C8" s="318" t="str">
        <f>'BD Team'!D15</f>
        <v>FRENCH CASEMENT WINDOW</v>
      </c>
      <c r="D8" s="318" t="str">
        <f>'BD Team'!E15</f>
        <v>24MM</v>
      </c>
      <c r="E8" s="318" t="str">
        <f>'BD Team'!G15</f>
        <v>DEN, BEDROOM &amp; AV ROOM</v>
      </c>
      <c r="F8" s="318" t="str">
        <f>'BD Team'!F15</f>
        <v>RETRACTABLE</v>
      </c>
      <c r="I8" s="318">
        <f>'BD Team'!H15</f>
        <v>1600</v>
      </c>
      <c r="J8" s="318">
        <f>'BD Team'!I15</f>
        <v>1600</v>
      </c>
      <c r="K8" s="318">
        <f>'BD Team'!J15</f>
        <v>5</v>
      </c>
      <c r="L8" s="319">
        <f>'BD Team'!K15</f>
        <v>291.79000000000002</v>
      </c>
      <c r="M8" s="318">
        <f>Pricing!O10</f>
        <v>2938</v>
      </c>
      <c r="N8" s="318">
        <f>Pricing!Q10</f>
        <v>0</v>
      </c>
      <c r="O8" s="318">
        <f>Pricing!R10</f>
        <v>6458.4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W3</v>
      </c>
      <c r="B9" s="318" t="str">
        <f>'BD Team'!C16</f>
        <v>M15000</v>
      </c>
      <c r="C9" s="318" t="str">
        <f>'BD Team'!D16</f>
        <v>FRENCH CASEMENT WINDOW</v>
      </c>
      <c r="D9" s="318" t="str">
        <f>'BD Team'!E16</f>
        <v>24MM</v>
      </c>
      <c r="E9" s="318" t="str">
        <f>'BD Team'!G16</f>
        <v>STUDY, ANTI SPACE, LOUNGE, DRESS &amp; MASSAGE ROOM</v>
      </c>
      <c r="F9" s="318" t="str">
        <f>'BD Team'!F16</f>
        <v>RETRACTABLE</v>
      </c>
      <c r="I9" s="318">
        <f>'BD Team'!H16</f>
        <v>1200</v>
      </c>
      <c r="J9" s="318">
        <f>'BD Team'!I16</f>
        <v>1600</v>
      </c>
      <c r="K9" s="318">
        <f>'BD Team'!J16</f>
        <v>7</v>
      </c>
      <c r="L9" s="319">
        <f>'BD Team'!K16</f>
        <v>275.02</v>
      </c>
      <c r="M9" s="318">
        <f>Pricing!O11</f>
        <v>2938</v>
      </c>
      <c r="N9" s="318">
        <f>Pricing!Q11</f>
        <v>0</v>
      </c>
      <c r="O9" s="318">
        <f>Pricing!R11</f>
        <v>6458.4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FW1</v>
      </c>
      <c r="B10" s="318" t="str">
        <f>'BD Team'!C17</f>
        <v>M15000</v>
      </c>
      <c r="C10" s="318" t="str">
        <f>'BD Team'!D17</f>
        <v>FIXED GLASS</v>
      </c>
      <c r="D10" s="318" t="str">
        <f>'BD Team'!E17</f>
        <v>24MM</v>
      </c>
      <c r="E10" s="318" t="str">
        <f>'BD Team'!G17</f>
        <v>FLOOR LOBBY</v>
      </c>
      <c r="F10" s="318" t="str">
        <f>'BD Team'!F17</f>
        <v>NO</v>
      </c>
      <c r="I10" s="318">
        <f>'BD Team'!H17</f>
        <v>1200</v>
      </c>
      <c r="J10" s="318">
        <f>'BD Team'!I17</f>
        <v>2200</v>
      </c>
      <c r="K10" s="318">
        <f>'BD Team'!J17</f>
        <v>1</v>
      </c>
      <c r="L10" s="319">
        <f>'BD Team'!K17</f>
        <v>73.61</v>
      </c>
      <c r="M10" s="318">
        <f>Pricing!O12</f>
        <v>2938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W4</v>
      </c>
      <c r="B11" s="318" t="str">
        <f>'BD Team'!C18</f>
        <v>M15000</v>
      </c>
      <c r="C11" s="318" t="str">
        <f>'BD Team'!D18</f>
        <v>2 FRENCH CASEMENT WINDOW</v>
      </c>
      <c r="D11" s="318" t="str">
        <f>'BD Team'!E18</f>
        <v>24MM</v>
      </c>
      <c r="E11" s="318" t="str">
        <f>'BD Team'!G18</f>
        <v>BED ROOM</v>
      </c>
      <c r="F11" s="318" t="str">
        <f>'BD Team'!F18</f>
        <v>RETRACTABLE</v>
      </c>
      <c r="I11" s="318">
        <f>'BD Team'!H18</f>
        <v>2400</v>
      </c>
      <c r="J11" s="318">
        <f>'BD Team'!I18</f>
        <v>1600</v>
      </c>
      <c r="K11" s="318">
        <f>'BD Team'!J18</f>
        <v>1</v>
      </c>
      <c r="L11" s="319">
        <f>'BD Team'!K18</f>
        <v>541.89</v>
      </c>
      <c r="M11" s="318">
        <f>Pricing!O13</f>
        <v>2938</v>
      </c>
      <c r="N11" s="318">
        <f>Pricing!Q13</f>
        <v>0</v>
      </c>
      <c r="O11" s="318">
        <f>Pricing!R13</f>
        <v>6458.4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W5</v>
      </c>
      <c r="B12" s="318" t="str">
        <f>'BD Team'!C19</f>
        <v>M15000</v>
      </c>
      <c r="C12" s="318" t="str">
        <f>'BD Team'!D19</f>
        <v>FRENCH CASEMENT WINDOW</v>
      </c>
      <c r="D12" s="318" t="str">
        <f>'BD Team'!E19</f>
        <v>24MM</v>
      </c>
      <c r="E12" s="318" t="str">
        <f>'BD Team'!G19</f>
        <v>DRESS, MASTER BEDROOM &amp; TERRACE</v>
      </c>
      <c r="F12" s="318" t="str">
        <f>'BD Team'!F19</f>
        <v>RETRACTABLE</v>
      </c>
      <c r="I12" s="318">
        <f>'BD Team'!H19</f>
        <v>1000</v>
      </c>
      <c r="J12" s="318">
        <f>'BD Team'!I19</f>
        <v>1600</v>
      </c>
      <c r="K12" s="318">
        <f>'BD Team'!J19</f>
        <v>4</v>
      </c>
      <c r="L12" s="319">
        <f>'BD Team'!K19</f>
        <v>266.64</v>
      </c>
      <c r="M12" s="318">
        <f>Pricing!O14</f>
        <v>2938</v>
      </c>
      <c r="N12" s="318">
        <f>Pricing!Q14</f>
        <v>0</v>
      </c>
      <c r="O12" s="318">
        <f>Pricing!R14</f>
        <v>6458.4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W6</v>
      </c>
      <c r="B13" s="318" t="str">
        <f>'BD Team'!C20</f>
        <v>M15000</v>
      </c>
      <c r="C13" s="318" t="str">
        <f>'BD Team'!D20</f>
        <v>FRENCH CASEMENT WINDOW</v>
      </c>
      <c r="D13" s="318" t="str">
        <f>'BD Team'!E20</f>
        <v>24MM</v>
      </c>
      <c r="E13" s="318" t="str">
        <f>'BD Team'!G20</f>
        <v>BEDROOM &amp; LAUNDRY</v>
      </c>
      <c r="F13" s="318" t="str">
        <f>'BD Team'!F20</f>
        <v>RETRACTABLE</v>
      </c>
      <c r="I13" s="318">
        <f>'BD Team'!H20</f>
        <v>1500</v>
      </c>
      <c r="J13" s="318">
        <f>'BD Team'!I20</f>
        <v>1600</v>
      </c>
      <c r="K13" s="318">
        <f>'BD Team'!J20</f>
        <v>3</v>
      </c>
      <c r="L13" s="319">
        <f>'BD Team'!K20</f>
        <v>287.60000000000002</v>
      </c>
      <c r="M13" s="318">
        <f>Pricing!O15</f>
        <v>2938</v>
      </c>
      <c r="N13" s="318">
        <f>Pricing!Q15</f>
        <v>0</v>
      </c>
      <c r="O13" s="318">
        <f>Pricing!R15</f>
        <v>6458.4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FG</v>
      </c>
      <c r="B14" s="318" t="str">
        <f>'BD Team'!C21</f>
        <v>M15000</v>
      </c>
      <c r="C14" s="318" t="str">
        <f>'BD Team'!D21</f>
        <v>SIDE HUNG WINDOW WITH BOTTOM FIXED</v>
      </c>
      <c r="D14" s="318" t="str">
        <f>'BD Team'!E21</f>
        <v>24MM</v>
      </c>
      <c r="E14" s="318" t="str">
        <f>'BD Team'!G21</f>
        <v>DOUBLE HEIGHT AREA</v>
      </c>
      <c r="F14" s="318" t="str">
        <f>'BD Team'!F21</f>
        <v>RETRACTABLE</v>
      </c>
      <c r="I14" s="318">
        <f>'BD Team'!H21</f>
        <v>1100</v>
      </c>
      <c r="J14" s="318">
        <f>'BD Team'!I21</f>
        <v>2860</v>
      </c>
      <c r="K14" s="318">
        <f>'BD Team'!J21</f>
        <v>4</v>
      </c>
      <c r="L14" s="319">
        <f>'BD Team'!K21</f>
        <v>283.7</v>
      </c>
      <c r="M14" s="318">
        <f>Pricing!O16</f>
        <v>2938</v>
      </c>
      <c r="N14" s="318">
        <f>Pricing!Q16</f>
        <v>0</v>
      </c>
      <c r="O14" s="318">
        <f>Pricing!R16</f>
        <v>4305.5999999999995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SW</v>
      </c>
      <c r="B15" s="318" t="str">
        <f>'BD Team'!C22</f>
        <v>M15000</v>
      </c>
      <c r="C15" s="318" t="str">
        <f>'BD Team'!D22</f>
        <v>FRENCH CASEMENT WINDOW</v>
      </c>
      <c r="D15" s="318" t="str">
        <f>'BD Team'!E22</f>
        <v>24MM</v>
      </c>
      <c r="E15" s="318" t="str">
        <f>'BD Team'!G22</f>
        <v>SERVANT ROOM</v>
      </c>
      <c r="F15" s="318" t="str">
        <f>'BD Team'!F22</f>
        <v>RETRACTABLE</v>
      </c>
      <c r="I15" s="318">
        <f>'BD Team'!H22</f>
        <v>1200</v>
      </c>
      <c r="J15" s="318">
        <f>'BD Team'!I22</f>
        <v>1200</v>
      </c>
      <c r="K15" s="318">
        <f>'BD Team'!J22</f>
        <v>1</v>
      </c>
      <c r="L15" s="319">
        <f>'BD Team'!K22</f>
        <v>233.22</v>
      </c>
      <c r="M15" s="318">
        <f>Pricing!O17</f>
        <v>2938</v>
      </c>
      <c r="N15" s="318">
        <f>Pricing!Q17</f>
        <v>0</v>
      </c>
      <c r="O15" s="318">
        <f>Pricing!R17</f>
        <v>6458.4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FD4</v>
      </c>
      <c r="B16" s="318" t="str">
        <f>'BD Team'!C23</f>
        <v>M15000</v>
      </c>
      <c r="C16" s="318" t="str">
        <f>'BD Team'!D23</f>
        <v>2 SIDE HUNG DOORS WITH CENTER FIXED</v>
      </c>
      <c r="D16" s="318" t="str">
        <f>'BD Team'!E23</f>
        <v>32MM &amp; 24MM</v>
      </c>
      <c r="E16" s="318" t="str">
        <f>'BD Team'!G23</f>
        <v>MASTER BEDROOM</v>
      </c>
      <c r="F16" s="318" t="str">
        <f>'BD Team'!F23</f>
        <v>RETRACTABLE</v>
      </c>
      <c r="I16" s="318">
        <f>'BD Team'!H23</f>
        <v>4880</v>
      </c>
      <c r="J16" s="318">
        <f>'BD Team'!I23</f>
        <v>2200</v>
      </c>
      <c r="K16" s="318">
        <f>'BD Team'!J23</f>
        <v>1</v>
      </c>
      <c r="L16" s="319">
        <f>'BD Team'!K23</f>
        <v>702.24</v>
      </c>
      <c r="M16" s="318">
        <f>Pricing!O18</f>
        <v>4114</v>
      </c>
      <c r="N16" s="318">
        <f>Pricing!Q18</f>
        <v>0</v>
      </c>
      <c r="O16" s="318">
        <f>Pricing!R18</f>
        <v>3229.2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KW1</v>
      </c>
      <c r="B17" s="318" t="str">
        <f>'BD Team'!C24</f>
        <v>M15000</v>
      </c>
      <c r="C17" s="318" t="str">
        <f>'BD Team'!D24</f>
        <v>FRENCH CASEMENT WINDOW</v>
      </c>
      <c r="D17" s="318" t="str">
        <f>'BD Team'!E24</f>
        <v>24MM</v>
      </c>
      <c r="E17" s="318" t="str">
        <f>'BD Team'!G24</f>
        <v>KITCHEN</v>
      </c>
      <c r="F17" s="318" t="str">
        <f>'BD Team'!F24</f>
        <v>RETRACTABLE</v>
      </c>
      <c r="I17" s="318">
        <f>'BD Team'!H24</f>
        <v>1000</v>
      </c>
      <c r="J17" s="318">
        <f>'BD Team'!I24</f>
        <v>1200</v>
      </c>
      <c r="K17" s="318">
        <f>'BD Team'!J24</f>
        <v>2</v>
      </c>
      <c r="L17" s="319">
        <f>'BD Team'!K24</f>
        <v>224.84</v>
      </c>
      <c r="M17" s="318">
        <f>Pricing!O19</f>
        <v>2938</v>
      </c>
      <c r="N17" s="318">
        <f>Pricing!Q19</f>
        <v>0</v>
      </c>
      <c r="O17" s="318">
        <f>Pricing!R19</f>
        <v>6458.4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KW2</v>
      </c>
      <c r="B18" s="318" t="str">
        <f>'BD Team'!C25</f>
        <v>M15000</v>
      </c>
      <c r="C18" s="318" t="str">
        <f>'BD Team'!D25</f>
        <v>FRENCH CASEMENT WINDOW</v>
      </c>
      <c r="D18" s="318" t="str">
        <f>'BD Team'!E25</f>
        <v>24MM</v>
      </c>
      <c r="E18" s="318" t="str">
        <f>'BD Team'!G25</f>
        <v>KITCHEN</v>
      </c>
      <c r="F18" s="318" t="str">
        <f>'BD Team'!F25</f>
        <v>RETRACTABLE</v>
      </c>
      <c r="I18" s="318">
        <f>'BD Team'!H25</f>
        <v>1200</v>
      </c>
      <c r="J18" s="318">
        <f>'BD Team'!I25</f>
        <v>1200</v>
      </c>
      <c r="K18" s="318">
        <f>'BD Team'!J25</f>
        <v>1</v>
      </c>
      <c r="L18" s="319">
        <f>'BD Team'!K25</f>
        <v>233.22</v>
      </c>
      <c r="M18" s="318">
        <f>Pricing!O20</f>
        <v>2938</v>
      </c>
      <c r="N18" s="318">
        <f>Pricing!Q20</f>
        <v>0</v>
      </c>
      <c r="O18" s="318">
        <f>Pricing!R20</f>
        <v>6458.4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GW</v>
      </c>
      <c r="B19" s="318" t="str">
        <f>'BD Team'!C26</f>
        <v>M15000</v>
      </c>
      <c r="C19" s="318" t="str">
        <f>'BD Team'!D26</f>
        <v>2 SIDE HUNG DOORS WITH CENTER FIXED</v>
      </c>
      <c r="D19" s="318" t="str">
        <f>'BD Team'!E26</f>
        <v>24MM</v>
      </c>
      <c r="E19" s="318" t="str">
        <f>'BD Team'!G26</f>
        <v>GYM AREA</v>
      </c>
      <c r="F19" s="318" t="str">
        <f>'BD Team'!F26</f>
        <v>RETRACTABLE</v>
      </c>
      <c r="I19" s="318">
        <f>'BD Team'!H26</f>
        <v>3000</v>
      </c>
      <c r="J19" s="318">
        <f>'BD Team'!I26</f>
        <v>1600</v>
      </c>
      <c r="K19" s="318">
        <f>'BD Team'!J26</f>
        <v>2</v>
      </c>
      <c r="L19" s="319">
        <f>'BD Team'!K26</f>
        <v>519.95000000000005</v>
      </c>
      <c r="M19" s="318">
        <f>Pricing!O21</f>
        <v>2938</v>
      </c>
      <c r="N19" s="318">
        <f>Pricing!Q21</f>
        <v>0</v>
      </c>
      <c r="O19" s="318">
        <f>Pricing!R21</f>
        <v>5382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CW</v>
      </c>
      <c r="B20" s="318" t="str">
        <f>'BD Team'!C27</f>
        <v>M15000</v>
      </c>
      <c r="C20" s="318" t="str">
        <f>'BD Team'!D27</f>
        <v>2 SIDE HUNG DOORS WITH CORNOR FIXED</v>
      </c>
      <c r="D20" s="318" t="str">
        <f>'BD Team'!E27</f>
        <v>24MM</v>
      </c>
      <c r="E20" s="318" t="str">
        <f>'BD Team'!G27</f>
        <v>BEDROOM</v>
      </c>
      <c r="F20" s="318" t="str">
        <f>'BD Team'!F27</f>
        <v>RETRACTABLE</v>
      </c>
      <c r="I20" s="318">
        <f>'BD Team'!H27</f>
        <v>3220</v>
      </c>
      <c r="J20" s="318">
        <f>'BD Team'!I27</f>
        <v>1600</v>
      </c>
      <c r="K20" s="318">
        <f>'BD Team'!J27</f>
        <v>2</v>
      </c>
      <c r="L20" s="319">
        <f>'BD Team'!K27</f>
        <v>580.54999999999995</v>
      </c>
      <c r="M20" s="318">
        <f>Pricing!O22</f>
        <v>2938</v>
      </c>
      <c r="N20" s="318">
        <f>Pricing!Q22</f>
        <v>0</v>
      </c>
      <c r="O20" s="318">
        <f>Pricing!R22</f>
        <v>4305.5999999999995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SW1</v>
      </c>
      <c r="B21" s="318" t="str">
        <f>'BD Team'!C28</f>
        <v>M15000</v>
      </c>
      <c r="C21" s="318" t="str">
        <f>'BD Team'!D28</f>
        <v>FIXED GLASS</v>
      </c>
      <c r="D21" s="318" t="str">
        <f>'BD Team'!E28</f>
        <v>24MM</v>
      </c>
      <c r="E21" s="318" t="str">
        <f>'BD Team'!G28</f>
        <v>STAIRCASE CORE</v>
      </c>
      <c r="F21" s="318" t="str">
        <f>'BD Team'!F28</f>
        <v>NO</v>
      </c>
      <c r="I21" s="318">
        <f>'BD Team'!H28</f>
        <v>500</v>
      </c>
      <c r="J21" s="318">
        <f>'BD Team'!I28</f>
        <v>500</v>
      </c>
      <c r="K21" s="318">
        <f>'BD Team'!J28</f>
        <v>13</v>
      </c>
      <c r="L21" s="319">
        <f>'BD Team'!K28</f>
        <v>25.93</v>
      </c>
      <c r="M21" s="318">
        <f>Pricing!O23</f>
        <v>2938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V1</v>
      </c>
      <c r="B22" s="318" t="str">
        <f>'BD Team'!C29</f>
        <v>M15000</v>
      </c>
      <c r="C22" s="318" t="str">
        <f>'BD Team'!D29</f>
        <v>TOP HUNG WINDOW</v>
      </c>
      <c r="D22" s="318" t="str">
        <f>'BD Team'!E29</f>
        <v>24MM (F)</v>
      </c>
      <c r="E22" s="318" t="str">
        <f>'BD Team'!G29</f>
        <v>BATH &amp; BOX ROOM</v>
      </c>
      <c r="F22" s="318" t="str">
        <f>'BD Team'!F29</f>
        <v>NO</v>
      </c>
      <c r="I22" s="318">
        <f>'BD Team'!H29</f>
        <v>800</v>
      </c>
      <c r="J22" s="318">
        <f>'BD Team'!I29</f>
        <v>600</v>
      </c>
      <c r="K22" s="318">
        <f>'BD Team'!J29</f>
        <v>5</v>
      </c>
      <c r="L22" s="319">
        <f>'BD Team'!K29</f>
        <v>112.82</v>
      </c>
      <c r="M22" s="318">
        <f>Pricing!O24</f>
        <v>3940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V2</v>
      </c>
      <c r="B23" s="318" t="str">
        <f>'BD Team'!C30</f>
        <v>M15000</v>
      </c>
      <c r="C23" s="318" t="str">
        <f>'BD Team'!D30</f>
        <v>TOP HUNG WINDOW</v>
      </c>
      <c r="D23" s="318" t="str">
        <f>'BD Team'!E30</f>
        <v>24MM (F)</v>
      </c>
      <c r="E23" s="318" t="str">
        <f>'BD Team'!G30</f>
        <v>BATH &amp; PUMP ROOM</v>
      </c>
      <c r="F23" s="318" t="str">
        <f>'BD Team'!F30</f>
        <v>NO</v>
      </c>
      <c r="I23" s="318">
        <f>'BD Team'!H30</f>
        <v>600</v>
      </c>
      <c r="J23" s="318">
        <f>'BD Team'!I30</f>
        <v>600</v>
      </c>
      <c r="K23" s="318">
        <f>'BD Team'!J30</f>
        <v>3</v>
      </c>
      <c r="L23" s="319">
        <f>'BD Team'!K30</f>
        <v>104.38</v>
      </c>
      <c r="M23" s="318">
        <f>Pricing!O25</f>
        <v>3940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FV</v>
      </c>
      <c r="B24" s="318" t="str">
        <f>'BD Team'!C31</f>
        <v>M15000</v>
      </c>
      <c r="C24" s="318" t="str">
        <f>'BD Team'!D31</f>
        <v>FIXED GLASS</v>
      </c>
      <c r="D24" s="318" t="str">
        <f>'BD Team'!E31</f>
        <v>24MM (F)</v>
      </c>
      <c r="E24" s="318" t="str">
        <f>'BD Team'!G31</f>
        <v>POWDER BATH &amp; DRESS</v>
      </c>
      <c r="F24" s="318" t="str">
        <f>'BD Team'!F31</f>
        <v>NO</v>
      </c>
      <c r="I24" s="318">
        <f>'BD Team'!H31</f>
        <v>600</v>
      </c>
      <c r="J24" s="318">
        <f>'BD Team'!I31</f>
        <v>600</v>
      </c>
      <c r="K24" s="318">
        <f>'BD Team'!J31</f>
        <v>5</v>
      </c>
      <c r="L24" s="319">
        <f>'BD Team'!K31</f>
        <v>29.91</v>
      </c>
      <c r="M24" s="318">
        <f>Pricing!O26</f>
        <v>3940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FG1</v>
      </c>
      <c r="B25" s="318" t="str">
        <f>'BD Team'!C32</f>
        <v>M15000</v>
      </c>
      <c r="C25" s="318" t="str">
        <f>'BD Team'!D32</f>
        <v>FIXED GLASS 6 NO'S</v>
      </c>
      <c r="D25" s="318" t="str">
        <f>'BD Team'!E32</f>
        <v>24MM</v>
      </c>
      <c r="E25" s="318" t="str">
        <f>'BD Team'!G32</f>
        <v>BEDROOM</v>
      </c>
      <c r="F25" s="318" t="str">
        <f>'BD Team'!F32</f>
        <v>NO</v>
      </c>
      <c r="I25" s="318">
        <f>'BD Team'!H32</f>
        <v>5580</v>
      </c>
      <c r="J25" s="318">
        <f>'BD Team'!I32</f>
        <v>2860</v>
      </c>
      <c r="K25" s="318">
        <f>'BD Team'!J32</f>
        <v>1</v>
      </c>
      <c r="L25" s="319">
        <f>'BD Team'!K32</f>
        <v>926.42</v>
      </c>
      <c r="M25" s="318">
        <f>Pricing!O27</f>
        <v>2938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PD</v>
      </c>
      <c r="B26" s="318" t="str">
        <f>'BD Team'!C33</f>
        <v>M15000</v>
      </c>
      <c r="C26" s="318" t="str">
        <f>'BD Team'!D33</f>
        <v>FRENCH CASEMENT WINDOW IN SHAPE</v>
      </c>
      <c r="D26" s="318" t="str">
        <f>'BD Team'!E33</f>
        <v>24MM</v>
      </c>
      <c r="E26" s="318" t="str">
        <f>'BD Team'!G33</f>
        <v>PANEL ROOM DOOR</v>
      </c>
      <c r="F26" s="318" t="str">
        <f>'BD Team'!F33</f>
        <v>NO</v>
      </c>
      <c r="I26" s="318">
        <f>'BD Team'!H33</f>
        <v>1900</v>
      </c>
      <c r="J26" s="318">
        <f>'BD Team'!I33</f>
        <v>2130</v>
      </c>
      <c r="K26" s="318">
        <f>'BD Team'!J33</f>
        <v>1</v>
      </c>
      <c r="L26" s="319">
        <f>'BD Team'!K33</f>
        <v>588.28</v>
      </c>
      <c r="M26" s="318">
        <f>Pricing!O28</f>
        <v>2938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" zoomScale="75" zoomScaleNormal="75" zoomScaleSheetLayoutView="75" workbookViewId="0">
      <selection activeCell="D34" sqref="D3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424</v>
      </c>
      <c r="F2" s="137"/>
      <c r="G2" s="163"/>
      <c r="H2" s="323" t="s">
        <v>184</v>
      </c>
      <c r="I2" s="324"/>
      <c r="J2" s="165" t="s">
        <v>428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425</v>
      </c>
      <c r="F3" s="136" t="s">
        <v>182</v>
      </c>
      <c r="G3" s="162" t="s">
        <v>427</v>
      </c>
      <c r="H3" s="323" t="s">
        <v>185</v>
      </c>
      <c r="I3" s="324"/>
      <c r="J3" s="166">
        <v>43736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 t="s">
        <v>386</v>
      </c>
      <c r="F4" s="135"/>
      <c r="G4" s="164"/>
      <c r="H4" s="323" t="s">
        <v>186</v>
      </c>
      <c r="I4" s="324"/>
      <c r="J4" s="165" t="s">
        <v>383</v>
      </c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 t="s">
        <v>426</v>
      </c>
      <c r="F5" s="136" t="s">
        <v>183</v>
      </c>
      <c r="G5" s="162" t="s">
        <v>260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429</v>
      </c>
      <c r="C9" s="113" t="s">
        <v>430</v>
      </c>
      <c r="D9" s="113" t="s">
        <v>431</v>
      </c>
      <c r="E9" s="113" t="s">
        <v>263</v>
      </c>
      <c r="F9" s="113" t="s">
        <v>432</v>
      </c>
      <c r="G9" s="113" t="s">
        <v>433</v>
      </c>
      <c r="H9" s="113">
        <v>1800</v>
      </c>
      <c r="I9" s="113">
        <v>2400</v>
      </c>
      <c r="J9" s="113">
        <v>1</v>
      </c>
      <c r="K9" s="123">
        <v>565.29999999999995</v>
      </c>
    </row>
    <row r="10" spans="1:13" ht="20.100000000000001" customHeight="1">
      <c r="A10" s="113">
        <v>2</v>
      </c>
      <c r="B10" s="113" t="s">
        <v>434</v>
      </c>
      <c r="C10" s="113" t="s">
        <v>430</v>
      </c>
      <c r="D10" s="113" t="s">
        <v>435</v>
      </c>
      <c r="E10" s="113" t="s">
        <v>263</v>
      </c>
      <c r="F10" s="113" t="s">
        <v>432</v>
      </c>
      <c r="G10" s="113" t="s">
        <v>436</v>
      </c>
      <c r="H10" s="113">
        <v>1890</v>
      </c>
      <c r="I10" s="113">
        <v>2400</v>
      </c>
      <c r="J10" s="113">
        <v>1</v>
      </c>
      <c r="K10" s="123">
        <v>568.1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430</v>
      </c>
      <c r="D11" s="113" t="s">
        <v>439</v>
      </c>
      <c r="E11" s="113" t="s">
        <v>263</v>
      </c>
      <c r="F11" s="113" t="s">
        <v>432</v>
      </c>
      <c r="G11" s="113" t="s">
        <v>438</v>
      </c>
      <c r="H11" s="113">
        <v>4850</v>
      </c>
      <c r="I11" s="113">
        <v>2400</v>
      </c>
      <c r="J11" s="113">
        <v>1</v>
      </c>
      <c r="K11" s="123">
        <v>1551.25</v>
      </c>
      <c r="L11" s="47" t="s">
        <v>281</v>
      </c>
    </row>
    <row r="12" spans="1:13" ht="20.100000000000001" customHeight="1">
      <c r="A12" s="113">
        <v>4</v>
      </c>
      <c r="B12" s="113" t="s">
        <v>440</v>
      </c>
      <c r="C12" s="113" t="s">
        <v>441</v>
      </c>
      <c r="D12" s="113" t="s">
        <v>442</v>
      </c>
      <c r="E12" s="113" t="s">
        <v>263</v>
      </c>
      <c r="F12" s="113" t="s">
        <v>443</v>
      </c>
      <c r="G12" s="113" t="s">
        <v>444</v>
      </c>
      <c r="H12" s="113">
        <v>3000</v>
      </c>
      <c r="I12" s="113">
        <v>2200</v>
      </c>
      <c r="J12" s="113">
        <v>1</v>
      </c>
      <c r="K12" s="123">
        <v>569.99</v>
      </c>
      <c r="L12" s="47" t="s">
        <v>365</v>
      </c>
    </row>
    <row r="13" spans="1:13" ht="20.100000000000001" customHeight="1">
      <c r="A13" s="113">
        <v>5</v>
      </c>
      <c r="B13" s="113" t="s">
        <v>445</v>
      </c>
      <c r="C13" s="113" t="s">
        <v>441</v>
      </c>
      <c r="D13" s="113" t="s">
        <v>446</v>
      </c>
      <c r="E13" s="113" t="s">
        <v>263</v>
      </c>
      <c r="F13" s="113" t="s">
        <v>447</v>
      </c>
      <c r="G13" s="113" t="s">
        <v>438</v>
      </c>
      <c r="H13" s="113">
        <v>4850</v>
      </c>
      <c r="I13" s="113">
        <v>1900</v>
      </c>
      <c r="J13" s="113">
        <v>1</v>
      </c>
      <c r="K13" s="123">
        <v>441.48</v>
      </c>
      <c r="L13" s="47" t="s">
        <v>366</v>
      </c>
    </row>
    <row r="14" spans="1:13">
      <c r="A14" s="113">
        <v>6</v>
      </c>
      <c r="B14" s="113" t="s">
        <v>448</v>
      </c>
      <c r="C14" s="113" t="s">
        <v>441</v>
      </c>
      <c r="D14" s="113" t="s">
        <v>449</v>
      </c>
      <c r="E14" s="113" t="s">
        <v>263</v>
      </c>
      <c r="F14" s="113" t="s">
        <v>443</v>
      </c>
      <c r="G14" s="113" t="s">
        <v>450</v>
      </c>
      <c r="H14" s="113">
        <v>800</v>
      </c>
      <c r="I14" s="113">
        <v>1600</v>
      </c>
      <c r="J14" s="113">
        <v>1</v>
      </c>
      <c r="K14" s="123">
        <v>168.47</v>
      </c>
      <c r="L14" s="47" t="s">
        <v>367</v>
      </c>
    </row>
    <row r="15" spans="1:13" ht="20.100000000000001" customHeight="1">
      <c r="A15" s="113">
        <v>7</v>
      </c>
      <c r="B15" s="113" t="s">
        <v>451</v>
      </c>
      <c r="C15" s="113" t="s">
        <v>441</v>
      </c>
      <c r="D15" s="113" t="s">
        <v>452</v>
      </c>
      <c r="E15" s="113" t="s">
        <v>263</v>
      </c>
      <c r="F15" s="113" t="s">
        <v>443</v>
      </c>
      <c r="G15" s="113" t="s">
        <v>453</v>
      </c>
      <c r="H15" s="113">
        <v>1600</v>
      </c>
      <c r="I15" s="113">
        <v>1600</v>
      </c>
      <c r="J15" s="113">
        <v>5</v>
      </c>
      <c r="K15" s="123">
        <v>291.79000000000002</v>
      </c>
      <c r="L15" s="47" t="s">
        <v>368</v>
      </c>
    </row>
    <row r="16" spans="1:13" ht="20.100000000000001" customHeight="1">
      <c r="A16" s="113">
        <v>8</v>
      </c>
      <c r="B16" s="113" t="s">
        <v>454</v>
      </c>
      <c r="C16" s="113" t="s">
        <v>441</v>
      </c>
      <c r="D16" s="113" t="s">
        <v>452</v>
      </c>
      <c r="E16" s="113" t="s">
        <v>263</v>
      </c>
      <c r="F16" s="113" t="s">
        <v>443</v>
      </c>
      <c r="G16" s="113" t="s">
        <v>455</v>
      </c>
      <c r="H16" s="113">
        <v>1200</v>
      </c>
      <c r="I16" s="113">
        <v>1600</v>
      </c>
      <c r="J16" s="113">
        <v>7</v>
      </c>
      <c r="K16" s="123">
        <v>275.02</v>
      </c>
      <c r="L16" s="47" t="s">
        <v>369</v>
      </c>
    </row>
    <row r="17" spans="1:13" ht="20.100000000000001" customHeight="1">
      <c r="A17" s="113">
        <v>9</v>
      </c>
      <c r="B17" s="113" t="s">
        <v>456</v>
      </c>
      <c r="C17" s="113" t="s">
        <v>441</v>
      </c>
      <c r="D17" s="113" t="s">
        <v>457</v>
      </c>
      <c r="E17" s="113" t="s">
        <v>263</v>
      </c>
      <c r="F17" s="113" t="s">
        <v>447</v>
      </c>
      <c r="G17" s="113" t="s">
        <v>458</v>
      </c>
      <c r="H17" s="113">
        <v>1200</v>
      </c>
      <c r="I17" s="113">
        <v>2200</v>
      </c>
      <c r="J17" s="113">
        <v>1</v>
      </c>
      <c r="K17" s="123">
        <v>73.61</v>
      </c>
      <c r="L17" s="47" t="s">
        <v>370</v>
      </c>
    </row>
    <row r="18" spans="1:13" ht="20.100000000000001" customHeight="1">
      <c r="A18" s="113">
        <v>10</v>
      </c>
      <c r="B18" s="113" t="s">
        <v>459</v>
      </c>
      <c r="C18" s="113" t="s">
        <v>441</v>
      </c>
      <c r="D18" s="113" t="s">
        <v>460</v>
      </c>
      <c r="E18" s="113" t="s">
        <v>263</v>
      </c>
      <c r="F18" s="113" t="s">
        <v>443</v>
      </c>
      <c r="G18" s="113" t="s">
        <v>461</v>
      </c>
      <c r="H18" s="113">
        <v>2400</v>
      </c>
      <c r="I18" s="113">
        <v>1600</v>
      </c>
      <c r="J18" s="113">
        <v>1</v>
      </c>
      <c r="K18" s="123">
        <v>541.89</v>
      </c>
      <c r="L18" s="47" t="s">
        <v>371</v>
      </c>
    </row>
    <row r="19" spans="1:13" ht="20.100000000000001" customHeight="1">
      <c r="A19" s="113">
        <v>11</v>
      </c>
      <c r="B19" s="113" t="s">
        <v>462</v>
      </c>
      <c r="C19" s="113" t="s">
        <v>441</v>
      </c>
      <c r="D19" s="113" t="s">
        <v>452</v>
      </c>
      <c r="E19" s="113" t="s">
        <v>263</v>
      </c>
      <c r="F19" s="113" t="s">
        <v>443</v>
      </c>
      <c r="G19" s="113" t="s">
        <v>463</v>
      </c>
      <c r="H19" s="113">
        <v>1000</v>
      </c>
      <c r="I19" s="113">
        <v>1600</v>
      </c>
      <c r="J19" s="113">
        <v>4</v>
      </c>
      <c r="K19" s="123">
        <v>266.64</v>
      </c>
      <c r="L19" s="47" t="s">
        <v>372</v>
      </c>
    </row>
    <row r="20" spans="1:13">
      <c r="A20" s="113">
        <v>12</v>
      </c>
      <c r="B20" s="113" t="s">
        <v>464</v>
      </c>
      <c r="C20" s="113" t="s">
        <v>441</v>
      </c>
      <c r="D20" s="113" t="s">
        <v>452</v>
      </c>
      <c r="E20" s="113" t="s">
        <v>263</v>
      </c>
      <c r="F20" s="113" t="s">
        <v>443</v>
      </c>
      <c r="G20" s="113" t="s">
        <v>465</v>
      </c>
      <c r="H20" s="113">
        <v>1500</v>
      </c>
      <c r="I20" s="113">
        <v>1600</v>
      </c>
      <c r="J20" s="113">
        <v>3</v>
      </c>
      <c r="K20" s="123">
        <v>287.60000000000002</v>
      </c>
      <c r="L20" s="47" t="s">
        <v>386</v>
      </c>
    </row>
    <row r="21" spans="1:13" ht="20.100000000000001" customHeight="1">
      <c r="A21" s="113">
        <v>13</v>
      </c>
      <c r="B21" s="113" t="s">
        <v>466</v>
      </c>
      <c r="C21" s="113" t="s">
        <v>441</v>
      </c>
      <c r="D21" s="113" t="s">
        <v>467</v>
      </c>
      <c r="E21" s="113" t="s">
        <v>263</v>
      </c>
      <c r="F21" s="113" t="s">
        <v>443</v>
      </c>
      <c r="G21" s="113" t="s">
        <v>468</v>
      </c>
      <c r="H21" s="113">
        <v>1100</v>
      </c>
      <c r="I21" s="113">
        <v>2860</v>
      </c>
      <c r="J21" s="113">
        <v>4</v>
      </c>
      <c r="K21" s="123">
        <v>283.7</v>
      </c>
      <c r="L21" s="47" t="s">
        <v>387</v>
      </c>
    </row>
    <row r="22" spans="1:13" ht="20.100000000000001" customHeight="1">
      <c r="A22" s="113">
        <v>14</v>
      </c>
      <c r="B22" s="113" t="s">
        <v>469</v>
      </c>
      <c r="C22" s="113" t="s">
        <v>441</v>
      </c>
      <c r="D22" s="113" t="s">
        <v>452</v>
      </c>
      <c r="E22" s="113" t="s">
        <v>263</v>
      </c>
      <c r="F22" s="113" t="s">
        <v>443</v>
      </c>
      <c r="G22" s="113" t="s">
        <v>470</v>
      </c>
      <c r="H22" s="113">
        <v>1200</v>
      </c>
      <c r="I22" s="113">
        <v>1200</v>
      </c>
      <c r="J22" s="113">
        <v>1</v>
      </c>
      <c r="K22" s="123">
        <v>233.22</v>
      </c>
      <c r="L22" s="47" t="s">
        <v>388</v>
      </c>
    </row>
    <row r="23" spans="1:13" ht="20.100000000000001" customHeight="1">
      <c r="A23" s="113">
        <v>15</v>
      </c>
      <c r="B23" s="113" t="s">
        <v>471</v>
      </c>
      <c r="C23" s="113" t="s">
        <v>441</v>
      </c>
      <c r="D23" s="113" t="s">
        <v>442</v>
      </c>
      <c r="E23" s="113" t="s">
        <v>472</v>
      </c>
      <c r="F23" s="113" t="s">
        <v>443</v>
      </c>
      <c r="G23" s="113" t="s">
        <v>450</v>
      </c>
      <c r="H23" s="113">
        <v>4880</v>
      </c>
      <c r="I23" s="113">
        <v>2200</v>
      </c>
      <c r="J23" s="113">
        <v>1</v>
      </c>
      <c r="K23" s="123">
        <v>702.24</v>
      </c>
      <c r="L23" s="47" t="s">
        <v>403</v>
      </c>
    </row>
    <row r="24" spans="1:13" ht="20.100000000000001" customHeight="1">
      <c r="A24" s="113">
        <v>16</v>
      </c>
      <c r="B24" s="113" t="s">
        <v>473</v>
      </c>
      <c r="C24" s="113" t="s">
        <v>441</v>
      </c>
      <c r="D24" s="113" t="s">
        <v>452</v>
      </c>
      <c r="E24" s="113" t="s">
        <v>263</v>
      </c>
      <c r="F24" s="113" t="s">
        <v>443</v>
      </c>
      <c r="G24" s="113" t="s">
        <v>474</v>
      </c>
      <c r="H24" s="113">
        <v>1000</v>
      </c>
      <c r="I24" s="113">
        <v>1200</v>
      </c>
      <c r="J24" s="113">
        <v>2</v>
      </c>
      <c r="K24" s="123">
        <v>224.84</v>
      </c>
      <c r="L24" s="47" t="s">
        <v>417</v>
      </c>
    </row>
    <row r="25" spans="1:13" ht="20.100000000000001" customHeight="1">
      <c r="A25" s="113">
        <v>17</v>
      </c>
      <c r="B25" s="113" t="s">
        <v>475</v>
      </c>
      <c r="C25" s="113" t="s">
        <v>441</v>
      </c>
      <c r="D25" s="113" t="s">
        <v>452</v>
      </c>
      <c r="E25" s="113" t="s">
        <v>263</v>
      </c>
      <c r="F25" s="113" t="s">
        <v>443</v>
      </c>
      <c r="G25" s="113" t="s">
        <v>474</v>
      </c>
      <c r="H25" s="113">
        <v>1200</v>
      </c>
      <c r="I25" s="113">
        <v>1200</v>
      </c>
      <c r="J25" s="113">
        <v>1</v>
      </c>
      <c r="K25" s="123">
        <v>233.22</v>
      </c>
      <c r="L25" s="47" t="s">
        <v>418</v>
      </c>
    </row>
    <row r="26" spans="1:13">
      <c r="A26" s="113">
        <v>18</v>
      </c>
      <c r="B26" s="113" t="s">
        <v>476</v>
      </c>
      <c r="C26" s="113" t="s">
        <v>441</v>
      </c>
      <c r="D26" s="113" t="s">
        <v>442</v>
      </c>
      <c r="E26" s="113" t="s">
        <v>263</v>
      </c>
      <c r="F26" s="113" t="s">
        <v>443</v>
      </c>
      <c r="G26" s="113" t="s">
        <v>477</v>
      </c>
      <c r="H26" s="113">
        <v>3000</v>
      </c>
      <c r="I26" s="113">
        <v>1600</v>
      </c>
      <c r="J26" s="113">
        <v>2</v>
      </c>
      <c r="K26" s="123">
        <v>519.95000000000005</v>
      </c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 t="s">
        <v>478</v>
      </c>
      <c r="C27" s="113" t="s">
        <v>441</v>
      </c>
      <c r="D27" s="113" t="s">
        <v>479</v>
      </c>
      <c r="E27" s="113" t="s">
        <v>263</v>
      </c>
      <c r="F27" s="113" t="s">
        <v>443</v>
      </c>
      <c r="G27" s="113" t="s">
        <v>480</v>
      </c>
      <c r="H27" s="113">
        <v>3220</v>
      </c>
      <c r="I27" s="113">
        <v>1600</v>
      </c>
      <c r="J27" s="113">
        <v>2</v>
      </c>
      <c r="K27" s="123">
        <v>580.54999999999995</v>
      </c>
    </row>
    <row r="28" spans="1:13" ht="20.100000000000001" customHeight="1">
      <c r="A28" s="113">
        <v>20</v>
      </c>
      <c r="B28" s="113" t="s">
        <v>481</v>
      </c>
      <c r="C28" s="113" t="s">
        <v>441</v>
      </c>
      <c r="D28" s="113" t="s">
        <v>457</v>
      </c>
      <c r="E28" s="113" t="s">
        <v>263</v>
      </c>
      <c r="F28" s="113" t="s">
        <v>447</v>
      </c>
      <c r="G28" s="113" t="s">
        <v>482</v>
      </c>
      <c r="H28" s="113">
        <v>500</v>
      </c>
      <c r="I28" s="113">
        <v>500</v>
      </c>
      <c r="J28" s="113">
        <v>13</v>
      </c>
      <c r="K28" s="123">
        <v>25.93</v>
      </c>
    </row>
    <row r="29" spans="1:13" ht="20.100000000000001" customHeight="1">
      <c r="A29" s="113">
        <v>21</v>
      </c>
      <c r="B29" s="113" t="s">
        <v>483</v>
      </c>
      <c r="C29" s="113" t="s">
        <v>441</v>
      </c>
      <c r="D29" s="113" t="s">
        <v>484</v>
      </c>
      <c r="E29" s="113" t="s">
        <v>485</v>
      </c>
      <c r="F29" s="113" t="s">
        <v>447</v>
      </c>
      <c r="G29" s="113" t="s">
        <v>486</v>
      </c>
      <c r="H29" s="113">
        <v>800</v>
      </c>
      <c r="I29" s="113">
        <v>600</v>
      </c>
      <c r="J29" s="113">
        <v>5</v>
      </c>
      <c r="K29" s="123">
        <v>112.82</v>
      </c>
    </row>
    <row r="30" spans="1:13" ht="20.100000000000001" customHeight="1">
      <c r="A30" s="113">
        <v>22</v>
      </c>
      <c r="B30" s="113" t="s">
        <v>487</v>
      </c>
      <c r="C30" s="113" t="s">
        <v>441</v>
      </c>
      <c r="D30" s="113" t="s">
        <v>484</v>
      </c>
      <c r="E30" s="113" t="s">
        <v>485</v>
      </c>
      <c r="F30" s="113" t="s">
        <v>447</v>
      </c>
      <c r="G30" s="113" t="s">
        <v>488</v>
      </c>
      <c r="H30" s="113">
        <v>600</v>
      </c>
      <c r="I30" s="113">
        <v>600</v>
      </c>
      <c r="J30" s="113">
        <v>3</v>
      </c>
      <c r="K30" s="123">
        <v>104.38</v>
      </c>
    </row>
    <row r="31" spans="1:13" ht="20.100000000000001" customHeight="1">
      <c r="A31" s="113">
        <v>23</v>
      </c>
      <c r="B31" s="113" t="s">
        <v>489</v>
      </c>
      <c r="C31" s="113" t="s">
        <v>441</v>
      </c>
      <c r="D31" s="113" t="s">
        <v>457</v>
      </c>
      <c r="E31" s="113" t="s">
        <v>485</v>
      </c>
      <c r="F31" s="113" t="s">
        <v>447</v>
      </c>
      <c r="G31" s="113" t="s">
        <v>490</v>
      </c>
      <c r="H31" s="113">
        <v>600</v>
      </c>
      <c r="I31" s="113">
        <v>600</v>
      </c>
      <c r="J31" s="113">
        <v>5</v>
      </c>
      <c r="K31" s="123">
        <v>29.91</v>
      </c>
    </row>
    <row r="32" spans="1:13">
      <c r="A32" s="113">
        <v>24</v>
      </c>
      <c r="B32" s="113" t="s">
        <v>491</v>
      </c>
      <c r="C32" s="113" t="s">
        <v>441</v>
      </c>
      <c r="D32" s="113" t="s">
        <v>446</v>
      </c>
      <c r="E32" s="113" t="s">
        <v>263</v>
      </c>
      <c r="F32" s="113" t="s">
        <v>447</v>
      </c>
      <c r="G32" s="113" t="s">
        <v>480</v>
      </c>
      <c r="H32" s="113">
        <v>5580</v>
      </c>
      <c r="I32" s="113">
        <v>2860</v>
      </c>
      <c r="J32" s="113">
        <v>1</v>
      </c>
      <c r="K32" s="123">
        <v>926.42</v>
      </c>
    </row>
    <row r="33" spans="1:11" ht="20.100000000000001" customHeight="1">
      <c r="A33" s="113">
        <v>25</v>
      </c>
      <c r="B33" s="113" t="s">
        <v>492</v>
      </c>
      <c r="C33" s="113" t="s">
        <v>441</v>
      </c>
      <c r="D33" s="113" t="s">
        <v>493</v>
      </c>
      <c r="E33" s="113" t="s">
        <v>263</v>
      </c>
      <c r="F33" s="113" t="s">
        <v>447</v>
      </c>
      <c r="G33" s="113" t="s">
        <v>494</v>
      </c>
      <c r="H33" s="113">
        <v>1900</v>
      </c>
      <c r="I33" s="113">
        <v>2130</v>
      </c>
      <c r="J33" s="113">
        <v>1</v>
      </c>
      <c r="K33" s="123">
        <v>588.28</v>
      </c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22" sqref="R22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 hidden="1">
      <c r="A4" s="118">
        <f>'BD Team'!A9</f>
        <v>1</v>
      </c>
      <c r="B4" s="118" t="str">
        <f>'BD Team'!B9</f>
        <v>SD3</v>
      </c>
      <c r="C4" s="118" t="str">
        <f>'BD Team'!C9</f>
        <v>M14600</v>
      </c>
      <c r="D4" s="118" t="str">
        <f>'BD Team'!D9</f>
        <v>POCKET DOOR</v>
      </c>
      <c r="E4" s="118" t="str">
        <f>'BD Team'!F9</f>
        <v>SS</v>
      </c>
      <c r="F4" s="121" t="str">
        <f>'BD Team'!G9</f>
        <v>FF - TULSI BALCONY</v>
      </c>
      <c r="G4" s="118">
        <f>'BD Team'!H9</f>
        <v>1800</v>
      </c>
      <c r="H4" s="118">
        <f>'BD Team'!I9</f>
        <v>2400</v>
      </c>
      <c r="I4" s="118">
        <f>'BD Team'!J9</f>
        <v>1</v>
      </c>
      <c r="J4" s="103">
        <f t="shared" ref="J4:J53" si="0">G4*H4*I4*10.764/1000000</f>
        <v>46.500480000000003</v>
      </c>
      <c r="K4" s="172">
        <f>'BD Team'!K9</f>
        <v>565.29999999999995</v>
      </c>
      <c r="L4" s="171">
        <f>K4*I4</f>
        <v>565.29999999999995</v>
      </c>
      <c r="M4" s="170">
        <f>L4*'Changable Values'!$D$4</f>
        <v>46919.899999999994</v>
      </c>
      <c r="N4" s="170" t="str">
        <f>'BD Team'!E9</f>
        <v>24MM</v>
      </c>
      <c r="O4" s="172">
        <v>2938</v>
      </c>
      <c r="P4" s="241"/>
      <c r="Q4" s="173">
        <f>50*10.764</f>
        <v>538.19999999999993</v>
      </c>
      <c r="R4" s="185"/>
      <c r="S4" s="312"/>
      <c r="T4" s="313">
        <f>(G4+H4)*I4*2/300</f>
        <v>28</v>
      </c>
      <c r="U4" s="313">
        <f>SUM(G4:H4)*I4*2*4/1000</f>
        <v>33.6</v>
      </c>
      <c r="V4" s="313">
        <f>SUM(G4:H4)*I4*5*5*4/(1000*240)</f>
        <v>1.75</v>
      </c>
      <c r="W4" s="313">
        <f>T4</f>
        <v>28</v>
      </c>
      <c r="X4" s="313">
        <f>W4*2</f>
        <v>56</v>
      </c>
      <c r="Y4" s="313">
        <f>SUM(G4:H4)*I4*4/1000</f>
        <v>16.8</v>
      </c>
    </row>
    <row r="5" spans="1:25" hidden="1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AV ROOM</v>
      </c>
      <c r="G5" s="118">
        <f>'BD Team'!H10</f>
        <v>1890</v>
      </c>
      <c r="H5" s="118">
        <f>'BD Team'!I10</f>
        <v>2400</v>
      </c>
      <c r="I5" s="118">
        <f>'BD Team'!J10</f>
        <v>1</v>
      </c>
      <c r="J5" s="103">
        <f t="shared" si="0"/>
        <v>48.825504000000002</v>
      </c>
      <c r="K5" s="172">
        <f>'BD Team'!K10</f>
        <v>568.1</v>
      </c>
      <c r="L5" s="171">
        <f t="shared" ref="L5:L53" si="1">K5*I5</f>
        <v>568.1</v>
      </c>
      <c r="M5" s="170">
        <f>L5*'Changable Values'!$D$4</f>
        <v>47152.3</v>
      </c>
      <c r="N5" s="170" t="str">
        <f>'BD Team'!E10</f>
        <v>24MM</v>
      </c>
      <c r="O5" s="172">
        <v>2938</v>
      </c>
      <c r="P5" s="241"/>
      <c r="Q5" s="173">
        <f t="shared" ref="Q5:Q6" si="2">50*10.764</f>
        <v>538.19999999999993</v>
      </c>
      <c r="R5" s="185"/>
      <c r="S5" s="312"/>
      <c r="T5" s="313">
        <f t="shared" ref="T5:T68" si="3">(G5+H5)*I5*2/300</f>
        <v>28.6</v>
      </c>
      <c r="U5" s="313">
        <f t="shared" ref="U5:U68" si="4">SUM(G5:H5)*I5*2*4/1000</f>
        <v>34.32</v>
      </c>
      <c r="V5" s="313">
        <f t="shared" ref="V5:V68" si="5">SUM(G5:H5)*I5*5*5*4/(1000*240)</f>
        <v>1.7875000000000001</v>
      </c>
      <c r="W5" s="313">
        <f t="shared" ref="W5:W68" si="6">T5</f>
        <v>28.6</v>
      </c>
      <c r="X5" s="313">
        <f t="shared" ref="X5:X68" si="7">W5*2</f>
        <v>57.2</v>
      </c>
      <c r="Y5" s="313">
        <f t="shared" ref="Y5:Y68" si="8">SUM(G5:H5)*I5*4/1000</f>
        <v>17.16</v>
      </c>
    </row>
    <row r="6" spans="1:25" hidden="1">
      <c r="A6" s="118">
        <f>'BD Team'!A11</f>
        <v>3</v>
      </c>
      <c r="B6" s="118" t="str">
        <f>'BD Team'!B11</f>
        <v>FD1</v>
      </c>
      <c r="C6" s="118" t="str">
        <f>'BD Team'!C11</f>
        <v>M14600</v>
      </c>
      <c r="D6" s="118" t="str">
        <f>'BD Team'!D11</f>
        <v>3 TRACK 2 SHUTTER SLIDING DOOR WITH 2 FIXED</v>
      </c>
      <c r="E6" s="118" t="str">
        <f>'BD Team'!F11</f>
        <v>SS</v>
      </c>
      <c r="F6" s="121" t="str">
        <f>'BD Team'!G11</f>
        <v>LIVING</v>
      </c>
      <c r="G6" s="118">
        <f>'BD Team'!H11</f>
        <v>4850</v>
      </c>
      <c r="H6" s="118">
        <f>'BD Team'!I11</f>
        <v>2400</v>
      </c>
      <c r="I6" s="118">
        <f>'BD Team'!J11</f>
        <v>1</v>
      </c>
      <c r="J6" s="103">
        <f t="shared" si="0"/>
        <v>125.29295999999998</v>
      </c>
      <c r="K6" s="172">
        <f>'BD Team'!K11</f>
        <v>1551.25</v>
      </c>
      <c r="L6" s="171">
        <f t="shared" si="1"/>
        <v>1551.25</v>
      </c>
      <c r="M6" s="170">
        <f>L6*'Changable Values'!$D$4</f>
        <v>128753.75</v>
      </c>
      <c r="N6" s="170" t="str">
        <f>'BD Team'!E11</f>
        <v>24MM</v>
      </c>
      <c r="O6" s="172">
        <v>2938</v>
      </c>
      <c r="P6" s="241"/>
      <c r="Q6" s="173">
        <f t="shared" si="2"/>
        <v>538.19999999999993</v>
      </c>
      <c r="R6" s="185"/>
      <c r="S6" s="312"/>
      <c r="T6" s="313">
        <f t="shared" si="3"/>
        <v>48.333333333333336</v>
      </c>
      <c r="U6" s="313">
        <f t="shared" si="4"/>
        <v>58</v>
      </c>
      <c r="V6" s="313">
        <f t="shared" si="5"/>
        <v>3.0208333333333335</v>
      </c>
      <c r="W6" s="313">
        <f t="shared" si="6"/>
        <v>48.333333333333336</v>
      </c>
      <c r="X6" s="313">
        <f t="shared" si="7"/>
        <v>96.666666666666671</v>
      </c>
      <c r="Y6" s="313">
        <f t="shared" si="8"/>
        <v>29</v>
      </c>
    </row>
    <row r="7" spans="1:25">
      <c r="A7" s="118">
        <f>'BD Team'!A12</f>
        <v>4</v>
      </c>
      <c r="B7" s="118" t="str">
        <f>'BD Team'!B12</f>
        <v>FD3</v>
      </c>
      <c r="C7" s="118" t="str">
        <f>'BD Team'!C12</f>
        <v>M15000</v>
      </c>
      <c r="D7" s="118" t="str">
        <f>'BD Team'!D12</f>
        <v>2 SIDE HUNG DOORS WITH CENTER FIXED</v>
      </c>
      <c r="E7" s="118" t="str">
        <f>'BD Team'!F12</f>
        <v>RETRACTABLE</v>
      </c>
      <c r="F7" s="121" t="str">
        <f>'BD Team'!G12</f>
        <v>DINING</v>
      </c>
      <c r="G7" s="118">
        <f>'BD Team'!H12</f>
        <v>3000</v>
      </c>
      <c r="H7" s="118">
        <f>'BD Team'!I12</f>
        <v>2200</v>
      </c>
      <c r="I7" s="118">
        <f>'BD Team'!J12</f>
        <v>1</v>
      </c>
      <c r="J7" s="103">
        <f t="shared" si="0"/>
        <v>71.042400000000001</v>
      </c>
      <c r="K7" s="172">
        <f>'BD Team'!K12</f>
        <v>569.99</v>
      </c>
      <c r="L7" s="171">
        <f t="shared" si="1"/>
        <v>569.99</v>
      </c>
      <c r="M7" s="170">
        <f>L7*'Changable Values'!$D$4</f>
        <v>47309.17</v>
      </c>
      <c r="N7" s="170" t="str">
        <f>'BD Team'!E12</f>
        <v>24MM</v>
      </c>
      <c r="O7" s="172">
        <v>2938</v>
      </c>
      <c r="P7" s="241"/>
      <c r="Q7" s="173"/>
      <c r="R7" s="185">
        <f>300*10.764</f>
        <v>3229.2</v>
      </c>
      <c r="S7" s="312"/>
      <c r="T7" s="313">
        <f t="shared" si="3"/>
        <v>34.666666666666664</v>
      </c>
      <c r="U7" s="313">
        <f t="shared" si="4"/>
        <v>41.6</v>
      </c>
      <c r="V7" s="313">
        <f t="shared" si="5"/>
        <v>2.1666666666666665</v>
      </c>
      <c r="W7" s="313">
        <f t="shared" si="6"/>
        <v>34.666666666666664</v>
      </c>
      <c r="X7" s="313">
        <f t="shared" si="7"/>
        <v>69.333333333333329</v>
      </c>
      <c r="Y7" s="313">
        <f t="shared" si="8"/>
        <v>20.8</v>
      </c>
    </row>
    <row r="8" spans="1:25" hidden="1">
      <c r="A8" s="118">
        <f>'BD Team'!A13</f>
        <v>5</v>
      </c>
      <c r="B8" s="118" t="str">
        <f>'BD Team'!B13</f>
        <v>FD2</v>
      </c>
      <c r="C8" s="118" t="str">
        <f>'BD Team'!C13</f>
        <v>M15000</v>
      </c>
      <c r="D8" s="118" t="str">
        <f>'BD Team'!D13</f>
        <v>FIXED GLASS 6 NO'S</v>
      </c>
      <c r="E8" s="118" t="str">
        <f>'BD Team'!F13</f>
        <v>NO</v>
      </c>
      <c r="F8" s="121" t="str">
        <f>'BD Team'!G13</f>
        <v>LIVING</v>
      </c>
      <c r="G8" s="118">
        <f>'BD Team'!H13</f>
        <v>4850</v>
      </c>
      <c r="H8" s="118">
        <f>'BD Team'!I13</f>
        <v>1900</v>
      </c>
      <c r="I8" s="118">
        <f>'BD Team'!J13</f>
        <v>1</v>
      </c>
      <c r="J8" s="103">
        <f t="shared" si="0"/>
        <v>99.190259999999995</v>
      </c>
      <c r="K8" s="172">
        <f>'BD Team'!K13</f>
        <v>441.48</v>
      </c>
      <c r="L8" s="171">
        <f t="shared" si="1"/>
        <v>441.48</v>
      </c>
      <c r="M8" s="170">
        <f>L8*'Changable Values'!$D$4</f>
        <v>36642.840000000004</v>
      </c>
      <c r="N8" s="170" t="str">
        <f>'BD Team'!E13</f>
        <v>24MM</v>
      </c>
      <c r="O8" s="172">
        <v>2938</v>
      </c>
      <c r="P8" s="241"/>
      <c r="Q8" s="173"/>
      <c r="R8" s="185"/>
      <c r="S8" s="312"/>
      <c r="T8" s="313">
        <f t="shared" si="3"/>
        <v>45</v>
      </c>
      <c r="U8" s="313">
        <f t="shared" si="4"/>
        <v>54</v>
      </c>
      <c r="V8" s="313">
        <f t="shared" si="5"/>
        <v>2.8125</v>
      </c>
      <c r="W8" s="313">
        <f t="shared" si="6"/>
        <v>45</v>
      </c>
      <c r="X8" s="313">
        <f t="shared" si="7"/>
        <v>90</v>
      </c>
      <c r="Y8" s="313">
        <f t="shared" si="8"/>
        <v>27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M15000</v>
      </c>
      <c r="D9" s="118" t="str">
        <f>'BD Team'!D14</f>
        <v>SIDE HUNG WINDOW</v>
      </c>
      <c r="E9" s="118" t="str">
        <f>'BD Team'!F14</f>
        <v>RETRACTABLE</v>
      </c>
      <c r="F9" s="121" t="str">
        <f>'BD Team'!G14</f>
        <v>MASTER BEDROOM</v>
      </c>
      <c r="G9" s="118">
        <f>'BD Team'!H14</f>
        <v>800</v>
      </c>
      <c r="H9" s="118">
        <f>'BD Team'!I14</f>
        <v>1600</v>
      </c>
      <c r="I9" s="118">
        <f>'BD Team'!J14</f>
        <v>1</v>
      </c>
      <c r="J9" s="103">
        <f t="shared" si="0"/>
        <v>13.77792</v>
      </c>
      <c r="K9" s="172">
        <f>'BD Team'!K14</f>
        <v>168.47</v>
      </c>
      <c r="L9" s="171">
        <f t="shared" si="1"/>
        <v>168.47</v>
      </c>
      <c r="M9" s="170">
        <f>L9*'Changable Values'!$D$4</f>
        <v>13983.01</v>
      </c>
      <c r="N9" s="170" t="str">
        <f>'BD Team'!E14</f>
        <v>24MM</v>
      </c>
      <c r="O9" s="172">
        <v>2938</v>
      </c>
      <c r="P9" s="241"/>
      <c r="Q9" s="173"/>
      <c r="R9" s="185">
        <f t="shared" ref="R9:R11" si="9">600*10.764</f>
        <v>6458.4</v>
      </c>
      <c r="S9" s="312"/>
      <c r="T9" s="313">
        <f t="shared" si="3"/>
        <v>16</v>
      </c>
      <c r="U9" s="313">
        <f t="shared" si="4"/>
        <v>19.2</v>
      </c>
      <c r="V9" s="313">
        <f t="shared" si="5"/>
        <v>1</v>
      </c>
      <c r="W9" s="313">
        <f t="shared" si="6"/>
        <v>16</v>
      </c>
      <c r="X9" s="313">
        <f t="shared" si="7"/>
        <v>32</v>
      </c>
      <c r="Y9" s="313">
        <f t="shared" si="8"/>
        <v>9.6</v>
      </c>
    </row>
    <row r="10" spans="1:25" ht="28.5" hidden="1">
      <c r="A10" s="118">
        <f>'BD Team'!A15</f>
        <v>7</v>
      </c>
      <c r="B10" s="118" t="str">
        <f>'BD Team'!B15</f>
        <v>W2</v>
      </c>
      <c r="C10" s="118" t="str">
        <f>'BD Team'!C15</f>
        <v>M15000</v>
      </c>
      <c r="D10" s="118" t="str">
        <f>'BD Team'!D15</f>
        <v>FRENCH CASEMENT WINDOW</v>
      </c>
      <c r="E10" s="118" t="str">
        <f>'BD Team'!F15</f>
        <v>RETRACTABLE</v>
      </c>
      <c r="F10" s="121" t="str">
        <f>'BD Team'!G15</f>
        <v>DEN, BEDROOM &amp; AV ROOM</v>
      </c>
      <c r="G10" s="118">
        <f>'BD Team'!H15</f>
        <v>1600</v>
      </c>
      <c r="H10" s="118">
        <f>'BD Team'!I15</f>
        <v>1600</v>
      </c>
      <c r="I10" s="118">
        <f>'BD Team'!J15</f>
        <v>5</v>
      </c>
      <c r="J10" s="103">
        <f t="shared" si="0"/>
        <v>137.7792</v>
      </c>
      <c r="K10" s="172">
        <f>'BD Team'!K15</f>
        <v>291.79000000000002</v>
      </c>
      <c r="L10" s="171">
        <f t="shared" si="1"/>
        <v>1458.95</v>
      </c>
      <c r="M10" s="170">
        <f>L10*'Changable Values'!$D$4</f>
        <v>121092.85</v>
      </c>
      <c r="N10" s="170" t="str">
        <f>'BD Team'!E15</f>
        <v>24MM</v>
      </c>
      <c r="O10" s="172">
        <v>2938</v>
      </c>
      <c r="P10" s="241"/>
      <c r="Q10" s="173"/>
      <c r="R10" s="185">
        <f t="shared" si="9"/>
        <v>6458.4</v>
      </c>
      <c r="S10" s="312"/>
      <c r="T10" s="313">
        <f t="shared" si="3"/>
        <v>106.66666666666667</v>
      </c>
      <c r="U10" s="313">
        <f t="shared" si="4"/>
        <v>128</v>
      </c>
      <c r="V10" s="313">
        <f t="shared" si="5"/>
        <v>6.666666666666667</v>
      </c>
      <c r="W10" s="313">
        <f t="shared" si="6"/>
        <v>106.66666666666667</v>
      </c>
      <c r="X10" s="313">
        <f t="shared" si="7"/>
        <v>213.33333333333334</v>
      </c>
      <c r="Y10" s="313">
        <f t="shared" si="8"/>
        <v>64</v>
      </c>
    </row>
    <row r="11" spans="1:25" ht="42.75" hidden="1">
      <c r="A11" s="118">
        <f>'BD Team'!A16</f>
        <v>8</v>
      </c>
      <c r="B11" s="118" t="str">
        <f>'BD Team'!B16</f>
        <v>W3</v>
      </c>
      <c r="C11" s="118" t="str">
        <f>'BD Team'!C16</f>
        <v>M15000</v>
      </c>
      <c r="D11" s="118" t="str">
        <f>'BD Team'!D16</f>
        <v>FRENCH CASEMENT WINDOW</v>
      </c>
      <c r="E11" s="118" t="str">
        <f>'BD Team'!F16</f>
        <v>RETRACTABLE</v>
      </c>
      <c r="F11" s="121" t="str">
        <f>'BD Team'!G16</f>
        <v>STUDY, ANTI SPACE, LOUNGE, DRESS &amp; MASSAGE ROOM</v>
      </c>
      <c r="G11" s="118">
        <f>'BD Team'!H16</f>
        <v>1200</v>
      </c>
      <c r="H11" s="118">
        <f>'BD Team'!I16</f>
        <v>1600</v>
      </c>
      <c r="I11" s="118">
        <f>'BD Team'!J16</f>
        <v>7</v>
      </c>
      <c r="J11" s="103">
        <f t="shared" si="0"/>
        <v>144.66816</v>
      </c>
      <c r="K11" s="172">
        <f>'BD Team'!K16</f>
        <v>275.02</v>
      </c>
      <c r="L11" s="171">
        <f t="shared" si="1"/>
        <v>1925.1399999999999</v>
      </c>
      <c r="M11" s="170">
        <f>L11*'Changable Values'!$D$4</f>
        <v>159786.62</v>
      </c>
      <c r="N11" s="170" t="str">
        <f>'BD Team'!E16</f>
        <v>24MM</v>
      </c>
      <c r="O11" s="172">
        <v>2938</v>
      </c>
      <c r="P11" s="241"/>
      <c r="Q11" s="173"/>
      <c r="R11" s="185">
        <f t="shared" si="9"/>
        <v>6458.4</v>
      </c>
      <c r="S11" s="312"/>
      <c r="T11" s="313">
        <f t="shared" si="3"/>
        <v>130.66666666666666</v>
      </c>
      <c r="U11" s="313">
        <f t="shared" si="4"/>
        <v>156.80000000000001</v>
      </c>
      <c r="V11" s="313">
        <f t="shared" si="5"/>
        <v>8.1666666666666661</v>
      </c>
      <c r="W11" s="313">
        <f t="shared" si="6"/>
        <v>130.66666666666666</v>
      </c>
      <c r="X11" s="313">
        <f t="shared" si="7"/>
        <v>261.33333333333331</v>
      </c>
      <c r="Y11" s="313">
        <f t="shared" si="8"/>
        <v>78.400000000000006</v>
      </c>
    </row>
    <row r="12" spans="1:25" hidden="1">
      <c r="A12" s="118">
        <f>'BD Team'!A17</f>
        <v>9</v>
      </c>
      <c r="B12" s="118" t="str">
        <f>'BD Team'!B17</f>
        <v>FW1</v>
      </c>
      <c r="C12" s="118" t="str">
        <f>'BD Team'!C17</f>
        <v>M15000</v>
      </c>
      <c r="D12" s="118" t="str">
        <f>'BD Team'!D17</f>
        <v>FIXED GLASS</v>
      </c>
      <c r="E12" s="118" t="str">
        <f>'BD Team'!F17</f>
        <v>NO</v>
      </c>
      <c r="F12" s="121" t="str">
        <f>'BD Team'!G17</f>
        <v>FLOOR LOBBY</v>
      </c>
      <c r="G12" s="118">
        <f>'BD Team'!H17</f>
        <v>1200</v>
      </c>
      <c r="H12" s="118">
        <f>'BD Team'!I17</f>
        <v>2200</v>
      </c>
      <c r="I12" s="118">
        <f>'BD Team'!J17</f>
        <v>1</v>
      </c>
      <c r="J12" s="103">
        <f t="shared" si="0"/>
        <v>28.41696</v>
      </c>
      <c r="K12" s="172">
        <f>'BD Team'!K17</f>
        <v>73.61</v>
      </c>
      <c r="L12" s="171">
        <f t="shared" si="1"/>
        <v>73.61</v>
      </c>
      <c r="M12" s="170">
        <f>L12*'Changable Values'!$D$4</f>
        <v>6109.63</v>
      </c>
      <c r="N12" s="170" t="str">
        <f>'BD Team'!E17</f>
        <v>24MM</v>
      </c>
      <c r="O12" s="172">
        <v>2938</v>
      </c>
      <c r="P12" s="241"/>
      <c r="Q12" s="173"/>
      <c r="R12" s="185"/>
      <c r="S12" s="312"/>
      <c r="T12" s="313">
        <f t="shared" si="3"/>
        <v>22.666666666666668</v>
      </c>
      <c r="U12" s="313">
        <f t="shared" si="4"/>
        <v>27.2</v>
      </c>
      <c r="V12" s="313">
        <f t="shared" si="5"/>
        <v>1.4166666666666667</v>
      </c>
      <c r="W12" s="313">
        <f t="shared" si="6"/>
        <v>22.666666666666668</v>
      </c>
      <c r="X12" s="313">
        <f t="shared" si="7"/>
        <v>45.333333333333336</v>
      </c>
      <c r="Y12" s="313">
        <f t="shared" si="8"/>
        <v>13.6</v>
      </c>
    </row>
    <row r="13" spans="1:25" hidden="1">
      <c r="A13" s="118">
        <f>'BD Team'!A18</f>
        <v>10</v>
      </c>
      <c r="B13" s="118" t="str">
        <f>'BD Team'!B18</f>
        <v>W4</v>
      </c>
      <c r="C13" s="118" t="str">
        <f>'BD Team'!C18</f>
        <v>M15000</v>
      </c>
      <c r="D13" s="118" t="str">
        <f>'BD Team'!D18</f>
        <v>2 FRENCH CASEMENT WINDOW</v>
      </c>
      <c r="E13" s="118" t="str">
        <f>'BD Team'!F18</f>
        <v>RETRACTABLE</v>
      </c>
      <c r="F13" s="121" t="str">
        <f>'BD Team'!G18</f>
        <v>BED ROOM</v>
      </c>
      <c r="G13" s="118">
        <f>'BD Team'!H18</f>
        <v>2400</v>
      </c>
      <c r="H13" s="118">
        <f>'BD Team'!I18</f>
        <v>1600</v>
      </c>
      <c r="I13" s="118">
        <f>'BD Team'!J18</f>
        <v>1</v>
      </c>
      <c r="J13" s="103">
        <f t="shared" si="0"/>
        <v>41.333759999999998</v>
      </c>
      <c r="K13" s="172">
        <f>'BD Team'!K18</f>
        <v>541.89</v>
      </c>
      <c r="L13" s="171">
        <f t="shared" si="1"/>
        <v>541.89</v>
      </c>
      <c r="M13" s="170">
        <f>L13*'Changable Values'!$D$4</f>
        <v>44976.869999999995</v>
      </c>
      <c r="N13" s="170" t="str">
        <f>'BD Team'!E18</f>
        <v>24MM</v>
      </c>
      <c r="O13" s="172">
        <v>2938</v>
      </c>
      <c r="P13" s="241"/>
      <c r="Q13" s="173"/>
      <c r="R13" s="185">
        <f t="shared" ref="R13:R20" si="10">600*10.764</f>
        <v>6458.4</v>
      </c>
      <c r="S13" s="312"/>
      <c r="T13" s="313">
        <f t="shared" si="3"/>
        <v>26.666666666666668</v>
      </c>
      <c r="U13" s="313">
        <f t="shared" si="4"/>
        <v>32</v>
      </c>
      <c r="V13" s="313">
        <f t="shared" si="5"/>
        <v>1.6666666666666667</v>
      </c>
      <c r="W13" s="313">
        <f t="shared" si="6"/>
        <v>26.666666666666668</v>
      </c>
      <c r="X13" s="313">
        <f t="shared" si="7"/>
        <v>53.333333333333336</v>
      </c>
      <c r="Y13" s="313">
        <f t="shared" si="8"/>
        <v>16</v>
      </c>
    </row>
    <row r="14" spans="1:25" ht="28.5" hidden="1">
      <c r="A14" s="118">
        <f>'BD Team'!A19</f>
        <v>11</v>
      </c>
      <c r="B14" s="118" t="str">
        <f>'BD Team'!B19</f>
        <v>W5</v>
      </c>
      <c r="C14" s="118" t="str">
        <f>'BD Team'!C19</f>
        <v>M15000</v>
      </c>
      <c r="D14" s="118" t="str">
        <f>'BD Team'!D19</f>
        <v>FRENCH CASEMENT WINDOW</v>
      </c>
      <c r="E14" s="118" t="str">
        <f>'BD Team'!F19</f>
        <v>RETRACTABLE</v>
      </c>
      <c r="F14" s="121" t="str">
        <f>'BD Team'!G19</f>
        <v>DRESS, MASTER BEDROOM &amp; TERRACE</v>
      </c>
      <c r="G14" s="118">
        <f>'BD Team'!H19</f>
        <v>1000</v>
      </c>
      <c r="H14" s="118">
        <f>'BD Team'!I19</f>
        <v>1600</v>
      </c>
      <c r="I14" s="118">
        <f>'BD Team'!J19</f>
        <v>4</v>
      </c>
      <c r="J14" s="103">
        <f t="shared" si="0"/>
        <v>68.889600000000002</v>
      </c>
      <c r="K14" s="172">
        <f>'BD Team'!K19</f>
        <v>266.64</v>
      </c>
      <c r="L14" s="171">
        <f t="shared" si="1"/>
        <v>1066.56</v>
      </c>
      <c r="M14" s="170">
        <f>L14*'Changable Values'!$D$4</f>
        <v>88524.479999999996</v>
      </c>
      <c r="N14" s="170" t="str">
        <f>'BD Team'!E19</f>
        <v>24MM</v>
      </c>
      <c r="O14" s="172">
        <v>2938</v>
      </c>
      <c r="P14" s="241"/>
      <c r="Q14" s="173"/>
      <c r="R14" s="185">
        <f t="shared" si="10"/>
        <v>6458.4</v>
      </c>
      <c r="S14" s="312"/>
      <c r="T14" s="313">
        <f t="shared" si="3"/>
        <v>69.333333333333329</v>
      </c>
      <c r="U14" s="313">
        <f t="shared" si="4"/>
        <v>83.2</v>
      </c>
      <c r="V14" s="313">
        <f t="shared" si="5"/>
        <v>4.333333333333333</v>
      </c>
      <c r="W14" s="313">
        <f t="shared" si="6"/>
        <v>69.333333333333329</v>
      </c>
      <c r="X14" s="313">
        <f t="shared" si="7"/>
        <v>138.66666666666666</v>
      </c>
      <c r="Y14" s="313">
        <f t="shared" si="8"/>
        <v>41.6</v>
      </c>
    </row>
    <row r="15" spans="1:25" hidden="1">
      <c r="A15" s="118">
        <f>'BD Team'!A20</f>
        <v>12</v>
      </c>
      <c r="B15" s="118" t="str">
        <f>'BD Team'!B20</f>
        <v>W6</v>
      </c>
      <c r="C15" s="118" t="str">
        <f>'BD Team'!C20</f>
        <v>M15000</v>
      </c>
      <c r="D15" s="118" t="str">
        <f>'BD Team'!D20</f>
        <v>FRENCH CASEMENT WINDOW</v>
      </c>
      <c r="E15" s="118" t="str">
        <f>'BD Team'!F20</f>
        <v>RETRACTABLE</v>
      </c>
      <c r="F15" s="121" t="str">
        <f>'BD Team'!G20</f>
        <v>BEDROOM &amp; LAUNDRY</v>
      </c>
      <c r="G15" s="118">
        <f>'BD Team'!H20</f>
        <v>1500</v>
      </c>
      <c r="H15" s="118">
        <f>'BD Team'!I20</f>
        <v>1600</v>
      </c>
      <c r="I15" s="118">
        <f>'BD Team'!J20</f>
        <v>3</v>
      </c>
      <c r="J15" s="103">
        <f t="shared" si="0"/>
        <v>77.500799999999998</v>
      </c>
      <c r="K15" s="172">
        <f>'BD Team'!K20</f>
        <v>287.60000000000002</v>
      </c>
      <c r="L15" s="171">
        <f t="shared" si="1"/>
        <v>862.80000000000007</v>
      </c>
      <c r="M15" s="170">
        <f>L15*'Changable Values'!$D$4</f>
        <v>71612.400000000009</v>
      </c>
      <c r="N15" s="170" t="str">
        <f>'BD Team'!E20</f>
        <v>24MM</v>
      </c>
      <c r="O15" s="172">
        <v>2938</v>
      </c>
      <c r="P15" s="241"/>
      <c r="Q15" s="173"/>
      <c r="R15" s="185">
        <f t="shared" si="10"/>
        <v>6458.4</v>
      </c>
      <c r="S15" s="312"/>
      <c r="T15" s="313">
        <f t="shared" si="3"/>
        <v>62</v>
      </c>
      <c r="U15" s="313">
        <f t="shared" si="4"/>
        <v>74.400000000000006</v>
      </c>
      <c r="V15" s="313">
        <f t="shared" si="5"/>
        <v>3.875</v>
      </c>
      <c r="W15" s="313">
        <f t="shared" si="6"/>
        <v>62</v>
      </c>
      <c r="X15" s="313">
        <f t="shared" si="7"/>
        <v>124</v>
      </c>
      <c r="Y15" s="313">
        <f t="shared" si="8"/>
        <v>37.200000000000003</v>
      </c>
    </row>
    <row r="16" spans="1:25">
      <c r="A16" s="118">
        <f>'BD Team'!A21</f>
        <v>13</v>
      </c>
      <c r="B16" s="118" t="str">
        <f>'BD Team'!B21</f>
        <v>FG</v>
      </c>
      <c r="C16" s="118" t="str">
        <f>'BD Team'!C21</f>
        <v>M15000</v>
      </c>
      <c r="D16" s="118" t="str">
        <f>'BD Team'!D21</f>
        <v>SIDE HUNG WINDOW WITH BOTTOM FIXED</v>
      </c>
      <c r="E16" s="118" t="str">
        <f>'BD Team'!F21</f>
        <v>RETRACTABLE</v>
      </c>
      <c r="F16" s="121" t="str">
        <f>'BD Team'!G21</f>
        <v>DOUBLE HEIGHT AREA</v>
      </c>
      <c r="G16" s="118">
        <f>'BD Team'!H21</f>
        <v>1100</v>
      </c>
      <c r="H16" s="118">
        <f>'BD Team'!I21</f>
        <v>2860</v>
      </c>
      <c r="I16" s="118">
        <f>'BD Team'!J21</f>
        <v>4</v>
      </c>
      <c r="J16" s="103">
        <f t="shared" si="0"/>
        <v>135.45417599999999</v>
      </c>
      <c r="K16" s="172">
        <f>'BD Team'!K21</f>
        <v>283.7</v>
      </c>
      <c r="L16" s="171">
        <f t="shared" si="1"/>
        <v>1134.8</v>
      </c>
      <c r="M16" s="170">
        <f>L16*'Changable Values'!$D$4</f>
        <v>94188.4</v>
      </c>
      <c r="N16" s="170" t="str">
        <f>'BD Team'!E21</f>
        <v>24MM</v>
      </c>
      <c r="O16" s="172">
        <v>2938</v>
      </c>
      <c r="P16" s="241"/>
      <c r="Q16" s="173"/>
      <c r="R16" s="185">
        <f>400*10.764</f>
        <v>4305.5999999999995</v>
      </c>
      <c r="S16" s="312"/>
      <c r="T16" s="313">
        <f t="shared" si="3"/>
        <v>105.6</v>
      </c>
      <c r="U16" s="313">
        <f t="shared" si="4"/>
        <v>126.72</v>
      </c>
      <c r="V16" s="313">
        <f t="shared" si="5"/>
        <v>6.6</v>
      </c>
      <c r="W16" s="313">
        <f t="shared" si="6"/>
        <v>105.6</v>
      </c>
      <c r="X16" s="313">
        <f t="shared" si="7"/>
        <v>211.2</v>
      </c>
      <c r="Y16" s="313">
        <f t="shared" si="8"/>
        <v>63.36</v>
      </c>
    </row>
    <row r="17" spans="1:25" hidden="1">
      <c r="A17" s="118">
        <f>'BD Team'!A22</f>
        <v>14</v>
      </c>
      <c r="B17" s="118" t="str">
        <f>'BD Team'!B22</f>
        <v>SW</v>
      </c>
      <c r="C17" s="118" t="str">
        <f>'BD Team'!C22</f>
        <v>M15000</v>
      </c>
      <c r="D17" s="118" t="str">
        <f>'BD Team'!D22</f>
        <v>FRENCH CASEMENT WINDOW</v>
      </c>
      <c r="E17" s="118" t="str">
        <f>'BD Team'!F22</f>
        <v>RETRACTABLE</v>
      </c>
      <c r="F17" s="121" t="str">
        <f>'BD Team'!G22</f>
        <v>SERVANT ROOM</v>
      </c>
      <c r="G17" s="118">
        <f>'BD Team'!H22</f>
        <v>1200</v>
      </c>
      <c r="H17" s="118">
        <f>'BD Team'!I22</f>
        <v>1200</v>
      </c>
      <c r="I17" s="118">
        <f>'BD Team'!J22</f>
        <v>1</v>
      </c>
      <c r="J17" s="103">
        <f t="shared" si="0"/>
        <v>15.500159999999997</v>
      </c>
      <c r="K17" s="172">
        <f>'BD Team'!K22</f>
        <v>233.22</v>
      </c>
      <c r="L17" s="171">
        <f t="shared" si="1"/>
        <v>233.22</v>
      </c>
      <c r="M17" s="170">
        <f>L17*'Changable Values'!$D$4</f>
        <v>19357.259999999998</v>
      </c>
      <c r="N17" s="170" t="str">
        <f>'BD Team'!E22</f>
        <v>24MM</v>
      </c>
      <c r="O17" s="172">
        <v>2938</v>
      </c>
      <c r="P17" s="241"/>
      <c r="Q17" s="173"/>
      <c r="R17" s="185">
        <f t="shared" si="10"/>
        <v>6458.4</v>
      </c>
      <c r="S17" s="312"/>
      <c r="T17" s="313">
        <f t="shared" si="3"/>
        <v>16</v>
      </c>
      <c r="U17" s="313">
        <f t="shared" si="4"/>
        <v>19.2</v>
      </c>
      <c r="V17" s="313">
        <f t="shared" si="5"/>
        <v>1</v>
      </c>
      <c r="W17" s="313">
        <f t="shared" si="6"/>
        <v>16</v>
      </c>
      <c r="X17" s="313">
        <f t="shared" si="7"/>
        <v>32</v>
      </c>
      <c r="Y17" s="313">
        <f t="shared" si="8"/>
        <v>9.6</v>
      </c>
    </row>
    <row r="18" spans="1:25">
      <c r="A18" s="118">
        <f>'BD Team'!A23</f>
        <v>15</v>
      </c>
      <c r="B18" s="118" t="str">
        <f>'BD Team'!B23</f>
        <v>FD4</v>
      </c>
      <c r="C18" s="118" t="str">
        <f>'BD Team'!C23</f>
        <v>M15000</v>
      </c>
      <c r="D18" s="118" t="str">
        <f>'BD Team'!D23</f>
        <v>2 SIDE HUNG DOORS WITH CENTER FIXED</v>
      </c>
      <c r="E18" s="118" t="str">
        <f>'BD Team'!F23</f>
        <v>RETRACTABLE</v>
      </c>
      <c r="F18" s="121" t="str">
        <f>'BD Team'!G23</f>
        <v>MASTER BEDROOM</v>
      </c>
      <c r="G18" s="118">
        <f>'BD Team'!H23</f>
        <v>4880</v>
      </c>
      <c r="H18" s="118">
        <f>'BD Team'!I23</f>
        <v>2200</v>
      </c>
      <c r="I18" s="118">
        <f>'BD Team'!J23</f>
        <v>1</v>
      </c>
      <c r="J18" s="103">
        <f t="shared" si="0"/>
        <v>115.562304</v>
      </c>
      <c r="K18" s="172">
        <f>'BD Team'!K23</f>
        <v>702.24</v>
      </c>
      <c r="L18" s="171">
        <f t="shared" si="1"/>
        <v>702.24</v>
      </c>
      <c r="M18" s="170">
        <f>L18*'Changable Values'!$D$4</f>
        <v>58285.919999999998</v>
      </c>
      <c r="N18" s="170" t="str">
        <f>'BD Team'!E23</f>
        <v>32MM &amp; 24MM</v>
      </c>
      <c r="O18" s="172">
        <v>4114</v>
      </c>
      <c r="P18" s="241"/>
      <c r="Q18" s="173"/>
      <c r="R18" s="185">
        <f>300*10.764</f>
        <v>3229.2</v>
      </c>
      <c r="S18" s="312"/>
      <c r="T18" s="313">
        <f t="shared" si="3"/>
        <v>47.2</v>
      </c>
      <c r="U18" s="313">
        <f t="shared" si="4"/>
        <v>56.64</v>
      </c>
      <c r="V18" s="313">
        <f t="shared" si="5"/>
        <v>2.95</v>
      </c>
      <c r="W18" s="313">
        <f t="shared" si="6"/>
        <v>47.2</v>
      </c>
      <c r="X18" s="313">
        <f t="shared" si="7"/>
        <v>94.4</v>
      </c>
      <c r="Y18" s="313">
        <f t="shared" si="8"/>
        <v>28.32</v>
      </c>
    </row>
    <row r="19" spans="1:25" hidden="1">
      <c r="A19" s="118">
        <f>'BD Team'!A24</f>
        <v>16</v>
      </c>
      <c r="B19" s="118" t="str">
        <f>'BD Team'!B24</f>
        <v>KW1</v>
      </c>
      <c r="C19" s="118" t="str">
        <f>'BD Team'!C24</f>
        <v>M15000</v>
      </c>
      <c r="D19" s="118" t="str">
        <f>'BD Team'!D24</f>
        <v>FRENCH CASEMENT WINDOW</v>
      </c>
      <c r="E19" s="118" t="str">
        <f>'BD Team'!F24</f>
        <v>RETRACTABLE</v>
      </c>
      <c r="F19" s="121" t="str">
        <f>'BD Team'!G24</f>
        <v>KITCHEN</v>
      </c>
      <c r="G19" s="118">
        <f>'BD Team'!H24</f>
        <v>1000</v>
      </c>
      <c r="H19" s="118">
        <f>'BD Team'!I24</f>
        <v>1200</v>
      </c>
      <c r="I19" s="118">
        <f>'BD Team'!J24</f>
        <v>2</v>
      </c>
      <c r="J19" s="103">
        <f t="shared" si="0"/>
        <v>25.833600000000001</v>
      </c>
      <c r="K19" s="172">
        <f>'BD Team'!K24</f>
        <v>224.84</v>
      </c>
      <c r="L19" s="171">
        <f t="shared" si="1"/>
        <v>449.68</v>
      </c>
      <c r="M19" s="170">
        <f>L19*'Changable Values'!$D$4</f>
        <v>37323.440000000002</v>
      </c>
      <c r="N19" s="170" t="str">
        <f>'BD Team'!E24</f>
        <v>24MM</v>
      </c>
      <c r="O19" s="172">
        <v>2938</v>
      </c>
      <c r="P19" s="241"/>
      <c r="Q19" s="173"/>
      <c r="R19" s="185">
        <f t="shared" si="10"/>
        <v>6458.4</v>
      </c>
      <c r="S19" s="312"/>
      <c r="T19" s="313">
        <f t="shared" si="3"/>
        <v>29.333333333333332</v>
      </c>
      <c r="U19" s="313">
        <f t="shared" si="4"/>
        <v>35.200000000000003</v>
      </c>
      <c r="V19" s="313">
        <f t="shared" si="5"/>
        <v>1.8333333333333333</v>
      </c>
      <c r="W19" s="313">
        <f t="shared" si="6"/>
        <v>29.333333333333332</v>
      </c>
      <c r="X19" s="313">
        <f t="shared" si="7"/>
        <v>58.666666666666664</v>
      </c>
      <c r="Y19" s="313">
        <f t="shared" si="8"/>
        <v>17.600000000000001</v>
      </c>
    </row>
    <row r="20" spans="1:25" hidden="1">
      <c r="A20" s="118">
        <f>'BD Team'!A25</f>
        <v>17</v>
      </c>
      <c r="B20" s="118" t="str">
        <f>'BD Team'!B25</f>
        <v>KW2</v>
      </c>
      <c r="C20" s="118" t="str">
        <f>'BD Team'!C25</f>
        <v>M15000</v>
      </c>
      <c r="D20" s="118" t="str">
        <f>'BD Team'!D25</f>
        <v>FRENCH CASEMENT WINDOW</v>
      </c>
      <c r="E20" s="118" t="str">
        <f>'BD Team'!F25</f>
        <v>RETRACTABLE</v>
      </c>
      <c r="F20" s="121" t="str">
        <f>'BD Team'!G25</f>
        <v>KITCHEN</v>
      </c>
      <c r="G20" s="118">
        <f>'BD Team'!H25</f>
        <v>1200</v>
      </c>
      <c r="H20" s="118">
        <f>'BD Team'!I25</f>
        <v>1200</v>
      </c>
      <c r="I20" s="118">
        <f>'BD Team'!J25</f>
        <v>1</v>
      </c>
      <c r="J20" s="103">
        <f t="shared" si="0"/>
        <v>15.500159999999997</v>
      </c>
      <c r="K20" s="172">
        <f>'BD Team'!K25</f>
        <v>233.22</v>
      </c>
      <c r="L20" s="171">
        <f t="shared" si="1"/>
        <v>233.22</v>
      </c>
      <c r="M20" s="170">
        <f>L20*'Changable Values'!$D$4</f>
        <v>19357.259999999998</v>
      </c>
      <c r="N20" s="170" t="str">
        <f>'BD Team'!E25</f>
        <v>24MM</v>
      </c>
      <c r="O20" s="172">
        <v>2938</v>
      </c>
      <c r="P20" s="241"/>
      <c r="Q20" s="173"/>
      <c r="R20" s="185">
        <f t="shared" si="10"/>
        <v>6458.4</v>
      </c>
      <c r="S20" s="312"/>
      <c r="T20" s="313">
        <f t="shared" si="3"/>
        <v>16</v>
      </c>
      <c r="U20" s="313">
        <f t="shared" si="4"/>
        <v>19.2</v>
      </c>
      <c r="V20" s="313">
        <f t="shared" si="5"/>
        <v>1</v>
      </c>
      <c r="W20" s="313">
        <f t="shared" si="6"/>
        <v>16</v>
      </c>
      <c r="X20" s="313">
        <f t="shared" si="7"/>
        <v>32</v>
      </c>
      <c r="Y20" s="313">
        <f t="shared" si="8"/>
        <v>9.6</v>
      </c>
    </row>
    <row r="21" spans="1:25">
      <c r="A21" s="118">
        <f>'BD Team'!A26</f>
        <v>18</v>
      </c>
      <c r="B21" s="118" t="str">
        <f>'BD Team'!B26</f>
        <v>GW</v>
      </c>
      <c r="C21" s="118" t="str">
        <f>'BD Team'!C26</f>
        <v>M15000</v>
      </c>
      <c r="D21" s="118" t="str">
        <f>'BD Team'!D26</f>
        <v>2 SIDE HUNG DOORS WITH CENTER FIXED</v>
      </c>
      <c r="E21" s="118" t="str">
        <f>'BD Team'!F26</f>
        <v>RETRACTABLE</v>
      </c>
      <c r="F21" s="121" t="str">
        <f>'BD Team'!G26</f>
        <v>GYM AREA</v>
      </c>
      <c r="G21" s="118">
        <f>'BD Team'!H26</f>
        <v>3000</v>
      </c>
      <c r="H21" s="118">
        <f>'BD Team'!I26</f>
        <v>1600</v>
      </c>
      <c r="I21" s="118">
        <f>'BD Team'!J26</f>
        <v>2</v>
      </c>
      <c r="J21" s="103">
        <f t="shared" si="0"/>
        <v>103.3344</v>
      </c>
      <c r="K21" s="172">
        <f>'BD Team'!K26</f>
        <v>519.95000000000005</v>
      </c>
      <c r="L21" s="171">
        <f t="shared" si="1"/>
        <v>1039.9000000000001</v>
      </c>
      <c r="M21" s="170">
        <f>L21*'Changable Values'!$D$4</f>
        <v>86311.700000000012</v>
      </c>
      <c r="N21" s="170" t="str">
        <f>'BD Team'!E26</f>
        <v>24MM</v>
      </c>
      <c r="O21" s="172">
        <v>2938</v>
      </c>
      <c r="P21" s="241"/>
      <c r="Q21" s="173"/>
      <c r="R21" s="185">
        <f>500*10.764</f>
        <v>5382</v>
      </c>
      <c r="S21" s="312"/>
      <c r="T21" s="313">
        <f t="shared" si="3"/>
        <v>61.333333333333336</v>
      </c>
      <c r="U21" s="313">
        <f t="shared" si="4"/>
        <v>73.599999999999994</v>
      </c>
      <c r="V21" s="313">
        <f t="shared" si="5"/>
        <v>3.8333333333333335</v>
      </c>
      <c r="W21" s="313">
        <f t="shared" si="6"/>
        <v>61.333333333333336</v>
      </c>
      <c r="X21" s="313">
        <f t="shared" si="7"/>
        <v>122.66666666666667</v>
      </c>
      <c r="Y21" s="313">
        <f t="shared" si="8"/>
        <v>36.799999999999997</v>
      </c>
    </row>
    <row r="22" spans="1:25">
      <c r="A22" s="118">
        <f>'BD Team'!A27</f>
        <v>19</v>
      </c>
      <c r="B22" s="118" t="str">
        <f>'BD Team'!B27</f>
        <v>CW</v>
      </c>
      <c r="C22" s="118" t="str">
        <f>'BD Team'!C27</f>
        <v>M15000</v>
      </c>
      <c r="D22" s="118" t="str">
        <f>'BD Team'!D27</f>
        <v>2 SIDE HUNG DOORS WITH CORNOR FIXED</v>
      </c>
      <c r="E22" s="118" t="str">
        <f>'BD Team'!F27</f>
        <v>RETRACTABLE</v>
      </c>
      <c r="F22" s="121" t="str">
        <f>'BD Team'!G27</f>
        <v>BEDROOM</v>
      </c>
      <c r="G22" s="118">
        <f>'BD Team'!H27</f>
        <v>3220</v>
      </c>
      <c r="H22" s="118">
        <f>'BD Team'!I27</f>
        <v>1600</v>
      </c>
      <c r="I22" s="118">
        <f>'BD Team'!J27</f>
        <v>2</v>
      </c>
      <c r="J22" s="103">
        <f t="shared" si="0"/>
        <v>110.912256</v>
      </c>
      <c r="K22" s="172">
        <f>'BD Team'!K27</f>
        <v>580.54999999999995</v>
      </c>
      <c r="L22" s="171">
        <f t="shared" si="1"/>
        <v>1161.0999999999999</v>
      </c>
      <c r="M22" s="170">
        <f>L22*'Changable Values'!$D$4</f>
        <v>96371.299999999988</v>
      </c>
      <c r="N22" s="170" t="str">
        <f>'BD Team'!E27</f>
        <v>24MM</v>
      </c>
      <c r="O22" s="172">
        <v>2938</v>
      </c>
      <c r="P22" s="241"/>
      <c r="Q22" s="173"/>
      <c r="R22" s="185">
        <f>400*10.764</f>
        <v>4305.5999999999995</v>
      </c>
      <c r="S22" s="312"/>
      <c r="T22" s="313">
        <f t="shared" si="3"/>
        <v>64.266666666666666</v>
      </c>
      <c r="U22" s="313">
        <f t="shared" si="4"/>
        <v>77.12</v>
      </c>
      <c r="V22" s="313">
        <f t="shared" si="5"/>
        <v>4.0166666666666666</v>
      </c>
      <c r="W22" s="313">
        <f t="shared" si="6"/>
        <v>64.266666666666666</v>
      </c>
      <c r="X22" s="313">
        <f t="shared" si="7"/>
        <v>128.53333333333333</v>
      </c>
      <c r="Y22" s="313">
        <f t="shared" si="8"/>
        <v>38.56</v>
      </c>
    </row>
    <row r="23" spans="1:25" hidden="1">
      <c r="A23" s="118">
        <f>'BD Team'!A28</f>
        <v>20</v>
      </c>
      <c r="B23" s="118" t="str">
        <f>'BD Team'!B28</f>
        <v>SW1</v>
      </c>
      <c r="C23" s="118" t="str">
        <f>'BD Team'!C28</f>
        <v>M15000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STAIRCASE CORE</v>
      </c>
      <c r="G23" s="118">
        <f>'BD Team'!H28</f>
        <v>500</v>
      </c>
      <c r="H23" s="118">
        <f>'BD Team'!I28</f>
        <v>500</v>
      </c>
      <c r="I23" s="118">
        <f>'BD Team'!J28</f>
        <v>13</v>
      </c>
      <c r="J23" s="103">
        <f t="shared" si="0"/>
        <v>34.982999999999997</v>
      </c>
      <c r="K23" s="172">
        <f>'BD Team'!K28</f>
        <v>25.93</v>
      </c>
      <c r="L23" s="171">
        <f t="shared" si="1"/>
        <v>337.09</v>
      </c>
      <c r="M23" s="170">
        <f>L23*'Changable Values'!$D$4</f>
        <v>27978.469999999998</v>
      </c>
      <c r="N23" s="170" t="str">
        <f>'BD Team'!E28</f>
        <v>24MM</v>
      </c>
      <c r="O23" s="172">
        <v>2938</v>
      </c>
      <c r="P23" s="241"/>
      <c r="Q23" s="173"/>
      <c r="R23" s="185"/>
      <c r="S23" s="312"/>
      <c r="T23" s="313">
        <f t="shared" si="3"/>
        <v>86.666666666666671</v>
      </c>
      <c r="U23" s="313">
        <f t="shared" si="4"/>
        <v>104</v>
      </c>
      <c r="V23" s="313">
        <f t="shared" si="5"/>
        <v>5.416666666666667</v>
      </c>
      <c r="W23" s="313">
        <f t="shared" si="6"/>
        <v>86.666666666666671</v>
      </c>
      <c r="X23" s="313">
        <f t="shared" si="7"/>
        <v>173.33333333333334</v>
      </c>
      <c r="Y23" s="313">
        <f t="shared" si="8"/>
        <v>52</v>
      </c>
    </row>
    <row r="24" spans="1:25" hidden="1">
      <c r="A24" s="118">
        <f>'BD Team'!A29</f>
        <v>21</v>
      </c>
      <c r="B24" s="118" t="str">
        <f>'BD Team'!B29</f>
        <v>V1</v>
      </c>
      <c r="C24" s="118" t="str">
        <f>'BD Team'!C29</f>
        <v>M15000</v>
      </c>
      <c r="D24" s="118" t="str">
        <f>'BD Team'!D29</f>
        <v>TOP HUNG WINDOW</v>
      </c>
      <c r="E24" s="118" t="str">
        <f>'BD Team'!F29</f>
        <v>NO</v>
      </c>
      <c r="F24" s="121" t="str">
        <f>'BD Team'!G29</f>
        <v>BATH &amp; BOX ROOM</v>
      </c>
      <c r="G24" s="118">
        <f>'BD Team'!H29</f>
        <v>800</v>
      </c>
      <c r="H24" s="118">
        <f>'BD Team'!I29</f>
        <v>600</v>
      </c>
      <c r="I24" s="118">
        <f>'BD Team'!J29</f>
        <v>5</v>
      </c>
      <c r="J24" s="103">
        <f t="shared" si="0"/>
        <v>25.833600000000001</v>
      </c>
      <c r="K24" s="172">
        <f>'BD Team'!K29</f>
        <v>112.82</v>
      </c>
      <c r="L24" s="171">
        <f t="shared" si="1"/>
        <v>564.09999999999991</v>
      </c>
      <c r="M24" s="170">
        <f>L24*'Changable Values'!$D$4</f>
        <v>46820.299999999996</v>
      </c>
      <c r="N24" s="170" t="str">
        <f>'BD Team'!E29</f>
        <v>24MM (F)</v>
      </c>
      <c r="O24" s="172">
        <v>3940</v>
      </c>
      <c r="P24" s="241"/>
      <c r="Q24" s="173"/>
      <c r="R24" s="185"/>
      <c r="S24" s="312"/>
      <c r="T24" s="313">
        <f t="shared" si="3"/>
        <v>46.666666666666664</v>
      </c>
      <c r="U24" s="313">
        <f t="shared" si="4"/>
        <v>56</v>
      </c>
      <c r="V24" s="313">
        <f t="shared" si="5"/>
        <v>2.9166666666666665</v>
      </c>
      <c r="W24" s="313">
        <f t="shared" si="6"/>
        <v>46.666666666666664</v>
      </c>
      <c r="X24" s="313">
        <f t="shared" si="7"/>
        <v>93.333333333333329</v>
      </c>
      <c r="Y24" s="313">
        <f t="shared" si="8"/>
        <v>28</v>
      </c>
    </row>
    <row r="25" spans="1:25" hidden="1">
      <c r="A25" s="118">
        <f>'BD Team'!A30</f>
        <v>22</v>
      </c>
      <c r="B25" s="118" t="str">
        <f>'BD Team'!B30</f>
        <v>V2</v>
      </c>
      <c r="C25" s="118" t="str">
        <f>'BD Team'!C30</f>
        <v>M15000</v>
      </c>
      <c r="D25" s="118" t="str">
        <f>'BD Team'!D30</f>
        <v>TOP HUNG WINDOW</v>
      </c>
      <c r="E25" s="118" t="str">
        <f>'BD Team'!F30</f>
        <v>NO</v>
      </c>
      <c r="F25" s="121" t="str">
        <f>'BD Team'!G30</f>
        <v>BATH &amp; PUMP ROOM</v>
      </c>
      <c r="G25" s="118">
        <f>'BD Team'!H30</f>
        <v>600</v>
      </c>
      <c r="H25" s="118">
        <f>'BD Team'!I30</f>
        <v>600</v>
      </c>
      <c r="I25" s="118">
        <f>'BD Team'!J30</f>
        <v>3</v>
      </c>
      <c r="J25" s="103">
        <f t="shared" si="0"/>
        <v>11.625120000000001</v>
      </c>
      <c r="K25" s="172">
        <f>'BD Team'!K30</f>
        <v>104.38</v>
      </c>
      <c r="L25" s="171">
        <f t="shared" si="1"/>
        <v>313.14</v>
      </c>
      <c r="M25" s="170">
        <f>L25*'Changable Values'!$D$4</f>
        <v>25990.62</v>
      </c>
      <c r="N25" s="170" t="str">
        <f>'BD Team'!E30</f>
        <v>24MM (F)</v>
      </c>
      <c r="O25" s="172">
        <v>3940</v>
      </c>
      <c r="P25" s="241"/>
      <c r="Q25" s="173"/>
      <c r="R25" s="185"/>
      <c r="S25" s="312"/>
      <c r="T25" s="313">
        <f t="shared" si="3"/>
        <v>24</v>
      </c>
      <c r="U25" s="313">
        <f t="shared" si="4"/>
        <v>28.8</v>
      </c>
      <c r="V25" s="313">
        <f t="shared" si="5"/>
        <v>1.5</v>
      </c>
      <c r="W25" s="313">
        <f t="shared" si="6"/>
        <v>24</v>
      </c>
      <c r="X25" s="313">
        <f t="shared" si="7"/>
        <v>48</v>
      </c>
      <c r="Y25" s="313">
        <f t="shared" si="8"/>
        <v>14.4</v>
      </c>
    </row>
    <row r="26" spans="1:25" hidden="1">
      <c r="A26" s="118">
        <f>'BD Team'!A31</f>
        <v>23</v>
      </c>
      <c r="B26" s="118" t="str">
        <f>'BD Team'!B31</f>
        <v>FV</v>
      </c>
      <c r="C26" s="118" t="str">
        <f>'BD Team'!C31</f>
        <v>M15000</v>
      </c>
      <c r="D26" s="118" t="str">
        <f>'BD Team'!D31</f>
        <v>FIXED GLASS</v>
      </c>
      <c r="E26" s="118" t="str">
        <f>'BD Team'!F31</f>
        <v>NO</v>
      </c>
      <c r="F26" s="121" t="str">
        <f>'BD Team'!G31</f>
        <v>POWDER BATH &amp; DRESS</v>
      </c>
      <c r="G26" s="118">
        <f>'BD Team'!H31</f>
        <v>600</v>
      </c>
      <c r="H26" s="118">
        <f>'BD Team'!I31</f>
        <v>600</v>
      </c>
      <c r="I26" s="118">
        <f>'BD Team'!J31</f>
        <v>5</v>
      </c>
      <c r="J26" s="103">
        <f t="shared" si="0"/>
        <v>19.3752</v>
      </c>
      <c r="K26" s="172">
        <f>'BD Team'!K31</f>
        <v>29.91</v>
      </c>
      <c r="L26" s="171">
        <f t="shared" si="1"/>
        <v>149.55000000000001</v>
      </c>
      <c r="M26" s="170">
        <f>L26*'Changable Values'!$D$4</f>
        <v>12412.650000000001</v>
      </c>
      <c r="N26" s="170" t="str">
        <f>'BD Team'!E31</f>
        <v>24MM (F)</v>
      </c>
      <c r="O26" s="172">
        <v>3940</v>
      </c>
      <c r="P26" s="241"/>
      <c r="Q26" s="173"/>
      <c r="R26" s="185"/>
      <c r="S26" s="312"/>
      <c r="T26" s="313">
        <f t="shared" si="3"/>
        <v>40</v>
      </c>
      <c r="U26" s="313">
        <f t="shared" si="4"/>
        <v>48</v>
      </c>
      <c r="V26" s="313">
        <f t="shared" si="5"/>
        <v>2.5</v>
      </c>
      <c r="W26" s="313">
        <f t="shared" si="6"/>
        <v>40</v>
      </c>
      <c r="X26" s="313">
        <f t="shared" si="7"/>
        <v>80</v>
      </c>
      <c r="Y26" s="313">
        <f t="shared" si="8"/>
        <v>24</v>
      </c>
    </row>
    <row r="27" spans="1:25" hidden="1">
      <c r="A27" s="118">
        <f>'BD Team'!A32</f>
        <v>24</v>
      </c>
      <c r="B27" s="118" t="str">
        <f>'BD Team'!B32</f>
        <v>FG1</v>
      </c>
      <c r="C27" s="118" t="str">
        <f>'BD Team'!C32</f>
        <v>M15000</v>
      </c>
      <c r="D27" s="118" t="str">
        <f>'BD Team'!D32</f>
        <v>FIXED GLASS 6 NO'S</v>
      </c>
      <c r="E27" s="118" t="str">
        <f>'BD Team'!F32</f>
        <v>NO</v>
      </c>
      <c r="F27" s="121" t="str">
        <f>'BD Team'!G32</f>
        <v>BEDROOM</v>
      </c>
      <c r="G27" s="118">
        <f>'BD Team'!H32</f>
        <v>5580</v>
      </c>
      <c r="H27" s="118">
        <f>'BD Team'!I32</f>
        <v>2860</v>
      </c>
      <c r="I27" s="118">
        <f>'BD Team'!J32</f>
        <v>1</v>
      </c>
      <c r="J27" s="103">
        <f t="shared" si="0"/>
        <v>171.78052319999998</v>
      </c>
      <c r="K27" s="172">
        <f>'BD Team'!K32</f>
        <v>926.42</v>
      </c>
      <c r="L27" s="171">
        <f t="shared" si="1"/>
        <v>926.42</v>
      </c>
      <c r="M27" s="170">
        <f>L27*'Changable Values'!$D$4</f>
        <v>76892.86</v>
      </c>
      <c r="N27" s="170" t="str">
        <f>'BD Team'!E32</f>
        <v>24MM</v>
      </c>
      <c r="O27" s="172">
        <v>2938</v>
      </c>
      <c r="P27" s="241"/>
      <c r="Q27" s="173"/>
      <c r="R27" s="185"/>
      <c r="S27" s="312"/>
      <c r="T27" s="313">
        <f t="shared" si="3"/>
        <v>56.266666666666666</v>
      </c>
      <c r="U27" s="313">
        <f t="shared" si="4"/>
        <v>67.52</v>
      </c>
      <c r="V27" s="313">
        <f t="shared" si="5"/>
        <v>3.5166666666666666</v>
      </c>
      <c r="W27" s="313">
        <f t="shared" si="6"/>
        <v>56.266666666666666</v>
      </c>
      <c r="X27" s="313">
        <f t="shared" si="7"/>
        <v>112.53333333333333</v>
      </c>
      <c r="Y27" s="313">
        <f t="shared" si="8"/>
        <v>33.76</v>
      </c>
    </row>
    <row r="28" spans="1:25" hidden="1">
      <c r="A28" s="118">
        <f>'BD Team'!A33</f>
        <v>25</v>
      </c>
      <c r="B28" s="118" t="str">
        <f>'BD Team'!B33</f>
        <v>PD</v>
      </c>
      <c r="C28" s="118" t="str">
        <f>'BD Team'!C33</f>
        <v>M15000</v>
      </c>
      <c r="D28" s="118" t="str">
        <f>'BD Team'!D33</f>
        <v>FRENCH CASEMENT WINDOW IN SHAPE</v>
      </c>
      <c r="E28" s="118" t="str">
        <f>'BD Team'!F33</f>
        <v>NO</v>
      </c>
      <c r="F28" s="121" t="str">
        <f>'BD Team'!G33</f>
        <v>PANEL ROOM DOOR</v>
      </c>
      <c r="G28" s="118">
        <f>'BD Team'!H33</f>
        <v>1900</v>
      </c>
      <c r="H28" s="118">
        <f>'BD Team'!I33</f>
        <v>2130</v>
      </c>
      <c r="I28" s="118">
        <f>'BD Team'!J33</f>
        <v>1</v>
      </c>
      <c r="J28" s="103">
        <f t="shared" si="0"/>
        <v>43.561908000000003</v>
      </c>
      <c r="K28" s="172">
        <f>'BD Team'!K33</f>
        <v>588.28</v>
      </c>
      <c r="L28" s="171">
        <f t="shared" si="1"/>
        <v>588.28</v>
      </c>
      <c r="M28" s="170">
        <f>L28*'Changable Values'!$D$4</f>
        <v>48827.24</v>
      </c>
      <c r="N28" s="170" t="str">
        <f>'BD Team'!E33</f>
        <v>24MM</v>
      </c>
      <c r="O28" s="172">
        <v>2938</v>
      </c>
      <c r="P28" s="241"/>
      <c r="Q28" s="173"/>
      <c r="R28" s="185"/>
      <c r="S28" s="312"/>
      <c r="T28" s="313">
        <f t="shared" si="3"/>
        <v>26.866666666666667</v>
      </c>
      <c r="U28" s="313">
        <f t="shared" si="4"/>
        <v>32.24</v>
      </c>
      <c r="V28" s="313">
        <f t="shared" si="5"/>
        <v>1.6791666666666667</v>
      </c>
      <c r="W28" s="313">
        <f t="shared" si="6"/>
        <v>26.866666666666667</v>
      </c>
      <c r="X28" s="313">
        <f t="shared" si="7"/>
        <v>53.733333333333334</v>
      </c>
      <c r="Y28" s="313">
        <f t="shared" si="8"/>
        <v>16.12</v>
      </c>
    </row>
    <row r="29" spans="1:25" hidden="1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 hidden="1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 hidden="1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 hidden="1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 hidden="1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 hidden="1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 hidden="1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 hidden="1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 hidden="1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 hidden="1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 hidden="1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 hidden="1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 hidden="1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 hidden="1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 hidden="1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 hidden="1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 hidden="1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 hidden="1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 hidden="1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 hidden="1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 hidden="1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 hidden="1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 hidden="1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 hidden="1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 hidden="1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 hidden="1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1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 hidden="1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1"/>
        <v>0</v>
      </c>
      <c r="K55" s="172">
        <f>'BD Team'!K60</f>
        <v>0</v>
      </c>
      <c r="L55" s="171">
        <f t="shared" ref="L55:L103" si="12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 hidden="1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1"/>
        <v>0</v>
      </c>
      <c r="K56" s="172">
        <f>'BD Team'!K61</f>
        <v>0</v>
      </c>
      <c r="L56" s="171">
        <f t="shared" si="12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 hidden="1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1"/>
        <v>0</v>
      </c>
      <c r="K57" s="172">
        <f>'BD Team'!K62</f>
        <v>0</v>
      </c>
      <c r="L57" s="171">
        <f t="shared" si="12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 hidden="1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1"/>
        <v>0</v>
      </c>
      <c r="K58" s="172">
        <f>'BD Team'!K63</f>
        <v>0</v>
      </c>
      <c r="L58" s="171">
        <f t="shared" si="12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 hidden="1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1"/>
        <v>0</v>
      </c>
      <c r="K59" s="172">
        <f>'BD Team'!K64</f>
        <v>0</v>
      </c>
      <c r="L59" s="171">
        <f t="shared" si="12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 hidden="1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1"/>
        <v>0</v>
      </c>
      <c r="K60" s="172">
        <f>'BD Team'!K65</f>
        <v>0</v>
      </c>
      <c r="L60" s="171">
        <f t="shared" si="12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 hidden="1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1"/>
        <v>0</v>
      </c>
      <c r="K61" s="172">
        <f>'BD Team'!K66</f>
        <v>0</v>
      </c>
      <c r="L61" s="171">
        <f t="shared" si="12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 hidden="1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1"/>
        <v>0</v>
      </c>
      <c r="K62" s="172">
        <f>'BD Team'!K67</f>
        <v>0</v>
      </c>
      <c r="L62" s="171">
        <f t="shared" si="12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 hidden="1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1"/>
        <v>0</v>
      </c>
      <c r="K63" s="172">
        <f>'BD Team'!K68</f>
        <v>0</v>
      </c>
      <c r="L63" s="171">
        <f t="shared" si="12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 hidden="1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1"/>
        <v>0</v>
      </c>
      <c r="K64" s="172">
        <f>'BD Team'!K69</f>
        <v>0</v>
      </c>
      <c r="L64" s="171">
        <f t="shared" si="12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 hidden="1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1"/>
        <v>0</v>
      </c>
      <c r="K65" s="172">
        <f>'BD Team'!K70</f>
        <v>0</v>
      </c>
      <c r="L65" s="171">
        <f t="shared" si="12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 hidden="1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1"/>
        <v>0</v>
      </c>
      <c r="K66" s="172">
        <f>'BD Team'!K71</f>
        <v>0</v>
      </c>
      <c r="L66" s="171">
        <f t="shared" si="12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 hidden="1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1"/>
        <v>0</v>
      </c>
      <c r="K67" s="172">
        <f>'BD Team'!K72</f>
        <v>0</v>
      </c>
      <c r="L67" s="171">
        <f t="shared" si="12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 hidden="1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1"/>
        <v>0</v>
      </c>
      <c r="K68" s="172">
        <f>'BD Team'!K73</f>
        <v>0</v>
      </c>
      <c r="L68" s="171">
        <f t="shared" si="12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 hidden="1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1"/>
        <v>0</v>
      </c>
      <c r="K69" s="172">
        <f>'BD Team'!K74</f>
        <v>0</v>
      </c>
      <c r="L69" s="171">
        <f t="shared" si="12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3">(G69+H69)*I69*2/300</f>
        <v>0</v>
      </c>
      <c r="U69" s="313">
        <f t="shared" ref="U69:U103" si="14">SUM(G69:H69)*I69*2*4/1000</f>
        <v>0</v>
      </c>
      <c r="V69" s="313">
        <f t="shared" ref="V69:V103" si="15">SUM(G69:H69)*I69*5*5*4/(1000*240)</f>
        <v>0</v>
      </c>
      <c r="W69" s="313">
        <f t="shared" ref="W69:W103" si="16">T69</f>
        <v>0</v>
      </c>
      <c r="X69" s="313">
        <f t="shared" ref="X69:X103" si="17">W69*2</f>
        <v>0</v>
      </c>
      <c r="Y69" s="313">
        <f t="shared" ref="Y69:Y103" si="18">SUM(G69:H69)*I69*4/1000</f>
        <v>0</v>
      </c>
    </row>
    <row r="70" spans="1:25" hidden="1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1"/>
        <v>0</v>
      </c>
      <c r="K70" s="172">
        <f>'BD Team'!K75</f>
        <v>0</v>
      </c>
      <c r="L70" s="171">
        <f t="shared" si="12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3"/>
        <v>0</v>
      </c>
      <c r="U70" s="313">
        <f t="shared" si="14"/>
        <v>0</v>
      </c>
      <c r="V70" s="313">
        <f t="shared" si="15"/>
        <v>0</v>
      </c>
      <c r="W70" s="313">
        <f t="shared" si="16"/>
        <v>0</v>
      </c>
      <c r="X70" s="313">
        <f t="shared" si="17"/>
        <v>0</v>
      </c>
      <c r="Y70" s="313">
        <f t="shared" si="18"/>
        <v>0</v>
      </c>
    </row>
    <row r="71" spans="1:25" hidden="1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1"/>
        <v>0</v>
      </c>
      <c r="K71" s="172">
        <f>'BD Team'!K76</f>
        <v>0</v>
      </c>
      <c r="L71" s="171">
        <f t="shared" si="12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3"/>
        <v>0</v>
      </c>
      <c r="U71" s="313">
        <f t="shared" si="14"/>
        <v>0</v>
      </c>
      <c r="V71" s="313">
        <f t="shared" si="15"/>
        <v>0</v>
      </c>
      <c r="W71" s="313">
        <f t="shared" si="16"/>
        <v>0</v>
      </c>
      <c r="X71" s="313">
        <f t="shared" si="17"/>
        <v>0</v>
      </c>
      <c r="Y71" s="313">
        <f t="shared" si="18"/>
        <v>0</v>
      </c>
    </row>
    <row r="72" spans="1:25" hidden="1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1"/>
        <v>0</v>
      </c>
      <c r="K72" s="172">
        <f>'BD Team'!K77</f>
        <v>0</v>
      </c>
      <c r="L72" s="171">
        <f t="shared" si="12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3"/>
        <v>0</v>
      </c>
      <c r="U72" s="313">
        <f t="shared" si="14"/>
        <v>0</v>
      </c>
      <c r="V72" s="313">
        <f t="shared" si="15"/>
        <v>0</v>
      </c>
      <c r="W72" s="313">
        <f t="shared" si="16"/>
        <v>0</v>
      </c>
      <c r="X72" s="313">
        <f t="shared" si="17"/>
        <v>0</v>
      </c>
      <c r="Y72" s="313">
        <f t="shared" si="18"/>
        <v>0</v>
      </c>
    </row>
    <row r="73" spans="1:25" hidden="1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1"/>
        <v>0</v>
      </c>
      <c r="K73" s="172">
        <f>'BD Team'!K78</f>
        <v>0</v>
      </c>
      <c r="L73" s="171">
        <f t="shared" si="12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3"/>
        <v>0</v>
      </c>
      <c r="U73" s="313">
        <f t="shared" si="14"/>
        <v>0</v>
      </c>
      <c r="V73" s="313">
        <f t="shared" si="15"/>
        <v>0</v>
      </c>
      <c r="W73" s="313">
        <f t="shared" si="16"/>
        <v>0</v>
      </c>
      <c r="X73" s="313">
        <f t="shared" si="17"/>
        <v>0</v>
      </c>
      <c r="Y73" s="313">
        <f t="shared" si="18"/>
        <v>0</v>
      </c>
    </row>
    <row r="74" spans="1:25" hidden="1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1"/>
        <v>0</v>
      </c>
      <c r="K74" s="172">
        <f>'BD Team'!K79</f>
        <v>0</v>
      </c>
      <c r="L74" s="171">
        <f t="shared" si="12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3"/>
        <v>0</v>
      </c>
      <c r="U74" s="313">
        <f t="shared" si="14"/>
        <v>0</v>
      </c>
      <c r="V74" s="313">
        <f t="shared" si="15"/>
        <v>0</v>
      </c>
      <c r="W74" s="313">
        <f t="shared" si="16"/>
        <v>0</v>
      </c>
      <c r="X74" s="313">
        <f t="shared" si="17"/>
        <v>0</v>
      </c>
      <c r="Y74" s="313">
        <f t="shared" si="18"/>
        <v>0</v>
      </c>
    </row>
    <row r="75" spans="1:25" hidden="1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1"/>
        <v>0</v>
      </c>
      <c r="K75" s="172">
        <f>'BD Team'!K80</f>
        <v>0</v>
      </c>
      <c r="L75" s="171">
        <f t="shared" si="12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3"/>
        <v>0</v>
      </c>
      <c r="U75" s="313">
        <f t="shared" si="14"/>
        <v>0</v>
      </c>
      <c r="V75" s="313">
        <f t="shared" si="15"/>
        <v>0</v>
      </c>
      <c r="W75" s="313">
        <f t="shared" si="16"/>
        <v>0</v>
      </c>
      <c r="X75" s="313">
        <f t="shared" si="17"/>
        <v>0</v>
      </c>
      <c r="Y75" s="313">
        <f t="shared" si="18"/>
        <v>0</v>
      </c>
    </row>
    <row r="76" spans="1:25" hidden="1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1"/>
        <v>0</v>
      </c>
      <c r="K76" s="172">
        <f>'BD Team'!K81</f>
        <v>0</v>
      </c>
      <c r="L76" s="171">
        <f t="shared" si="12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3"/>
        <v>0</v>
      </c>
      <c r="U76" s="313">
        <f t="shared" si="14"/>
        <v>0</v>
      </c>
      <c r="V76" s="313">
        <f t="shared" si="15"/>
        <v>0</v>
      </c>
      <c r="W76" s="313">
        <f t="shared" si="16"/>
        <v>0</v>
      </c>
      <c r="X76" s="313">
        <f t="shared" si="17"/>
        <v>0</v>
      </c>
      <c r="Y76" s="313">
        <f t="shared" si="18"/>
        <v>0</v>
      </c>
    </row>
    <row r="77" spans="1:25" hidden="1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1"/>
        <v>0</v>
      </c>
      <c r="K77" s="172">
        <f>'BD Team'!K82</f>
        <v>0</v>
      </c>
      <c r="L77" s="171">
        <f t="shared" si="12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3"/>
        <v>0</v>
      </c>
      <c r="U77" s="313">
        <f t="shared" si="14"/>
        <v>0</v>
      </c>
      <c r="V77" s="313">
        <f t="shared" si="15"/>
        <v>0</v>
      </c>
      <c r="W77" s="313">
        <f t="shared" si="16"/>
        <v>0</v>
      </c>
      <c r="X77" s="313">
        <f t="shared" si="17"/>
        <v>0</v>
      </c>
      <c r="Y77" s="313">
        <f t="shared" si="18"/>
        <v>0</v>
      </c>
    </row>
    <row r="78" spans="1:25" hidden="1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1"/>
        <v>0</v>
      </c>
      <c r="K78" s="172">
        <f>'BD Team'!K83</f>
        <v>0</v>
      </c>
      <c r="L78" s="171">
        <f t="shared" si="12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3"/>
        <v>0</v>
      </c>
      <c r="U78" s="313">
        <f t="shared" si="14"/>
        <v>0</v>
      </c>
      <c r="V78" s="313">
        <f t="shared" si="15"/>
        <v>0</v>
      </c>
      <c r="W78" s="313">
        <f t="shared" si="16"/>
        <v>0</v>
      </c>
      <c r="X78" s="313">
        <f t="shared" si="17"/>
        <v>0</v>
      </c>
      <c r="Y78" s="313">
        <f t="shared" si="18"/>
        <v>0</v>
      </c>
    </row>
    <row r="79" spans="1:25" hidden="1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1"/>
        <v>0</v>
      </c>
      <c r="K79" s="172">
        <f>'BD Team'!K84</f>
        <v>0</v>
      </c>
      <c r="L79" s="171">
        <f t="shared" si="12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3"/>
        <v>0</v>
      </c>
      <c r="U79" s="313">
        <f t="shared" si="14"/>
        <v>0</v>
      </c>
      <c r="V79" s="313">
        <f t="shared" si="15"/>
        <v>0</v>
      </c>
      <c r="W79" s="313">
        <f t="shared" si="16"/>
        <v>0</v>
      </c>
      <c r="X79" s="313">
        <f t="shared" si="17"/>
        <v>0</v>
      </c>
      <c r="Y79" s="313">
        <f t="shared" si="18"/>
        <v>0</v>
      </c>
    </row>
    <row r="80" spans="1:25" hidden="1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1"/>
        <v>0</v>
      </c>
      <c r="K80" s="172">
        <f>'BD Team'!K85</f>
        <v>0</v>
      </c>
      <c r="L80" s="171">
        <f t="shared" si="12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3"/>
        <v>0</v>
      </c>
      <c r="U80" s="313">
        <f t="shared" si="14"/>
        <v>0</v>
      </c>
      <c r="V80" s="313">
        <f t="shared" si="15"/>
        <v>0</v>
      </c>
      <c r="W80" s="313">
        <f t="shared" si="16"/>
        <v>0</v>
      </c>
      <c r="X80" s="313">
        <f t="shared" si="17"/>
        <v>0</v>
      </c>
      <c r="Y80" s="313">
        <f t="shared" si="18"/>
        <v>0</v>
      </c>
    </row>
    <row r="81" spans="1:25" hidden="1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1"/>
        <v>0</v>
      </c>
      <c r="K81" s="172">
        <f>'BD Team'!K86</f>
        <v>0</v>
      </c>
      <c r="L81" s="171">
        <f t="shared" si="12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3"/>
        <v>0</v>
      </c>
      <c r="U81" s="313">
        <f t="shared" si="14"/>
        <v>0</v>
      </c>
      <c r="V81" s="313">
        <f t="shared" si="15"/>
        <v>0</v>
      </c>
      <c r="W81" s="313">
        <f t="shared" si="16"/>
        <v>0</v>
      </c>
      <c r="X81" s="313">
        <f t="shared" si="17"/>
        <v>0</v>
      </c>
      <c r="Y81" s="313">
        <f t="shared" si="18"/>
        <v>0</v>
      </c>
    </row>
    <row r="82" spans="1:25" hidden="1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1"/>
        <v>0</v>
      </c>
      <c r="K82" s="172">
        <f>'BD Team'!K87</f>
        <v>0</v>
      </c>
      <c r="L82" s="171">
        <f t="shared" si="12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3"/>
        <v>0</v>
      </c>
      <c r="U82" s="313">
        <f t="shared" si="14"/>
        <v>0</v>
      </c>
      <c r="V82" s="313">
        <f t="shared" si="15"/>
        <v>0</v>
      </c>
      <c r="W82" s="313">
        <f t="shared" si="16"/>
        <v>0</v>
      </c>
      <c r="X82" s="313">
        <f t="shared" si="17"/>
        <v>0</v>
      </c>
      <c r="Y82" s="313">
        <f t="shared" si="18"/>
        <v>0</v>
      </c>
    </row>
    <row r="83" spans="1:25" hidden="1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1"/>
        <v>0</v>
      </c>
      <c r="K83" s="172">
        <f>'BD Team'!K88</f>
        <v>0</v>
      </c>
      <c r="L83" s="171">
        <f t="shared" si="12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3"/>
        <v>0</v>
      </c>
      <c r="U83" s="313">
        <f t="shared" si="14"/>
        <v>0</v>
      </c>
      <c r="V83" s="313">
        <f t="shared" si="15"/>
        <v>0</v>
      </c>
      <c r="W83" s="313">
        <f t="shared" si="16"/>
        <v>0</v>
      </c>
      <c r="X83" s="313">
        <f t="shared" si="17"/>
        <v>0</v>
      </c>
      <c r="Y83" s="313">
        <f t="shared" si="18"/>
        <v>0</v>
      </c>
    </row>
    <row r="84" spans="1:25" hidden="1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1"/>
        <v>0</v>
      </c>
      <c r="K84" s="172">
        <f>'BD Team'!K89</f>
        <v>0</v>
      </c>
      <c r="L84" s="171">
        <f t="shared" si="12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3"/>
        <v>0</v>
      </c>
      <c r="U84" s="313">
        <f t="shared" si="14"/>
        <v>0</v>
      </c>
      <c r="V84" s="313">
        <f t="shared" si="15"/>
        <v>0</v>
      </c>
      <c r="W84" s="313">
        <f t="shared" si="16"/>
        <v>0</v>
      </c>
      <c r="X84" s="313">
        <f t="shared" si="17"/>
        <v>0</v>
      </c>
      <c r="Y84" s="313">
        <f t="shared" si="18"/>
        <v>0</v>
      </c>
    </row>
    <row r="85" spans="1:25" hidden="1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1"/>
        <v>0</v>
      </c>
      <c r="K85" s="172">
        <f>'BD Team'!K90</f>
        <v>0</v>
      </c>
      <c r="L85" s="171">
        <f t="shared" si="12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3"/>
        <v>0</v>
      </c>
      <c r="U85" s="313">
        <f t="shared" si="14"/>
        <v>0</v>
      </c>
      <c r="V85" s="313">
        <f t="shared" si="15"/>
        <v>0</v>
      </c>
      <c r="W85" s="313">
        <f t="shared" si="16"/>
        <v>0</v>
      </c>
      <c r="X85" s="313">
        <f t="shared" si="17"/>
        <v>0</v>
      </c>
      <c r="Y85" s="313">
        <f t="shared" si="18"/>
        <v>0</v>
      </c>
    </row>
    <row r="86" spans="1:25" hidden="1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1"/>
        <v>0</v>
      </c>
      <c r="K86" s="172">
        <f>'BD Team'!K91</f>
        <v>0</v>
      </c>
      <c r="L86" s="171">
        <f t="shared" si="12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3"/>
        <v>0</v>
      </c>
      <c r="U86" s="313">
        <f t="shared" si="14"/>
        <v>0</v>
      </c>
      <c r="V86" s="313">
        <f t="shared" si="15"/>
        <v>0</v>
      </c>
      <c r="W86" s="313">
        <f t="shared" si="16"/>
        <v>0</v>
      </c>
      <c r="X86" s="313">
        <f t="shared" si="17"/>
        <v>0</v>
      </c>
      <c r="Y86" s="313">
        <f t="shared" si="18"/>
        <v>0</v>
      </c>
    </row>
    <row r="87" spans="1:25" hidden="1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1"/>
        <v>0</v>
      </c>
      <c r="K87" s="172">
        <f>'BD Team'!K92</f>
        <v>0</v>
      </c>
      <c r="L87" s="171">
        <f t="shared" si="12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3"/>
        <v>0</v>
      </c>
      <c r="U87" s="313">
        <f t="shared" si="14"/>
        <v>0</v>
      </c>
      <c r="V87" s="313">
        <f t="shared" si="15"/>
        <v>0</v>
      </c>
      <c r="W87" s="313">
        <f t="shared" si="16"/>
        <v>0</v>
      </c>
      <c r="X87" s="313">
        <f t="shared" si="17"/>
        <v>0</v>
      </c>
      <c r="Y87" s="313">
        <f t="shared" si="18"/>
        <v>0</v>
      </c>
    </row>
    <row r="88" spans="1:25" hidden="1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1"/>
        <v>0</v>
      </c>
      <c r="K88" s="172">
        <f>'BD Team'!K93</f>
        <v>0</v>
      </c>
      <c r="L88" s="171">
        <f t="shared" si="12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3"/>
        <v>0</v>
      </c>
      <c r="U88" s="313">
        <f t="shared" si="14"/>
        <v>0</v>
      </c>
      <c r="V88" s="313">
        <f t="shared" si="15"/>
        <v>0</v>
      </c>
      <c r="W88" s="313">
        <f t="shared" si="16"/>
        <v>0</v>
      </c>
      <c r="X88" s="313">
        <f t="shared" si="17"/>
        <v>0</v>
      </c>
      <c r="Y88" s="313">
        <f t="shared" si="18"/>
        <v>0</v>
      </c>
    </row>
    <row r="89" spans="1:25" hidden="1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1"/>
        <v>0</v>
      </c>
      <c r="K89" s="172">
        <f>'BD Team'!K94</f>
        <v>0</v>
      </c>
      <c r="L89" s="171">
        <f t="shared" si="12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3"/>
        <v>0</v>
      </c>
      <c r="U89" s="313">
        <f t="shared" si="14"/>
        <v>0</v>
      </c>
      <c r="V89" s="313">
        <f t="shared" si="15"/>
        <v>0</v>
      </c>
      <c r="W89" s="313">
        <f t="shared" si="16"/>
        <v>0</v>
      </c>
      <c r="X89" s="313">
        <f t="shared" si="17"/>
        <v>0</v>
      </c>
      <c r="Y89" s="313">
        <f t="shared" si="18"/>
        <v>0</v>
      </c>
    </row>
    <row r="90" spans="1:25" hidden="1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1"/>
        <v>0</v>
      </c>
      <c r="K90" s="172">
        <f>'BD Team'!K95</f>
        <v>0</v>
      </c>
      <c r="L90" s="171">
        <f t="shared" si="12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3"/>
        <v>0</v>
      </c>
      <c r="U90" s="313">
        <f t="shared" si="14"/>
        <v>0</v>
      </c>
      <c r="V90" s="313">
        <f t="shared" si="15"/>
        <v>0</v>
      </c>
      <c r="W90" s="313">
        <f t="shared" si="16"/>
        <v>0</v>
      </c>
      <c r="X90" s="313">
        <f t="shared" si="17"/>
        <v>0</v>
      </c>
      <c r="Y90" s="313">
        <f t="shared" si="18"/>
        <v>0</v>
      </c>
    </row>
    <row r="91" spans="1:25" hidden="1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1"/>
        <v>0</v>
      </c>
      <c r="K91" s="172">
        <f>'BD Team'!K96</f>
        <v>0</v>
      </c>
      <c r="L91" s="171">
        <f t="shared" si="12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3"/>
        <v>0</v>
      </c>
      <c r="U91" s="313">
        <f t="shared" si="14"/>
        <v>0</v>
      </c>
      <c r="V91" s="313">
        <f t="shared" si="15"/>
        <v>0</v>
      </c>
      <c r="W91" s="313">
        <f t="shared" si="16"/>
        <v>0</v>
      </c>
      <c r="X91" s="313">
        <f t="shared" si="17"/>
        <v>0</v>
      </c>
      <c r="Y91" s="313">
        <f t="shared" si="18"/>
        <v>0</v>
      </c>
    </row>
    <row r="92" spans="1:25" hidden="1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1"/>
        <v>0</v>
      </c>
      <c r="K92" s="172">
        <f>'BD Team'!K97</f>
        <v>0</v>
      </c>
      <c r="L92" s="171">
        <f t="shared" si="12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3"/>
        <v>0</v>
      </c>
      <c r="U92" s="313">
        <f t="shared" si="14"/>
        <v>0</v>
      </c>
      <c r="V92" s="313">
        <f t="shared" si="15"/>
        <v>0</v>
      </c>
      <c r="W92" s="313">
        <f t="shared" si="16"/>
        <v>0</v>
      </c>
      <c r="X92" s="313">
        <f t="shared" si="17"/>
        <v>0</v>
      </c>
      <c r="Y92" s="313">
        <f t="shared" si="18"/>
        <v>0</v>
      </c>
    </row>
    <row r="93" spans="1:25" hidden="1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1"/>
        <v>0</v>
      </c>
      <c r="K93" s="172">
        <f>'BD Team'!K98</f>
        <v>0</v>
      </c>
      <c r="L93" s="171">
        <f t="shared" si="12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3"/>
        <v>0</v>
      </c>
      <c r="U93" s="313">
        <f t="shared" si="14"/>
        <v>0</v>
      </c>
      <c r="V93" s="313">
        <f t="shared" si="15"/>
        <v>0</v>
      </c>
      <c r="W93" s="313">
        <f t="shared" si="16"/>
        <v>0</v>
      </c>
      <c r="X93" s="313">
        <f t="shared" si="17"/>
        <v>0</v>
      </c>
      <c r="Y93" s="313">
        <f t="shared" si="18"/>
        <v>0</v>
      </c>
    </row>
    <row r="94" spans="1:25" hidden="1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1"/>
        <v>0</v>
      </c>
      <c r="K94" s="172">
        <f>'BD Team'!K99</f>
        <v>0</v>
      </c>
      <c r="L94" s="171">
        <f t="shared" si="12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3"/>
        <v>0</v>
      </c>
      <c r="U94" s="313">
        <f t="shared" si="14"/>
        <v>0</v>
      </c>
      <c r="V94" s="313">
        <f t="shared" si="15"/>
        <v>0</v>
      </c>
      <c r="W94" s="313">
        <f t="shared" si="16"/>
        <v>0</v>
      </c>
      <c r="X94" s="313">
        <f t="shared" si="17"/>
        <v>0</v>
      </c>
      <c r="Y94" s="313">
        <f t="shared" si="18"/>
        <v>0</v>
      </c>
    </row>
    <row r="95" spans="1:25" hidden="1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1"/>
        <v>0</v>
      </c>
      <c r="K95" s="172">
        <f>'BD Team'!K100</f>
        <v>0</v>
      </c>
      <c r="L95" s="171">
        <f t="shared" si="12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3"/>
        <v>0</v>
      </c>
      <c r="U95" s="313">
        <f t="shared" si="14"/>
        <v>0</v>
      </c>
      <c r="V95" s="313">
        <f t="shared" si="15"/>
        <v>0</v>
      </c>
      <c r="W95" s="313">
        <f t="shared" si="16"/>
        <v>0</v>
      </c>
      <c r="X95" s="313">
        <f t="shared" si="17"/>
        <v>0</v>
      </c>
      <c r="Y95" s="313">
        <f t="shared" si="18"/>
        <v>0</v>
      </c>
    </row>
    <row r="96" spans="1:25" hidden="1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1"/>
        <v>0</v>
      </c>
      <c r="K96" s="172">
        <f>'BD Team'!K101</f>
        <v>0</v>
      </c>
      <c r="L96" s="171">
        <f t="shared" si="12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3"/>
        <v>0</v>
      </c>
      <c r="U96" s="313">
        <f t="shared" si="14"/>
        <v>0</v>
      </c>
      <c r="V96" s="313">
        <f t="shared" si="15"/>
        <v>0</v>
      </c>
      <c r="W96" s="313">
        <f t="shared" si="16"/>
        <v>0</v>
      </c>
      <c r="X96" s="313">
        <f t="shared" si="17"/>
        <v>0</v>
      </c>
      <c r="Y96" s="313">
        <f t="shared" si="18"/>
        <v>0</v>
      </c>
    </row>
    <row r="97" spans="1:25" hidden="1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1"/>
        <v>0</v>
      </c>
      <c r="K97" s="172">
        <f>'BD Team'!K102</f>
        <v>0</v>
      </c>
      <c r="L97" s="171">
        <f t="shared" si="12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3"/>
        <v>0</v>
      </c>
      <c r="U97" s="313">
        <f t="shared" si="14"/>
        <v>0</v>
      </c>
      <c r="V97" s="313">
        <f t="shared" si="15"/>
        <v>0</v>
      </c>
      <c r="W97" s="313">
        <f t="shared" si="16"/>
        <v>0</v>
      </c>
      <c r="X97" s="313">
        <f t="shared" si="17"/>
        <v>0</v>
      </c>
      <c r="Y97" s="313">
        <f t="shared" si="18"/>
        <v>0</v>
      </c>
    </row>
    <row r="98" spans="1:25" hidden="1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1"/>
        <v>0</v>
      </c>
      <c r="K98" s="172">
        <f>'BD Team'!K103</f>
        <v>0</v>
      </c>
      <c r="L98" s="171">
        <f t="shared" si="12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3"/>
        <v>0</v>
      </c>
      <c r="U98" s="313">
        <f t="shared" si="14"/>
        <v>0</v>
      </c>
      <c r="V98" s="313">
        <f t="shared" si="15"/>
        <v>0</v>
      </c>
      <c r="W98" s="313">
        <f t="shared" si="16"/>
        <v>0</v>
      </c>
      <c r="X98" s="313">
        <f t="shared" si="17"/>
        <v>0</v>
      </c>
      <c r="Y98" s="313">
        <f t="shared" si="18"/>
        <v>0</v>
      </c>
    </row>
    <row r="99" spans="1:25" hidden="1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1"/>
        <v>0</v>
      </c>
      <c r="K99" s="172">
        <f>'BD Team'!K104</f>
        <v>0</v>
      </c>
      <c r="L99" s="171">
        <f t="shared" si="12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3"/>
        <v>0</v>
      </c>
      <c r="U99" s="313">
        <f t="shared" si="14"/>
        <v>0</v>
      </c>
      <c r="V99" s="313">
        <f t="shared" si="15"/>
        <v>0</v>
      </c>
      <c r="W99" s="313">
        <f t="shared" si="16"/>
        <v>0</v>
      </c>
      <c r="X99" s="313">
        <f t="shared" si="17"/>
        <v>0</v>
      </c>
      <c r="Y99" s="313">
        <f t="shared" si="18"/>
        <v>0</v>
      </c>
    </row>
    <row r="100" spans="1:25" hidden="1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1"/>
        <v>0</v>
      </c>
      <c r="K100" s="172">
        <f>'BD Team'!K105</f>
        <v>0</v>
      </c>
      <c r="L100" s="171">
        <f t="shared" si="12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3"/>
        <v>0</v>
      </c>
      <c r="U100" s="313">
        <f t="shared" si="14"/>
        <v>0</v>
      </c>
      <c r="V100" s="313">
        <f t="shared" si="15"/>
        <v>0</v>
      </c>
      <c r="W100" s="313">
        <f t="shared" si="16"/>
        <v>0</v>
      </c>
      <c r="X100" s="313">
        <f t="shared" si="17"/>
        <v>0</v>
      </c>
      <c r="Y100" s="313">
        <f t="shared" si="18"/>
        <v>0</v>
      </c>
    </row>
    <row r="101" spans="1:25" hidden="1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1"/>
        <v>0</v>
      </c>
      <c r="K101" s="172">
        <f>'BD Team'!K106</f>
        <v>0</v>
      </c>
      <c r="L101" s="171">
        <f t="shared" si="12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3"/>
        <v>0</v>
      </c>
      <c r="U101" s="313">
        <f t="shared" si="14"/>
        <v>0</v>
      </c>
      <c r="V101" s="313">
        <f t="shared" si="15"/>
        <v>0</v>
      </c>
      <c r="W101" s="313">
        <f t="shared" si="16"/>
        <v>0</v>
      </c>
      <c r="X101" s="313">
        <f t="shared" si="17"/>
        <v>0</v>
      </c>
      <c r="Y101" s="313">
        <f t="shared" si="18"/>
        <v>0</v>
      </c>
    </row>
    <row r="102" spans="1:25" hidden="1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1"/>
        <v>0</v>
      </c>
      <c r="K102" s="172">
        <f>'BD Team'!K107</f>
        <v>0</v>
      </c>
      <c r="L102" s="171">
        <f t="shared" si="12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3"/>
        <v>0</v>
      </c>
      <c r="U102" s="313">
        <f t="shared" si="14"/>
        <v>0</v>
      </c>
      <c r="V102" s="313">
        <f t="shared" si="15"/>
        <v>0</v>
      </c>
      <c r="W102" s="313">
        <f t="shared" si="16"/>
        <v>0</v>
      </c>
      <c r="X102" s="313">
        <f t="shared" si="17"/>
        <v>0</v>
      </c>
      <c r="Y102" s="313">
        <f t="shared" si="18"/>
        <v>0</v>
      </c>
    </row>
    <row r="103" spans="1:25" hidden="1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1"/>
        <v>0</v>
      </c>
      <c r="K103" s="172">
        <f>'BD Team'!K108</f>
        <v>0</v>
      </c>
      <c r="L103" s="171">
        <f t="shared" si="12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3"/>
        <v>0</v>
      </c>
      <c r="U103" s="313">
        <f t="shared" si="14"/>
        <v>0</v>
      </c>
      <c r="V103" s="313">
        <f t="shared" si="15"/>
        <v>0</v>
      </c>
      <c r="W103" s="313">
        <f t="shared" si="16"/>
        <v>0</v>
      </c>
      <c r="X103" s="313">
        <f t="shared" si="17"/>
        <v>0</v>
      </c>
      <c r="Y103" s="313">
        <f t="shared" si="18"/>
        <v>0</v>
      </c>
    </row>
    <row r="104" spans="1:25" hidden="1">
      <c r="K104" s="168">
        <f>SUM(K4:K103)</f>
        <v>10166.6</v>
      </c>
      <c r="L104" s="168">
        <f>SUM(L4:L103)</f>
        <v>17626.279999999995</v>
      </c>
      <c r="M104" s="168">
        <f>SUM(M4:M103)</f>
        <v>1462981.2400000002</v>
      </c>
      <c r="T104" s="314">
        <f t="shared" ref="T104:Y104" si="19">SUM(T4:T103)</f>
        <v>1238.8000000000002</v>
      </c>
      <c r="U104" s="314">
        <f t="shared" si="19"/>
        <v>1486.56</v>
      </c>
      <c r="V104" s="314">
        <f t="shared" si="19"/>
        <v>77.425000000000011</v>
      </c>
      <c r="W104" s="314">
        <f t="shared" si="19"/>
        <v>1238.8000000000002</v>
      </c>
      <c r="X104" s="314">
        <f t="shared" si="19"/>
        <v>2477.6000000000004</v>
      </c>
      <c r="Y104" s="314">
        <f t="shared" si="19"/>
        <v>743.28</v>
      </c>
    </row>
  </sheetData>
  <autoFilter ref="A3:XEZ104">
    <filterColumn colId="3">
      <filters>
        <filter val="2 SIDE HUNG DOORS WITH CENTER FIXED"/>
        <filter val="2 SIDE HUNG DOORS WITH CORNOR FIXED"/>
        <filter val="SIDE HUNG WINDOW"/>
        <filter val="SIDE HUNG WINDOW WITH BOTTOM FIXED"/>
      </filters>
    </filterColumn>
    <filterColumn colId="4">
      <filters>
        <filter val="RETRACTABLE"/>
      </filters>
    </filterColumn>
  </autoFilter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4113.6480000000001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3080</v>
      </c>
      <c r="D4" s="255">
        <f>C4*D3</f>
        <v>70.84</v>
      </c>
      <c r="E4" s="255">
        <f>C4*E3</f>
        <v>123.2</v>
      </c>
      <c r="F4" s="255">
        <f>C4*F3</f>
        <v>154</v>
      </c>
      <c r="G4" s="255">
        <f>C4+D4+E4+F4</f>
        <v>3428.04</v>
      </c>
      <c r="H4" s="255">
        <f>G4*H3</f>
        <v>685.60800000000006</v>
      </c>
      <c r="I4" s="255">
        <f>G4+H4</f>
        <v>4113.6480000000001</v>
      </c>
      <c r="J4" s="255">
        <f>I4*J3</f>
        <v>0</v>
      </c>
      <c r="K4" s="255">
        <f>I4+J4</f>
        <v>4113.6480000000001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32</v>
      </c>
      <c r="B7" s="270">
        <v>10</v>
      </c>
      <c r="C7" s="271">
        <v>12</v>
      </c>
      <c r="D7" s="270">
        <v>10</v>
      </c>
      <c r="E7" s="271">
        <v>0</v>
      </c>
      <c r="F7" s="270">
        <v>0</v>
      </c>
      <c r="G7" s="269">
        <f>SUM(B8:F8)</f>
        <v>3080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1190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L1" zoomScale="75" zoomScaleNormal="75" workbookViewId="0">
      <pane ySplit="6" topLeftCell="A22" activePane="bottomLeft" state="frozen"/>
      <selection pane="bottomLeft" activeCell="AK25" sqref="AK25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POCKET DOOR</v>
      </c>
      <c r="D8" s="131" t="str">
        <f>Pricing!B4</f>
        <v>SD3</v>
      </c>
      <c r="E8" s="132" t="str">
        <f>Pricing!N4</f>
        <v>24MM</v>
      </c>
      <c r="F8" s="68">
        <f>Pricing!G4</f>
        <v>1800</v>
      </c>
      <c r="G8" s="68">
        <f>Pricing!H4</f>
        <v>2400</v>
      </c>
      <c r="H8" s="100">
        <f t="shared" ref="H8:H57" si="0">(F8*G8)/1000000</f>
        <v>4.32</v>
      </c>
      <c r="I8" s="70">
        <f>Pricing!I4</f>
        <v>1</v>
      </c>
      <c r="J8" s="69">
        <f t="shared" ref="J8" si="1">H8*I8</f>
        <v>4.32</v>
      </c>
      <c r="K8" s="71">
        <f t="shared" ref="K8" si="2">J8*10.764</f>
        <v>46.500480000000003</v>
      </c>
      <c r="L8" s="69"/>
      <c r="M8" s="72"/>
      <c r="N8" s="72"/>
      <c r="O8" s="72">
        <f t="shared" ref="O8:O35" si="3">N8*M8*L8/1000000</f>
        <v>0</v>
      </c>
      <c r="P8" s="73">
        <f>Pricing!M4</f>
        <v>46919.899999999994</v>
      </c>
      <c r="Q8" s="74">
        <f t="shared" ref="Q8:Q56" si="4">P8*$Q$6</f>
        <v>4691.99</v>
      </c>
      <c r="R8" s="74">
        <f t="shared" ref="R8:R56" si="5">(P8+Q8)*$R$6</f>
        <v>5677.3078999999989</v>
      </c>
      <c r="S8" s="74">
        <f t="shared" ref="S8:S56" si="6">(P8+Q8+R8)*$S$6</f>
        <v>286.44598949999994</v>
      </c>
      <c r="T8" s="74">
        <f t="shared" ref="T8:T56" si="7">(P8+Q8+R8+S8)*$T$6</f>
        <v>575.75643889499986</v>
      </c>
      <c r="U8" s="72">
        <f t="shared" ref="U8:U56" si="8">SUM(P8:T8)</f>
        <v>58151.400328394986</v>
      </c>
      <c r="V8" s="74">
        <f t="shared" ref="V8:V56" si="9">U8*$V$6</f>
        <v>872.27100492592479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12692.160000000002</v>
      </c>
      <c r="AE8" s="76">
        <f>((((F8+G8)*2)/305)*I8*$AE$7)</f>
        <v>688.52459016393436</v>
      </c>
      <c r="AF8" s="346">
        <f>(((((F8*4)+(G8*4))/1000)*$AF$6*$AG$6)/300)*I8*$AF$7</f>
        <v>705.6</v>
      </c>
      <c r="AG8" s="347"/>
      <c r="AH8" s="76">
        <f>(((F8+G8))*I8/1000)*8*$AH$7</f>
        <v>25.200000000000003</v>
      </c>
      <c r="AI8" s="76">
        <f t="shared" ref="AI8:AI57" si="15">(((F8+G8)*2*I8)/1000)*2*$AI$7</f>
        <v>84</v>
      </c>
      <c r="AJ8" s="76">
        <f>J8*Pricing!Q4</f>
        <v>2325.0239999999999</v>
      </c>
      <c r="AK8" s="76">
        <f>J8*Pricing!R4</f>
        <v>0</v>
      </c>
      <c r="AL8" s="76">
        <f t="shared" ref="AL8:AL39" si="16">J8*$AL$6</f>
        <v>4650.0479999999998</v>
      </c>
      <c r="AM8" s="77">
        <f t="shared" ref="AM8:AM39" si="17">$AM$6*J8</f>
        <v>0</v>
      </c>
      <c r="AN8" s="76">
        <f t="shared" ref="AN8:AN39" si="18">$AN$6*J8</f>
        <v>4650.0479999999998</v>
      </c>
      <c r="AO8" s="72">
        <f t="shared" ref="AO8:AO39" si="19">SUM(U8:V8)+SUM(AC8:AI8)-AD8</f>
        <v>60526.99592348485</v>
      </c>
      <c r="AP8" s="74">
        <f t="shared" ref="AP8:AP39" si="20">AO8*$AP$6</f>
        <v>75658.744904356063</v>
      </c>
      <c r="AQ8" s="74">
        <f t="shared" ref="AQ8:AQ56" si="21">(AO8+AP8)*$AQ$6</f>
        <v>0</v>
      </c>
      <c r="AR8" s="74">
        <f t="shared" ref="AR8:AR39" si="22">SUM(AO8:AQ8)/J8</f>
        <v>31524.477043481693</v>
      </c>
      <c r="AS8" s="72">
        <f t="shared" ref="AS8:AS39" si="23">SUM(AJ8:AQ8)+AD8+AB8</f>
        <v>160503.02082784093</v>
      </c>
      <c r="AT8" s="72">
        <f t="shared" ref="AT8:AT39" si="24">AS8/J8</f>
        <v>37153.477043481696</v>
      </c>
      <c r="AU8" s="78">
        <f t="shared" ref="AU8:AU56" si="25">AT8/10.764</f>
        <v>3451.6422374100425</v>
      </c>
      <c r="AV8" s="79">
        <f t="shared" ref="AV8:AV39" si="26">K8/$K$109</f>
        <v>2.6840500326807952E-2</v>
      </c>
      <c r="AW8" s="80">
        <f t="shared" ref="AW8:AW39" si="27">(U8+V8)/(J8*10.764)</f>
        <v>1269.3131626452223</v>
      </c>
      <c r="AX8" s="81">
        <f t="shared" ref="AX8:AX39" si="28">SUM(W8:AN8,AP8)/(J8*10.764)</f>
        <v>2182.3290747648193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SD2</v>
      </c>
      <c r="E9" s="132" t="str">
        <f>Pricing!N5</f>
        <v>24MM</v>
      </c>
      <c r="F9" s="68">
        <f>Pricing!G5</f>
        <v>1890</v>
      </c>
      <c r="G9" s="68">
        <f>Pricing!H5</f>
        <v>2400</v>
      </c>
      <c r="H9" s="100">
        <f t="shared" si="0"/>
        <v>4.5359999999999996</v>
      </c>
      <c r="I9" s="70">
        <f>Pricing!I5</f>
        <v>1</v>
      </c>
      <c r="J9" s="69">
        <f t="shared" ref="J9:J58" si="30">H9*I9</f>
        <v>4.5359999999999996</v>
      </c>
      <c r="K9" s="71">
        <f t="shared" ref="K9:K58" si="31">J9*10.764</f>
        <v>48.825503999999995</v>
      </c>
      <c r="L9" s="69"/>
      <c r="M9" s="72"/>
      <c r="N9" s="72"/>
      <c r="O9" s="72">
        <f t="shared" si="3"/>
        <v>0</v>
      </c>
      <c r="P9" s="73">
        <f>Pricing!M5</f>
        <v>47152.3</v>
      </c>
      <c r="Q9" s="74">
        <f t="shared" ref="Q9:Q14" si="32">P9*$Q$6</f>
        <v>4715.2300000000005</v>
      </c>
      <c r="R9" s="74">
        <f t="shared" ref="R9:R14" si="33">(P9+Q9)*$R$6</f>
        <v>5705.4283000000005</v>
      </c>
      <c r="S9" s="74">
        <f t="shared" ref="S9:S14" si="34">(P9+Q9+R9)*$S$6</f>
        <v>287.86479150000002</v>
      </c>
      <c r="T9" s="74">
        <f t="shared" ref="T9:T14" si="35">(P9+Q9+R9+S9)*$T$6</f>
        <v>578.60823091500004</v>
      </c>
      <c r="U9" s="72">
        <f t="shared" ref="U9:U14" si="36">SUM(P9:T9)</f>
        <v>58439.431322415003</v>
      </c>
      <c r="V9" s="74">
        <f t="shared" ref="V9:V14" si="37">U9*$V$6</f>
        <v>876.59146983622497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13326.767999999998</v>
      </c>
      <c r="AE9" s="76">
        <f t="shared" ref="AE9:AE57" si="43">((((F9+G9)*2)/305)*I9*$AE$7)</f>
        <v>703.27868852459017</v>
      </c>
      <c r="AF9" s="346">
        <f t="shared" ref="AF9:AF57" si="44">(((((F9*4)+(G9*4))/1000)*$AF$6*$AG$6)/300)*I9*$AF$7</f>
        <v>720.72</v>
      </c>
      <c r="AG9" s="347"/>
      <c r="AH9" s="76">
        <f t="shared" ref="AH9:AH72" si="45">(((F9+G9))*I9/1000)*8*$AH$7</f>
        <v>25.740000000000002</v>
      </c>
      <c r="AI9" s="76">
        <f t="shared" si="15"/>
        <v>85.8</v>
      </c>
      <c r="AJ9" s="76">
        <f>J9*Pricing!Q5</f>
        <v>2441.2751999999996</v>
      </c>
      <c r="AK9" s="76">
        <f>J9*Pricing!R5</f>
        <v>0</v>
      </c>
      <c r="AL9" s="76">
        <f t="shared" si="16"/>
        <v>4882.5503999999992</v>
      </c>
      <c r="AM9" s="77">
        <f t="shared" si="17"/>
        <v>0</v>
      </c>
      <c r="AN9" s="76">
        <f t="shared" si="18"/>
        <v>4882.5503999999992</v>
      </c>
      <c r="AO9" s="72">
        <f t="shared" si="19"/>
        <v>60851.56148077581</v>
      </c>
      <c r="AP9" s="74">
        <f t="shared" si="20"/>
        <v>76064.451850969766</v>
      </c>
      <c r="AQ9" s="74">
        <f t="shared" ref="AQ9:AQ14" si="46">(AO9+AP9)*$AQ$6</f>
        <v>0</v>
      </c>
      <c r="AR9" s="74">
        <f t="shared" si="22"/>
        <v>30184.306290067369</v>
      </c>
      <c r="AS9" s="72">
        <f t="shared" si="23"/>
        <v>162449.15733174558</v>
      </c>
      <c r="AT9" s="72">
        <f t="shared" si="24"/>
        <v>35813.306290067369</v>
      </c>
      <c r="AU9" s="78">
        <f t="shared" ref="AU9:AU14" si="47">AT9/10.764</f>
        <v>3327.1373364982692</v>
      </c>
      <c r="AV9" s="79">
        <f t="shared" si="26"/>
        <v>2.8182525343148343E-2</v>
      </c>
      <c r="AW9" s="80">
        <f t="shared" si="27"/>
        <v>1214.8573579957563</v>
      </c>
      <c r="AX9" s="81">
        <f t="shared" si="28"/>
        <v>2112.2799785025131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 WITH 2 FIXED</v>
      </c>
      <c r="D10" s="131" t="str">
        <f>Pricing!B6</f>
        <v>FD1</v>
      </c>
      <c r="E10" s="132" t="str">
        <f>Pricing!N6</f>
        <v>24MM</v>
      </c>
      <c r="F10" s="68">
        <f>Pricing!G6</f>
        <v>4850</v>
      </c>
      <c r="G10" s="68">
        <f>Pricing!H6</f>
        <v>2400</v>
      </c>
      <c r="H10" s="100">
        <f t="shared" si="0"/>
        <v>11.64</v>
      </c>
      <c r="I10" s="70">
        <f>Pricing!I6</f>
        <v>1</v>
      </c>
      <c r="J10" s="69">
        <f t="shared" si="30"/>
        <v>11.64</v>
      </c>
      <c r="K10" s="71">
        <f t="shared" si="31"/>
        <v>125.29295999999999</v>
      </c>
      <c r="L10" s="69"/>
      <c r="M10" s="72"/>
      <c r="N10" s="72"/>
      <c r="O10" s="72">
        <f t="shared" si="3"/>
        <v>0</v>
      </c>
      <c r="P10" s="73">
        <f>Pricing!M6</f>
        <v>128753.75</v>
      </c>
      <c r="Q10" s="74">
        <f t="shared" si="32"/>
        <v>12875.375</v>
      </c>
      <c r="R10" s="74">
        <f t="shared" si="33"/>
        <v>15579.203750000001</v>
      </c>
      <c r="S10" s="74">
        <f t="shared" si="34"/>
        <v>786.04164374999993</v>
      </c>
      <c r="T10" s="74">
        <f t="shared" si="35"/>
        <v>1579.9437039375</v>
      </c>
      <c r="U10" s="72">
        <f t="shared" si="36"/>
        <v>159574.31409768749</v>
      </c>
      <c r="V10" s="74">
        <f t="shared" si="37"/>
        <v>2393.6147114653122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34198.32</v>
      </c>
      <c r="AE10" s="76">
        <f t="shared" si="43"/>
        <v>1188.5245901639344</v>
      </c>
      <c r="AF10" s="346">
        <f t="shared" si="44"/>
        <v>1218</v>
      </c>
      <c r="AG10" s="347"/>
      <c r="AH10" s="76">
        <f t="shared" si="45"/>
        <v>43.5</v>
      </c>
      <c r="AI10" s="76">
        <f t="shared" si="15"/>
        <v>145</v>
      </c>
      <c r="AJ10" s="76">
        <f>J10*Pricing!Q6</f>
        <v>6264.6479999999992</v>
      </c>
      <c r="AK10" s="76">
        <f>J10*Pricing!R6</f>
        <v>0</v>
      </c>
      <c r="AL10" s="76">
        <f t="shared" si="16"/>
        <v>12529.295999999998</v>
      </c>
      <c r="AM10" s="77">
        <f t="shared" si="17"/>
        <v>0</v>
      </c>
      <c r="AN10" s="76">
        <f t="shared" si="18"/>
        <v>12529.295999999998</v>
      </c>
      <c r="AO10" s="72">
        <f t="shared" si="19"/>
        <v>164562.95339931673</v>
      </c>
      <c r="AP10" s="74">
        <f t="shared" si="20"/>
        <v>205703.69174914592</v>
      </c>
      <c r="AQ10" s="74">
        <f t="shared" si="46"/>
        <v>0</v>
      </c>
      <c r="AR10" s="74">
        <f t="shared" si="22"/>
        <v>31809.849239558644</v>
      </c>
      <c r="AS10" s="72">
        <f t="shared" si="23"/>
        <v>435788.20514846261</v>
      </c>
      <c r="AT10" s="72">
        <f t="shared" si="24"/>
        <v>37438.849239558644</v>
      </c>
      <c r="AU10" s="78">
        <f t="shared" si="47"/>
        <v>3478.1539613116543</v>
      </c>
      <c r="AV10" s="79">
        <f t="shared" si="26"/>
        <v>7.2320236991676973E-2</v>
      </c>
      <c r="AW10" s="80">
        <f t="shared" si="27"/>
        <v>1292.7137231744928</v>
      </c>
      <c r="AX10" s="81">
        <f t="shared" si="28"/>
        <v>2185.4402381371619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SIDE HUNG DOORS WITH CENTER FIXED</v>
      </c>
      <c r="D11" s="131" t="str">
        <f>Pricing!B7</f>
        <v>FD3</v>
      </c>
      <c r="E11" s="132" t="str">
        <f>Pricing!N7</f>
        <v>24MM</v>
      </c>
      <c r="F11" s="68">
        <f>Pricing!G7</f>
        <v>3000</v>
      </c>
      <c r="G11" s="68">
        <f>Pricing!H7</f>
        <v>2200</v>
      </c>
      <c r="H11" s="100">
        <f t="shared" si="0"/>
        <v>6.6</v>
      </c>
      <c r="I11" s="70">
        <f>Pricing!I7</f>
        <v>1</v>
      </c>
      <c r="J11" s="69">
        <f t="shared" si="30"/>
        <v>6.6</v>
      </c>
      <c r="K11" s="71">
        <f t="shared" si="31"/>
        <v>71.042399999999986</v>
      </c>
      <c r="L11" s="69"/>
      <c r="M11" s="72"/>
      <c r="N11" s="72"/>
      <c r="O11" s="72">
        <f t="shared" si="3"/>
        <v>0</v>
      </c>
      <c r="P11" s="73">
        <f>Pricing!M7</f>
        <v>47309.17</v>
      </c>
      <c r="Q11" s="74">
        <f t="shared" si="32"/>
        <v>4730.9170000000004</v>
      </c>
      <c r="R11" s="74">
        <f t="shared" si="33"/>
        <v>5724.4095699999998</v>
      </c>
      <c r="S11" s="74">
        <f t="shared" si="34"/>
        <v>288.82248285000003</v>
      </c>
      <c r="T11" s="74">
        <f t="shared" si="35"/>
        <v>580.53319052850009</v>
      </c>
      <c r="U11" s="72">
        <f t="shared" si="36"/>
        <v>58633.852243378504</v>
      </c>
      <c r="V11" s="74">
        <f t="shared" si="37"/>
        <v>879.50778365067754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19390.8</v>
      </c>
      <c r="AE11" s="76">
        <f t="shared" si="43"/>
        <v>852.45901639344265</v>
      </c>
      <c r="AF11" s="346">
        <f t="shared" si="44"/>
        <v>873.60000000000014</v>
      </c>
      <c r="AG11" s="347"/>
      <c r="AH11" s="76">
        <f t="shared" si="45"/>
        <v>31.200000000000003</v>
      </c>
      <c r="AI11" s="76">
        <f t="shared" si="15"/>
        <v>104</v>
      </c>
      <c r="AJ11" s="76">
        <f>J11*Pricing!Q7</f>
        <v>0</v>
      </c>
      <c r="AK11" s="76">
        <f>J11*Pricing!R7</f>
        <v>21312.719999999998</v>
      </c>
      <c r="AL11" s="76">
        <f t="shared" si="16"/>
        <v>7104.2399999999989</v>
      </c>
      <c r="AM11" s="77">
        <f t="shared" si="17"/>
        <v>0</v>
      </c>
      <c r="AN11" s="76">
        <f t="shared" si="18"/>
        <v>7104.2399999999989</v>
      </c>
      <c r="AO11" s="72">
        <f t="shared" si="19"/>
        <v>61374.619043422616</v>
      </c>
      <c r="AP11" s="74">
        <f t="shared" si="20"/>
        <v>76718.273804278273</v>
      </c>
      <c r="AQ11" s="74">
        <f t="shared" si="46"/>
        <v>0</v>
      </c>
      <c r="AR11" s="74">
        <f t="shared" si="22"/>
        <v>20923.165582984984</v>
      </c>
      <c r="AS11" s="72">
        <f t="shared" si="23"/>
        <v>193004.89284770086</v>
      </c>
      <c r="AT11" s="72">
        <f t="shared" si="24"/>
        <v>29243.165582984981</v>
      </c>
      <c r="AU11" s="78">
        <f t="shared" si="47"/>
        <v>2716.7563715147699</v>
      </c>
      <c r="AV11" s="79">
        <f t="shared" si="26"/>
        <v>4.1006319943734361E-2</v>
      </c>
      <c r="AW11" s="80">
        <f t="shared" si="27"/>
        <v>837.71606853131641</v>
      </c>
      <c r="AX11" s="81">
        <f t="shared" si="28"/>
        <v>1879.040302983454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6 NO'S</v>
      </c>
      <c r="D12" s="131" t="str">
        <f>Pricing!B8</f>
        <v>FD2</v>
      </c>
      <c r="E12" s="132" t="str">
        <f>Pricing!N8</f>
        <v>24MM</v>
      </c>
      <c r="F12" s="68">
        <f>Pricing!G8</f>
        <v>4850</v>
      </c>
      <c r="G12" s="68">
        <f>Pricing!H8</f>
        <v>1900</v>
      </c>
      <c r="H12" s="100">
        <f t="shared" si="0"/>
        <v>9.2149999999999999</v>
      </c>
      <c r="I12" s="70">
        <f>Pricing!I8</f>
        <v>1</v>
      </c>
      <c r="J12" s="69">
        <f t="shared" si="30"/>
        <v>9.2149999999999999</v>
      </c>
      <c r="K12" s="71">
        <f t="shared" si="31"/>
        <v>99.190259999999995</v>
      </c>
      <c r="L12" s="69"/>
      <c r="M12" s="72"/>
      <c r="N12" s="72"/>
      <c r="O12" s="72">
        <f t="shared" si="3"/>
        <v>0</v>
      </c>
      <c r="P12" s="73">
        <f>Pricing!M8</f>
        <v>36642.840000000004</v>
      </c>
      <c r="Q12" s="74">
        <f t="shared" si="32"/>
        <v>3664.2840000000006</v>
      </c>
      <c r="R12" s="74">
        <f t="shared" si="33"/>
        <v>4433.7836400000006</v>
      </c>
      <c r="S12" s="74">
        <f t="shared" si="34"/>
        <v>223.70453820000003</v>
      </c>
      <c r="T12" s="74">
        <f t="shared" si="35"/>
        <v>449.64612178200008</v>
      </c>
      <c r="U12" s="72">
        <f t="shared" si="36"/>
        <v>45414.258299982008</v>
      </c>
      <c r="V12" s="74">
        <f t="shared" si="37"/>
        <v>681.21387449973008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27073.67</v>
      </c>
      <c r="AE12" s="76">
        <f t="shared" si="43"/>
        <v>1106.5573770491803</v>
      </c>
      <c r="AF12" s="346">
        <f t="shared" si="44"/>
        <v>1134</v>
      </c>
      <c r="AG12" s="347"/>
      <c r="AH12" s="76">
        <f t="shared" si="45"/>
        <v>40.5</v>
      </c>
      <c r="AI12" s="76">
        <f t="shared" si="15"/>
        <v>135</v>
      </c>
      <c r="AJ12" s="76">
        <f>J12*Pricing!Q8</f>
        <v>0</v>
      </c>
      <c r="AK12" s="76">
        <f>J12*Pricing!R8</f>
        <v>0</v>
      </c>
      <c r="AL12" s="76">
        <f t="shared" si="16"/>
        <v>9919.025999999998</v>
      </c>
      <c r="AM12" s="77">
        <f t="shared" si="17"/>
        <v>0</v>
      </c>
      <c r="AN12" s="76">
        <f t="shared" si="18"/>
        <v>9919.025999999998</v>
      </c>
      <c r="AO12" s="72">
        <f t="shared" si="19"/>
        <v>48511.529551530912</v>
      </c>
      <c r="AP12" s="74">
        <f t="shared" si="20"/>
        <v>60639.411939413636</v>
      </c>
      <c r="AQ12" s="74">
        <f t="shared" si="46"/>
        <v>0</v>
      </c>
      <c r="AR12" s="74">
        <f t="shared" si="22"/>
        <v>11844.920400536575</v>
      </c>
      <c r="AS12" s="72">
        <f t="shared" si="23"/>
        <v>156062.66349094454</v>
      </c>
      <c r="AT12" s="72">
        <f t="shared" si="24"/>
        <v>16935.720400536575</v>
      </c>
      <c r="AU12" s="78">
        <f t="shared" si="47"/>
        <v>1573.3668153601427</v>
      </c>
      <c r="AV12" s="79">
        <f t="shared" si="26"/>
        <v>5.7253520951744269E-2</v>
      </c>
      <c r="AW12" s="80">
        <f t="shared" si="27"/>
        <v>464.71772706797765</v>
      </c>
      <c r="AX12" s="81">
        <f t="shared" si="28"/>
        <v>1108.6490882921651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W1</v>
      </c>
      <c r="E13" s="132" t="str">
        <f>Pricing!N9</f>
        <v>24MM</v>
      </c>
      <c r="F13" s="68">
        <f>Pricing!G9</f>
        <v>800</v>
      </c>
      <c r="G13" s="68">
        <f>Pricing!H9</f>
        <v>1600</v>
      </c>
      <c r="H13" s="100">
        <f t="shared" si="0"/>
        <v>1.28</v>
      </c>
      <c r="I13" s="70">
        <f>Pricing!I9</f>
        <v>1</v>
      </c>
      <c r="J13" s="69">
        <f t="shared" si="30"/>
        <v>1.28</v>
      </c>
      <c r="K13" s="71">
        <f t="shared" si="31"/>
        <v>13.77792</v>
      </c>
      <c r="L13" s="69"/>
      <c r="M13" s="72"/>
      <c r="N13" s="72"/>
      <c r="O13" s="72">
        <f t="shared" si="3"/>
        <v>0</v>
      </c>
      <c r="P13" s="73">
        <f>Pricing!M9</f>
        <v>13983.01</v>
      </c>
      <c r="Q13" s="74">
        <f t="shared" si="32"/>
        <v>1398.3010000000002</v>
      </c>
      <c r="R13" s="74">
        <f t="shared" si="33"/>
        <v>1691.9442099999999</v>
      </c>
      <c r="S13" s="74">
        <f t="shared" si="34"/>
        <v>85.366276049999996</v>
      </c>
      <c r="T13" s="74">
        <f t="shared" si="35"/>
        <v>171.58621486050001</v>
      </c>
      <c r="U13" s="72">
        <f t="shared" si="36"/>
        <v>17330.207700910501</v>
      </c>
      <c r="V13" s="74">
        <f t="shared" si="37"/>
        <v>259.95311551365751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3760.64</v>
      </c>
      <c r="AE13" s="76">
        <f t="shared" si="43"/>
        <v>393.44262295081967</v>
      </c>
      <c r="AF13" s="346">
        <f t="shared" si="44"/>
        <v>403.2</v>
      </c>
      <c r="AG13" s="347"/>
      <c r="AH13" s="76">
        <f t="shared" si="45"/>
        <v>14.399999999999999</v>
      </c>
      <c r="AI13" s="76">
        <f t="shared" si="15"/>
        <v>48</v>
      </c>
      <c r="AJ13" s="76">
        <f>J13*Pricing!Q9</f>
        <v>0</v>
      </c>
      <c r="AK13" s="76">
        <f>J13*Pricing!R9</f>
        <v>8266.7520000000004</v>
      </c>
      <c r="AL13" s="76">
        <f t="shared" si="16"/>
        <v>1377.7919999999999</v>
      </c>
      <c r="AM13" s="77">
        <f t="shared" si="17"/>
        <v>0</v>
      </c>
      <c r="AN13" s="76">
        <f t="shared" si="18"/>
        <v>1377.7919999999999</v>
      </c>
      <c r="AO13" s="72">
        <f t="shared" si="19"/>
        <v>18449.203439374978</v>
      </c>
      <c r="AP13" s="74">
        <f t="shared" si="20"/>
        <v>23061.504299218723</v>
      </c>
      <c r="AQ13" s="74">
        <f t="shared" si="46"/>
        <v>0</v>
      </c>
      <c r="AR13" s="74">
        <f t="shared" si="22"/>
        <v>32430.240420776328</v>
      </c>
      <c r="AS13" s="72">
        <f t="shared" si="23"/>
        <v>56293.683738593696</v>
      </c>
      <c r="AT13" s="72">
        <f t="shared" si="24"/>
        <v>43979.440420776322</v>
      </c>
      <c r="AU13" s="78">
        <f t="shared" si="47"/>
        <v>4085.7897083590046</v>
      </c>
      <c r="AV13" s="79">
        <f t="shared" si="26"/>
        <v>7.9527408375727263E-3</v>
      </c>
      <c r="AW13" s="80">
        <f t="shared" si="27"/>
        <v>1276.6920417903543</v>
      </c>
      <c r="AX13" s="81">
        <f t="shared" si="28"/>
        <v>2809.0976665686503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FRENCH CASEMENT WINDOW</v>
      </c>
      <c r="D14" s="131" t="str">
        <f>Pricing!B10</f>
        <v>W2</v>
      </c>
      <c r="E14" s="132" t="str">
        <f>Pricing!N10</f>
        <v>24MM</v>
      </c>
      <c r="F14" s="68">
        <f>Pricing!G10</f>
        <v>1600</v>
      </c>
      <c r="G14" s="68">
        <f>Pricing!H10</f>
        <v>1600</v>
      </c>
      <c r="H14" s="100">
        <f t="shared" si="0"/>
        <v>2.56</v>
      </c>
      <c r="I14" s="70">
        <f>Pricing!I10</f>
        <v>5</v>
      </c>
      <c r="J14" s="69">
        <f t="shared" si="30"/>
        <v>12.8</v>
      </c>
      <c r="K14" s="71">
        <f t="shared" si="31"/>
        <v>137.7792</v>
      </c>
      <c r="L14" s="69"/>
      <c r="M14" s="72"/>
      <c r="N14" s="72"/>
      <c r="O14" s="72">
        <f t="shared" si="3"/>
        <v>0</v>
      </c>
      <c r="P14" s="73">
        <f>Pricing!M10</f>
        <v>121092.85</v>
      </c>
      <c r="Q14" s="74">
        <f t="shared" si="32"/>
        <v>12109.285000000002</v>
      </c>
      <c r="R14" s="74">
        <f t="shared" si="33"/>
        <v>14652.234850000001</v>
      </c>
      <c r="S14" s="74">
        <f t="shared" si="34"/>
        <v>739.27184925000006</v>
      </c>
      <c r="T14" s="74">
        <f t="shared" si="35"/>
        <v>1485.9364169925004</v>
      </c>
      <c r="U14" s="72">
        <f t="shared" si="36"/>
        <v>150079.57811624254</v>
      </c>
      <c r="V14" s="74">
        <f t="shared" si="37"/>
        <v>2251.1936717436379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37606.400000000001</v>
      </c>
      <c r="AE14" s="76">
        <f t="shared" si="43"/>
        <v>2622.9508196721308</v>
      </c>
      <c r="AF14" s="346">
        <f t="shared" si="44"/>
        <v>2688.0000000000005</v>
      </c>
      <c r="AG14" s="347"/>
      <c r="AH14" s="76">
        <f t="shared" si="45"/>
        <v>96</v>
      </c>
      <c r="AI14" s="76">
        <f t="shared" si="15"/>
        <v>320</v>
      </c>
      <c r="AJ14" s="76">
        <f>J14*Pricing!Q10</f>
        <v>0</v>
      </c>
      <c r="AK14" s="76">
        <f>J14*Pricing!R10</f>
        <v>82667.520000000004</v>
      </c>
      <c r="AL14" s="76">
        <f t="shared" si="16"/>
        <v>13777.919999999998</v>
      </c>
      <c r="AM14" s="77">
        <f t="shared" si="17"/>
        <v>0</v>
      </c>
      <c r="AN14" s="76">
        <f t="shared" si="18"/>
        <v>13777.919999999998</v>
      </c>
      <c r="AO14" s="72">
        <f t="shared" si="19"/>
        <v>158057.72260765833</v>
      </c>
      <c r="AP14" s="74">
        <f t="shared" si="20"/>
        <v>197572.15325957292</v>
      </c>
      <c r="AQ14" s="74">
        <f t="shared" si="46"/>
        <v>0</v>
      </c>
      <c r="AR14" s="74">
        <f t="shared" si="22"/>
        <v>27783.584052127444</v>
      </c>
      <c r="AS14" s="72">
        <f t="shared" si="23"/>
        <v>503459.63586723129</v>
      </c>
      <c r="AT14" s="72">
        <f t="shared" si="24"/>
        <v>39332.784052127441</v>
      </c>
      <c r="AU14" s="78">
        <f t="shared" si="47"/>
        <v>3654.1047985997252</v>
      </c>
      <c r="AV14" s="79">
        <f t="shared" si="26"/>
        <v>7.9527408375727263E-2</v>
      </c>
      <c r="AW14" s="80">
        <f t="shared" si="27"/>
        <v>1105.6151566273152</v>
      </c>
      <c r="AX14" s="81">
        <f t="shared" si="28"/>
        <v>2548.4896419724096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FRENCH CASEMENT WINDOW</v>
      </c>
      <c r="D15" s="131" t="str">
        <f>Pricing!B11</f>
        <v>W3</v>
      </c>
      <c r="E15" s="132" t="str">
        <f>Pricing!N11</f>
        <v>24MM</v>
      </c>
      <c r="F15" s="68">
        <f>Pricing!G11</f>
        <v>1200</v>
      </c>
      <c r="G15" s="68">
        <f>Pricing!H11</f>
        <v>1600</v>
      </c>
      <c r="H15" s="100">
        <f t="shared" si="0"/>
        <v>1.92</v>
      </c>
      <c r="I15" s="70">
        <f>Pricing!I11</f>
        <v>7</v>
      </c>
      <c r="J15" s="69">
        <f t="shared" si="30"/>
        <v>13.44</v>
      </c>
      <c r="K15" s="71">
        <f t="shared" si="31"/>
        <v>144.66815999999997</v>
      </c>
      <c r="L15" s="69"/>
      <c r="M15" s="72"/>
      <c r="N15" s="72"/>
      <c r="O15" s="72">
        <f t="shared" si="3"/>
        <v>0</v>
      </c>
      <c r="P15" s="73">
        <f>Pricing!M11</f>
        <v>159786.62</v>
      </c>
      <c r="Q15" s="74">
        <f t="shared" si="4"/>
        <v>15978.662</v>
      </c>
      <c r="R15" s="74">
        <f t="shared" si="5"/>
        <v>19334.18102</v>
      </c>
      <c r="S15" s="74">
        <f t="shared" si="6"/>
        <v>975.49731510000004</v>
      </c>
      <c r="T15" s="74">
        <f t="shared" si="7"/>
        <v>1960.7496033509999</v>
      </c>
      <c r="U15" s="72">
        <f t="shared" si="8"/>
        <v>198035.70993845098</v>
      </c>
      <c r="V15" s="74">
        <f t="shared" si="9"/>
        <v>2970.5356490767645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39486.720000000001</v>
      </c>
      <c r="AE15" s="76">
        <f t="shared" si="43"/>
        <v>3213.1147540983607</v>
      </c>
      <c r="AF15" s="346">
        <f t="shared" si="44"/>
        <v>3292.7999999999997</v>
      </c>
      <c r="AG15" s="347"/>
      <c r="AH15" s="76">
        <f t="shared" si="45"/>
        <v>117.60000000000001</v>
      </c>
      <c r="AI15" s="76">
        <f t="shared" ref="AI15:AI20" si="49">(((F15+G15)*2*I15)/1000)*2*$AI$7</f>
        <v>392</v>
      </c>
      <c r="AJ15" s="76">
        <f>J15*Pricing!Q11</f>
        <v>0</v>
      </c>
      <c r="AK15" s="76">
        <f>J15*Pricing!R11</f>
        <v>86800.895999999993</v>
      </c>
      <c r="AL15" s="76">
        <f t="shared" si="16"/>
        <v>14466.815999999997</v>
      </c>
      <c r="AM15" s="77">
        <f t="shared" si="17"/>
        <v>0</v>
      </c>
      <c r="AN15" s="76">
        <f t="shared" si="18"/>
        <v>14466.815999999997</v>
      </c>
      <c r="AO15" s="72">
        <f t="shared" si="19"/>
        <v>208021.7603416261</v>
      </c>
      <c r="AP15" s="74">
        <f t="shared" si="20"/>
        <v>260027.20042703263</v>
      </c>
      <c r="AQ15" s="74">
        <f t="shared" si="21"/>
        <v>0</v>
      </c>
      <c r="AR15" s="74">
        <f t="shared" si="22"/>
        <v>34825.071485763299</v>
      </c>
      <c r="AS15" s="72">
        <f t="shared" si="23"/>
        <v>623270.20876865869</v>
      </c>
      <c r="AT15" s="72">
        <f t="shared" si="24"/>
        <v>46374.271485763296</v>
      </c>
      <c r="AU15" s="78">
        <f t="shared" si="25"/>
        <v>4308.2749429360183</v>
      </c>
      <c r="AV15" s="79">
        <f t="shared" si="26"/>
        <v>8.3503778794513608E-2</v>
      </c>
      <c r="AW15" s="80">
        <f t="shared" si="27"/>
        <v>1389.4297514223433</v>
      </c>
      <c r="AX15" s="81">
        <f t="shared" si="28"/>
        <v>2918.8451915136752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</v>
      </c>
      <c r="D16" s="131" t="str">
        <f>Pricing!B12</f>
        <v>FW1</v>
      </c>
      <c r="E16" s="132" t="str">
        <f>Pricing!N12</f>
        <v>24MM</v>
      </c>
      <c r="F16" s="68">
        <f>Pricing!G12</f>
        <v>1200</v>
      </c>
      <c r="G16" s="68">
        <f>Pricing!H12</f>
        <v>2200</v>
      </c>
      <c r="H16" s="100">
        <f t="shared" si="0"/>
        <v>2.64</v>
      </c>
      <c r="I16" s="70">
        <f>Pricing!I12</f>
        <v>1</v>
      </c>
      <c r="J16" s="69">
        <f t="shared" si="30"/>
        <v>2.64</v>
      </c>
      <c r="K16" s="71">
        <f t="shared" si="31"/>
        <v>28.41696</v>
      </c>
      <c r="L16" s="69"/>
      <c r="M16" s="72"/>
      <c r="N16" s="72"/>
      <c r="O16" s="72">
        <f t="shared" si="3"/>
        <v>0</v>
      </c>
      <c r="P16" s="73">
        <f>Pricing!M12</f>
        <v>6109.63</v>
      </c>
      <c r="Q16" s="74">
        <f t="shared" si="4"/>
        <v>610.96300000000008</v>
      </c>
      <c r="R16" s="74">
        <f t="shared" si="5"/>
        <v>739.26522999999997</v>
      </c>
      <c r="S16" s="74">
        <f t="shared" si="6"/>
        <v>37.299291150000002</v>
      </c>
      <c r="T16" s="74">
        <f t="shared" si="7"/>
        <v>74.971575211499996</v>
      </c>
      <c r="U16" s="72">
        <f t="shared" si="8"/>
        <v>7572.1290963614993</v>
      </c>
      <c r="V16" s="74">
        <f t="shared" si="9"/>
        <v>113.58193644542249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7756.3200000000006</v>
      </c>
      <c r="AE16" s="76">
        <f t="shared" si="43"/>
        <v>557.37704918032784</v>
      </c>
      <c r="AF16" s="346">
        <f t="shared" si="44"/>
        <v>571.19999999999993</v>
      </c>
      <c r="AG16" s="347"/>
      <c r="AH16" s="76">
        <f t="shared" si="45"/>
        <v>20.399999999999999</v>
      </c>
      <c r="AI16" s="76">
        <f t="shared" si="49"/>
        <v>68</v>
      </c>
      <c r="AJ16" s="76">
        <f>J16*Pricing!Q12</f>
        <v>0</v>
      </c>
      <c r="AK16" s="76">
        <f>J16*Pricing!R12</f>
        <v>0</v>
      </c>
      <c r="AL16" s="76">
        <f t="shared" si="16"/>
        <v>2841.6959999999999</v>
      </c>
      <c r="AM16" s="77">
        <f t="shared" si="17"/>
        <v>0</v>
      </c>
      <c r="AN16" s="76">
        <f t="shared" si="18"/>
        <v>2841.6959999999999</v>
      </c>
      <c r="AO16" s="72">
        <f t="shared" si="19"/>
        <v>8902.6880819872495</v>
      </c>
      <c r="AP16" s="74">
        <f t="shared" si="20"/>
        <v>11128.360102484061</v>
      </c>
      <c r="AQ16" s="74">
        <f t="shared" si="21"/>
        <v>0</v>
      </c>
      <c r="AR16" s="74">
        <f t="shared" si="22"/>
        <v>7587.5182516936775</v>
      </c>
      <c r="AS16" s="72">
        <f t="shared" si="23"/>
        <v>33470.760184471314</v>
      </c>
      <c r="AT16" s="72">
        <f t="shared" si="24"/>
        <v>12678.318251693679</v>
      </c>
      <c r="AU16" s="78">
        <f t="shared" si="25"/>
        <v>1177.8445049882646</v>
      </c>
      <c r="AV16" s="79">
        <f t="shared" si="26"/>
        <v>1.6402527977493746E-2</v>
      </c>
      <c r="AW16" s="80">
        <f t="shared" si="27"/>
        <v>270.46211251333438</v>
      </c>
      <c r="AX16" s="81">
        <f t="shared" si="28"/>
        <v>907.38239247493004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FRENCH CASEMENT WINDOW</v>
      </c>
      <c r="D17" s="131" t="str">
        <f>Pricing!B13</f>
        <v>W4</v>
      </c>
      <c r="E17" s="132" t="str">
        <f>Pricing!N13</f>
        <v>24MM</v>
      </c>
      <c r="F17" s="68">
        <f>Pricing!G13</f>
        <v>2400</v>
      </c>
      <c r="G17" s="68">
        <f>Pricing!H13</f>
        <v>1600</v>
      </c>
      <c r="H17" s="100">
        <f t="shared" si="0"/>
        <v>3.84</v>
      </c>
      <c r="I17" s="70">
        <f>Pricing!I13</f>
        <v>1</v>
      </c>
      <c r="J17" s="69">
        <f t="shared" si="30"/>
        <v>3.84</v>
      </c>
      <c r="K17" s="71">
        <f t="shared" si="31"/>
        <v>41.333759999999998</v>
      </c>
      <c r="L17" s="69"/>
      <c r="M17" s="72"/>
      <c r="N17" s="72"/>
      <c r="O17" s="72">
        <f t="shared" si="3"/>
        <v>0</v>
      </c>
      <c r="P17" s="73">
        <f>Pricing!M13</f>
        <v>44976.869999999995</v>
      </c>
      <c r="Q17" s="74">
        <f t="shared" si="4"/>
        <v>4497.6869999999999</v>
      </c>
      <c r="R17" s="74">
        <f t="shared" si="5"/>
        <v>5442.2012699999996</v>
      </c>
      <c r="S17" s="74">
        <f t="shared" si="6"/>
        <v>274.58379134999996</v>
      </c>
      <c r="T17" s="74">
        <f t="shared" si="7"/>
        <v>551.91342061349997</v>
      </c>
      <c r="U17" s="72">
        <f t="shared" si="8"/>
        <v>55743.25548196349</v>
      </c>
      <c r="V17" s="74">
        <f t="shared" si="9"/>
        <v>836.1488322294523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11281.92</v>
      </c>
      <c r="AE17" s="76">
        <f t="shared" si="43"/>
        <v>655.73770491803282</v>
      </c>
      <c r="AF17" s="346">
        <f t="shared" si="44"/>
        <v>672</v>
      </c>
      <c r="AG17" s="347"/>
      <c r="AH17" s="76">
        <f t="shared" si="45"/>
        <v>24</v>
      </c>
      <c r="AI17" s="76">
        <f t="shared" si="49"/>
        <v>80</v>
      </c>
      <c r="AJ17" s="76">
        <f>J17*Pricing!Q13</f>
        <v>0</v>
      </c>
      <c r="AK17" s="76">
        <f>J17*Pricing!R13</f>
        <v>24800.255999999998</v>
      </c>
      <c r="AL17" s="76">
        <f t="shared" si="16"/>
        <v>4133.3759999999993</v>
      </c>
      <c r="AM17" s="77">
        <f t="shared" si="17"/>
        <v>0</v>
      </c>
      <c r="AN17" s="76">
        <f t="shared" si="18"/>
        <v>4133.3759999999993</v>
      </c>
      <c r="AO17" s="72">
        <f t="shared" si="19"/>
        <v>58011.142019110979</v>
      </c>
      <c r="AP17" s="74">
        <f t="shared" si="20"/>
        <v>72513.92752388872</v>
      </c>
      <c r="AQ17" s="74">
        <f t="shared" si="21"/>
        <v>0</v>
      </c>
      <c r="AR17" s="74">
        <f t="shared" si="22"/>
        <v>33990.90352682284</v>
      </c>
      <c r="AS17" s="72">
        <f t="shared" si="23"/>
        <v>174873.99754299971</v>
      </c>
      <c r="AT17" s="72">
        <f t="shared" si="24"/>
        <v>45540.103526822844</v>
      </c>
      <c r="AU17" s="78">
        <f t="shared" si="25"/>
        <v>4230.7788486457493</v>
      </c>
      <c r="AV17" s="79">
        <f t="shared" si="26"/>
        <v>2.3858222512718175E-2</v>
      </c>
      <c r="AW17" s="80">
        <f t="shared" si="27"/>
        <v>1368.8424260022061</v>
      </c>
      <c r="AX17" s="81">
        <f t="shared" si="28"/>
        <v>2861.9364226435423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FRENCH CASEMENT WINDOW</v>
      </c>
      <c r="D18" s="131" t="str">
        <f>Pricing!B14</f>
        <v>W5</v>
      </c>
      <c r="E18" s="132" t="str">
        <f>Pricing!N14</f>
        <v>24MM</v>
      </c>
      <c r="F18" s="68">
        <f>Pricing!G14</f>
        <v>1000</v>
      </c>
      <c r="G18" s="68">
        <f>Pricing!H14</f>
        <v>1600</v>
      </c>
      <c r="H18" s="100">
        <f t="shared" si="0"/>
        <v>1.6</v>
      </c>
      <c r="I18" s="70">
        <f>Pricing!I14</f>
        <v>4</v>
      </c>
      <c r="J18" s="69">
        <f t="shared" si="30"/>
        <v>6.4</v>
      </c>
      <c r="K18" s="71">
        <f t="shared" si="31"/>
        <v>68.889600000000002</v>
      </c>
      <c r="L18" s="69"/>
      <c r="M18" s="72"/>
      <c r="N18" s="72"/>
      <c r="O18" s="72">
        <f t="shared" si="3"/>
        <v>0</v>
      </c>
      <c r="P18" s="73">
        <f>Pricing!M14</f>
        <v>88524.479999999996</v>
      </c>
      <c r="Q18" s="74">
        <f t="shared" si="4"/>
        <v>8852.4480000000003</v>
      </c>
      <c r="R18" s="74">
        <f t="shared" si="5"/>
        <v>10711.462079999999</v>
      </c>
      <c r="S18" s="74">
        <f t="shared" si="6"/>
        <v>540.4419504</v>
      </c>
      <c r="T18" s="74">
        <f t="shared" si="7"/>
        <v>1086.2883203039999</v>
      </c>
      <c r="U18" s="72">
        <f t="shared" si="8"/>
        <v>109715.12035070399</v>
      </c>
      <c r="V18" s="74">
        <f t="shared" si="9"/>
        <v>1645.7268052605598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18803.2</v>
      </c>
      <c r="AE18" s="76">
        <f t="shared" si="43"/>
        <v>1704.9180327868853</v>
      </c>
      <c r="AF18" s="346">
        <f t="shared" si="44"/>
        <v>1747.2000000000003</v>
      </c>
      <c r="AG18" s="347"/>
      <c r="AH18" s="76">
        <f t="shared" si="45"/>
        <v>62.400000000000006</v>
      </c>
      <c r="AI18" s="76">
        <f t="shared" si="49"/>
        <v>208</v>
      </c>
      <c r="AJ18" s="76">
        <f>J18*Pricing!Q14</f>
        <v>0</v>
      </c>
      <c r="AK18" s="76">
        <f>J18*Pricing!R14</f>
        <v>41333.760000000002</v>
      </c>
      <c r="AL18" s="76">
        <f t="shared" si="16"/>
        <v>6888.9599999999991</v>
      </c>
      <c r="AM18" s="77">
        <f t="shared" si="17"/>
        <v>0</v>
      </c>
      <c r="AN18" s="76">
        <f t="shared" si="18"/>
        <v>6888.9599999999991</v>
      </c>
      <c r="AO18" s="72">
        <f t="shared" si="19"/>
        <v>115083.36518875144</v>
      </c>
      <c r="AP18" s="74">
        <f t="shared" si="20"/>
        <v>143854.2064859393</v>
      </c>
      <c r="AQ18" s="74">
        <f t="shared" si="21"/>
        <v>0</v>
      </c>
      <c r="AR18" s="74">
        <f t="shared" si="22"/>
        <v>40458.995574170425</v>
      </c>
      <c r="AS18" s="72">
        <f t="shared" si="23"/>
        <v>332852.45167469076</v>
      </c>
      <c r="AT18" s="72">
        <f t="shared" si="24"/>
        <v>52008.19557417043</v>
      </c>
      <c r="AU18" s="78">
        <f t="shared" si="25"/>
        <v>4831.6792618144218</v>
      </c>
      <c r="AV18" s="79">
        <f t="shared" si="26"/>
        <v>3.9763704187863631E-2</v>
      </c>
      <c r="AW18" s="80">
        <f t="shared" si="27"/>
        <v>1616.5117398847513</v>
      </c>
      <c r="AX18" s="81">
        <f t="shared" si="28"/>
        <v>3215.1675219296699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FRENCH CASEMENT WINDOW</v>
      </c>
      <c r="D19" s="131" t="str">
        <f>Pricing!B15</f>
        <v>W6</v>
      </c>
      <c r="E19" s="132" t="str">
        <f>Pricing!N15</f>
        <v>24MM</v>
      </c>
      <c r="F19" s="68">
        <f>Pricing!G15</f>
        <v>1500</v>
      </c>
      <c r="G19" s="68">
        <f>Pricing!H15</f>
        <v>1600</v>
      </c>
      <c r="H19" s="100">
        <f t="shared" si="0"/>
        <v>2.4</v>
      </c>
      <c r="I19" s="70">
        <f>Pricing!I15</f>
        <v>3</v>
      </c>
      <c r="J19" s="69">
        <f t="shared" si="30"/>
        <v>7.1999999999999993</v>
      </c>
      <c r="K19" s="71">
        <f t="shared" si="31"/>
        <v>77.500799999999984</v>
      </c>
      <c r="L19" s="69"/>
      <c r="M19" s="72"/>
      <c r="N19" s="72"/>
      <c r="O19" s="72">
        <f t="shared" si="3"/>
        <v>0</v>
      </c>
      <c r="P19" s="73">
        <f>Pricing!M15</f>
        <v>71612.400000000009</v>
      </c>
      <c r="Q19" s="74">
        <f t="shared" si="4"/>
        <v>7161.2400000000016</v>
      </c>
      <c r="R19" s="74">
        <f t="shared" si="5"/>
        <v>8665.1004000000012</v>
      </c>
      <c r="S19" s="74">
        <f t="shared" si="6"/>
        <v>437.19370200000003</v>
      </c>
      <c r="T19" s="74">
        <f t="shared" si="7"/>
        <v>878.75934102000019</v>
      </c>
      <c r="U19" s="72">
        <f t="shared" si="8"/>
        <v>88754.69344302002</v>
      </c>
      <c r="V19" s="74">
        <f t="shared" si="9"/>
        <v>1331.3204016453003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21153.599999999999</v>
      </c>
      <c r="AE19" s="76">
        <f t="shared" si="43"/>
        <v>1524.5901639344261</v>
      </c>
      <c r="AF19" s="346">
        <f t="shared" si="44"/>
        <v>1562.4</v>
      </c>
      <c r="AG19" s="347"/>
      <c r="AH19" s="76">
        <f t="shared" si="45"/>
        <v>55.800000000000004</v>
      </c>
      <c r="AI19" s="76">
        <f t="shared" si="49"/>
        <v>186</v>
      </c>
      <c r="AJ19" s="76">
        <f>J19*Pricing!Q15</f>
        <v>0</v>
      </c>
      <c r="AK19" s="76">
        <f>J19*Pricing!R15</f>
        <v>46500.479999999996</v>
      </c>
      <c r="AL19" s="76">
        <f t="shared" si="16"/>
        <v>7750.0799999999981</v>
      </c>
      <c r="AM19" s="77">
        <f t="shared" si="17"/>
        <v>0</v>
      </c>
      <c r="AN19" s="76">
        <f t="shared" si="18"/>
        <v>7750.0799999999981</v>
      </c>
      <c r="AO19" s="72">
        <f t="shared" si="19"/>
        <v>93414.804008599749</v>
      </c>
      <c r="AP19" s="74">
        <f t="shared" si="20"/>
        <v>116768.50501074968</v>
      </c>
      <c r="AQ19" s="74">
        <f t="shared" si="21"/>
        <v>0</v>
      </c>
      <c r="AR19" s="74">
        <f t="shared" si="22"/>
        <v>29192.126252687423</v>
      </c>
      <c r="AS19" s="72">
        <f t="shared" si="23"/>
        <v>293337.54901934939</v>
      </c>
      <c r="AT19" s="72">
        <f t="shared" si="24"/>
        <v>40741.326252687417</v>
      </c>
      <c r="AU19" s="78">
        <f t="shared" si="25"/>
        <v>3784.9615619367723</v>
      </c>
      <c r="AV19" s="79">
        <f t="shared" si="26"/>
        <v>4.473416721134657E-2</v>
      </c>
      <c r="AW19" s="80">
        <f t="shared" si="27"/>
        <v>1162.388179795116</v>
      </c>
      <c r="AX19" s="81">
        <f t="shared" si="28"/>
        <v>2622.573382141657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SIDE HUNG WINDOW WITH BOTTOM FIXED</v>
      </c>
      <c r="D20" s="131" t="str">
        <f>Pricing!B16</f>
        <v>FG</v>
      </c>
      <c r="E20" s="132" t="str">
        <f>Pricing!N16</f>
        <v>24MM</v>
      </c>
      <c r="F20" s="68">
        <f>Pricing!G16</f>
        <v>1100</v>
      </c>
      <c r="G20" s="68">
        <f>Pricing!H16</f>
        <v>2860</v>
      </c>
      <c r="H20" s="100">
        <f t="shared" si="0"/>
        <v>3.1459999999999999</v>
      </c>
      <c r="I20" s="70">
        <f>Pricing!I16</f>
        <v>4</v>
      </c>
      <c r="J20" s="69">
        <f t="shared" si="30"/>
        <v>12.584</v>
      </c>
      <c r="K20" s="71">
        <f t="shared" si="31"/>
        <v>135.45417599999999</v>
      </c>
      <c r="L20" s="69"/>
      <c r="M20" s="72"/>
      <c r="N20" s="72"/>
      <c r="O20" s="72">
        <f t="shared" si="3"/>
        <v>0</v>
      </c>
      <c r="P20" s="73">
        <f>Pricing!M16</f>
        <v>94188.4</v>
      </c>
      <c r="Q20" s="74">
        <f t="shared" si="4"/>
        <v>9418.84</v>
      </c>
      <c r="R20" s="74">
        <f t="shared" si="5"/>
        <v>11396.796399999999</v>
      </c>
      <c r="S20" s="74">
        <f t="shared" si="6"/>
        <v>575.02018199999998</v>
      </c>
      <c r="T20" s="74">
        <f t="shared" si="7"/>
        <v>1155.7905658199998</v>
      </c>
      <c r="U20" s="72">
        <f t="shared" si="8"/>
        <v>116734.84714781998</v>
      </c>
      <c r="V20" s="74">
        <f t="shared" si="9"/>
        <v>1751.0227072172995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36971.792000000001</v>
      </c>
      <c r="AE20" s="76">
        <f t="shared" si="43"/>
        <v>2596.7213114754099</v>
      </c>
      <c r="AF20" s="346">
        <f t="shared" si="44"/>
        <v>2661.12</v>
      </c>
      <c r="AG20" s="347"/>
      <c r="AH20" s="76">
        <f t="shared" si="45"/>
        <v>95.039999999999992</v>
      </c>
      <c r="AI20" s="76">
        <f t="shared" si="49"/>
        <v>316.8</v>
      </c>
      <c r="AJ20" s="76">
        <f>J20*Pricing!Q16</f>
        <v>0</v>
      </c>
      <c r="AK20" s="76">
        <f>J20*Pricing!R16</f>
        <v>54181.670399999988</v>
      </c>
      <c r="AL20" s="76">
        <f t="shared" si="16"/>
        <v>13545.417599999997</v>
      </c>
      <c r="AM20" s="77">
        <f t="shared" si="17"/>
        <v>0</v>
      </c>
      <c r="AN20" s="76">
        <f t="shared" si="18"/>
        <v>13545.417599999997</v>
      </c>
      <c r="AO20" s="72">
        <f t="shared" si="19"/>
        <v>124155.5511665127</v>
      </c>
      <c r="AP20" s="74">
        <f t="shared" si="20"/>
        <v>155194.43895814088</v>
      </c>
      <c r="AQ20" s="74">
        <f t="shared" si="21"/>
        <v>0</v>
      </c>
      <c r="AR20" s="74">
        <f t="shared" si="22"/>
        <v>22198.82311861519</v>
      </c>
      <c r="AS20" s="72">
        <f t="shared" si="23"/>
        <v>397594.28772465361</v>
      </c>
      <c r="AT20" s="72">
        <f t="shared" si="24"/>
        <v>31595.223118615195</v>
      </c>
      <c r="AU20" s="78">
        <f t="shared" si="25"/>
        <v>2935.267848254849</v>
      </c>
      <c r="AV20" s="79">
        <f t="shared" si="26"/>
        <v>7.8185383359386851E-2</v>
      </c>
      <c r="AW20" s="80">
        <f t="shared" si="27"/>
        <v>874.73028410019106</v>
      </c>
      <c r="AX20" s="81">
        <f t="shared" si="28"/>
        <v>2060.537564154658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FRENCH CASEMENT WINDOW</v>
      </c>
      <c r="D21" s="131" t="str">
        <f>Pricing!B17</f>
        <v>SW</v>
      </c>
      <c r="E21" s="132" t="str">
        <f>Pricing!N17</f>
        <v>24MM</v>
      </c>
      <c r="F21" s="68">
        <f>Pricing!G17</f>
        <v>1200</v>
      </c>
      <c r="G21" s="68">
        <f>Pricing!H17</f>
        <v>1200</v>
      </c>
      <c r="H21" s="100">
        <f t="shared" si="0"/>
        <v>1.44</v>
      </c>
      <c r="I21" s="70">
        <f>Pricing!I17</f>
        <v>1</v>
      </c>
      <c r="J21" s="69">
        <f t="shared" si="30"/>
        <v>1.44</v>
      </c>
      <c r="K21" s="71">
        <f t="shared" si="31"/>
        <v>15.500159999999999</v>
      </c>
      <c r="L21" s="69"/>
      <c r="M21" s="72"/>
      <c r="N21" s="72"/>
      <c r="O21" s="72">
        <f t="shared" si="3"/>
        <v>0</v>
      </c>
      <c r="P21" s="73">
        <f>Pricing!M17</f>
        <v>19357.259999999998</v>
      </c>
      <c r="Q21" s="74">
        <f t="shared" ref="Q21:Q26" si="50">P21*$Q$6</f>
        <v>1935.7259999999999</v>
      </c>
      <c r="R21" s="74">
        <f t="shared" ref="R21:R26" si="51">(P21+Q21)*$R$6</f>
        <v>2342.2284599999998</v>
      </c>
      <c r="S21" s="74">
        <f t="shared" ref="S21:S26" si="52">(P21+Q21+R21)*$S$6</f>
        <v>118.17607229999999</v>
      </c>
      <c r="T21" s="74">
        <f t="shared" ref="T21:T26" si="53">(P21+Q21+R21+S21)*$T$6</f>
        <v>237.53390532299997</v>
      </c>
      <c r="U21" s="72">
        <f t="shared" ref="U21:U26" si="54">SUM(P21:T21)</f>
        <v>23990.924437622994</v>
      </c>
      <c r="V21" s="74">
        <f t="shared" ref="V21:V26" si="55">U21*$V$6</f>
        <v>359.8638665643449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4230.72</v>
      </c>
      <c r="AE21" s="76">
        <f t="shared" si="43"/>
        <v>393.44262295081967</v>
      </c>
      <c r="AF21" s="346">
        <f t="shared" si="44"/>
        <v>403.2</v>
      </c>
      <c r="AG21" s="347"/>
      <c r="AH21" s="76">
        <f t="shared" si="45"/>
        <v>14.399999999999999</v>
      </c>
      <c r="AI21" s="76">
        <f t="shared" si="15"/>
        <v>48</v>
      </c>
      <c r="AJ21" s="76">
        <f>J21*Pricing!Q17</f>
        <v>0</v>
      </c>
      <c r="AK21" s="76">
        <f>J21*Pricing!R17</f>
        <v>9300.0959999999995</v>
      </c>
      <c r="AL21" s="76">
        <f t="shared" si="16"/>
        <v>1550.0159999999998</v>
      </c>
      <c r="AM21" s="77">
        <f t="shared" si="17"/>
        <v>0</v>
      </c>
      <c r="AN21" s="76">
        <f t="shared" si="18"/>
        <v>1550.0159999999998</v>
      </c>
      <c r="AO21" s="72">
        <f t="shared" si="19"/>
        <v>25209.830927138159</v>
      </c>
      <c r="AP21" s="74">
        <f t="shared" si="20"/>
        <v>31512.288658922698</v>
      </c>
      <c r="AQ21" s="74">
        <f t="shared" ref="AQ21:AQ26" si="61">(AO21+AP21)*$AQ$6</f>
        <v>0</v>
      </c>
      <c r="AR21" s="74">
        <f t="shared" si="22"/>
        <v>39390.360823653376</v>
      </c>
      <c r="AS21" s="72">
        <f t="shared" si="23"/>
        <v>73352.967586060855</v>
      </c>
      <c r="AT21" s="72">
        <f t="shared" si="24"/>
        <v>50939.560823653374</v>
      </c>
      <c r="AU21" s="78">
        <f t="shared" ref="AU21:AU26" si="62">AT21/10.764</f>
        <v>4732.4006710937738</v>
      </c>
      <c r="AV21" s="79">
        <f t="shared" si="26"/>
        <v>8.9468334422693162E-3</v>
      </c>
      <c r="AW21" s="80">
        <f t="shared" si="27"/>
        <v>1571.0023834713538</v>
      </c>
      <c r="AX21" s="81">
        <f t="shared" si="28"/>
        <v>3161.398287622419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SIDE HUNG DOORS WITH CENTER FIXED</v>
      </c>
      <c r="D22" s="131" t="str">
        <f>Pricing!B18</f>
        <v>FD4</v>
      </c>
      <c r="E22" s="132" t="str">
        <f>Pricing!N18</f>
        <v>32MM &amp; 24MM</v>
      </c>
      <c r="F22" s="68">
        <f>Pricing!G18</f>
        <v>4880</v>
      </c>
      <c r="G22" s="68">
        <f>Pricing!H18</f>
        <v>2200</v>
      </c>
      <c r="H22" s="100">
        <f t="shared" si="0"/>
        <v>10.736000000000001</v>
      </c>
      <c r="I22" s="70">
        <f>Pricing!I18</f>
        <v>1</v>
      </c>
      <c r="J22" s="69">
        <f t="shared" si="30"/>
        <v>10.736000000000001</v>
      </c>
      <c r="K22" s="71">
        <f t="shared" si="31"/>
        <v>115.562304</v>
      </c>
      <c r="L22" s="69"/>
      <c r="M22" s="72"/>
      <c r="N22" s="72"/>
      <c r="O22" s="72">
        <f t="shared" si="3"/>
        <v>0</v>
      </c>
      <c r="P22" s="73">
        <f>Pricing!M18</f>
        <v>58285.919999999998</v>
      </c>
      <c r="Q22" s="74">
        <f t="shared" si="50"/>
        <v>5828.5920000000006</v>
      </c>
      <c r="R22" s="74">
        <f t="shared" si="51"/>
        <v>7052.5963200000006</v>
      </c>
      <c r="S22" s="74">
        <f t="shared" si="52"/>
        <v>355.8355416</v>
      </c>
      <c r="T22" s="74">
        <f t="shared" si="53"/>
        <v>715.22943861600004</v>
      </c>
      <c r="U22" s="72">
        <f t="shared" si="54"/>
        <v>72238.173300216004</v>
      </c>
      <c r="V22" s="74">
        <f t="shared" si="55"/>
        <v>1083.5725995032401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44167.904000000002</v>
      </c>
      <c r="AE22" s="76">
        <f t="shared" si="43"/>
        <v>1160.655737704918</v>
      </c>
      <c r="AF22" s="346">
        <f t="shared" si="44"/>
        <v>1189.4400000000003</v>
      </c>
      <c r="AG22" s="347"/>
      <c r="AH22" s="76">
        <f t="shared" si="45"/>
        <v>42.480000000000004</v>
      </c>
      <c r="AI22" s="76">
        <f t="shared" si="15"/>
        <v>141.6</v>
      </c>
      <c r="AJ22" s="76">
        <f>J22*Pricing!Q18</f>
        <v>0</v>
      </c>
      <c r="AK22" s="76">
        <f>J22*Pricing!R18</f>
        <v>34668.691200000001</v>
      </c>
      <c r="AL22" s="76">
        <f t="shared" si="16"/>
        <v>11556.230399999999</v>
      </c>
      <c r="AM22" s="77">
        <f t="shared" si="17"/>
        <v>0</v>
      </c>
      <c r="AN22" s="76">
        <f t="shared" si="18"/>
        <v>11556.230399999999</v>
      </c>
      <c r="AO22" s="72">
        <f t="shared" si="19"/>
        <v>75855.921637424151</v>
      </c>
      <c r="AP22" s="74">
        <f t="shared" si="20"/>
        <v>94819.902046780189</v>
      </c>
      <c r="AQ22" s="74">
        <f t="shared" si="61"/>
        <v>0</v>
      </c>
      <c r="AR22" s="74">
        <f t="shared" si="22"/>
        <v>15897.524560749285</v>
      </c>
      <c r="AS22" s="72">
        <f t="shared" si="23"/>
        <v>272624.87968420435</v>
      </c>
      <c r="AT22" s="72">
        <f t="shared" si="24"/>
        <v>25393.524560749287</v>
      </c>
      <c r="AU22" s="78">
        <f t="shared" si="62"/>
        <v>2359.1159941238657</v>
      </c>
      <c r="AV22" s="79">
        <f t="shared" si="26"/>
        <v>6.6703613775141238E-2</v>
      </c>
      <c r="AW22" s="80">
        <f t="shared" si="27"/>
        <v>634.47805522914507</v>
      </c>
      <c r="AX22" s="81">
        <f t="shared" si="28"/>
        <v>1724.6379388947205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FRENCH CASEMENT WINDOW</v>
      </c>
      <c r="D23" s="131" t="str">
        <f>Pricing!B19</f>
        <v>KW1</v>
      </c>
      <c r="E23" s="132" t="str">
        <f>Pricing!N19</f>
        <v>24MM</v>
      </c>
      <c r="F23" s="68">
        <f>Pricing!G19</f>
        <v>1000</v>
      </c>
      <c r="G23" s="68">
        <f>Pricing!H19</f>
        <v>1200</v>
      </c>
      <c r="H23" s="100">
        <f t="shared" si="0"/>
        <v>1.2</v>
      </c>
      <c r="I23" s="70">
        <f>Pricing!I19</f>
        <v>2</v>
      </c>
      <c r="J23" s="69">
        <f t="shared" si="30"/>
        <v>2.4</v>
      </c>
      <c r="K23" s="71">
        <f t="shared" si="31"/>
        <v>25.833599999999997</v>
      </c>
      <c r="L23" s="69"/>
      <c r="M23" s="72"/>
      <c r="N23" s="72"/>
      <c r="O23" s="72">
        <f t="shared" si="3"/>
        <v>0</v>
      </c>
      <c r="P23" s="73">
        <f>Pricing!M19</f>
        <v>37323.440000000002</v>
      </c>
      <c r="Q23" s="74">
        <f t="shared" si="50"/>
        <v>3732.3440000000005</v>
      </c>
      <c r="R23" s="74">
        <f t="shared" si="51"/>
        <v>4516.1362399999998</v>
      </c>
      <c r="S23" s="74">
        <f t="shared" si="52"/>
        <v>227.85960120000001</v>
      </c>
      <c r="T23" s="74">
        <f t="shared" si="53"/>
        <v>457.99779841200001</v>
      </c>
      <c r="U23" s="72">
        <f t="shared" si="54"/>
        <v>46257.777639611995</v>
      </c>
      <c r="V23" s="74">
        <f t="shared" si="55"/>
        <v>693.86666459417995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7051.2</v>
      </c>
      <c r="AE23" s="76">
        <f t="shared" si="43"/>
        <v>721.31147540983602</v>
      </c>
      <c r="AF23" s="346">
        <f t="shared" si="44"/>
        <v>739.2</v>
      </c>
      <c r="AG23" s="347"/>
      <c r="AH23" s="76">
        <f t="shared" si="45"/>
        <v>26.400000000000002</v>
      </c>
      <c r="AI23" s="76">
        <f t="shared" si="15"/>
        <v>88</v>
      </c>
      <c r="AJ23" s="76">
        <f>J23*Pricing!Q19</f>
        <v>0</v>
      </c>
      <c r="AK23" s="76">
        <f>J23*Pricing!R19</f>
        <v>15500.159999999998</v>
      </c>
      <c r="AL23" s="76">
        <f t="shared" si="16"/>
        <v>2583.3599999999997</v>
      </c>
      <c r="AM23" s="77">
        <f t="shared" si="17"/>
        <v>0</v>
      </c>
      <c r="AN23" s="76">
        <f t="shared" si="18"/>
        <v>2583.3599999999997</v>
      </c>
      <c r="AO23" s="72">
        <f t="shared" si="19"/>
        <v>48526.555779616014</v>
      </c>
      <c r="AP23" s="74">
        <f t="shared" si="20"/>
        <v>60658.194724520014</v>
      </c>
      <c r="AQ23" s="74">
        <f t="shared" si="61"/>
        <v>0</v>
      </c>
      <c r="AR23" s="74">
        <f t="shared" si="22"/>
        <v>45493.646043390014</v>
      </c>
      <c r="AS23" s="72">
        <f t="shared" si="23"/>
        <v>136902.83050413601</v>
      </c>
      <c r="AT23" s="72">
        <f t="shared" si="24"/>
        <v>57042.846043390011</v>
      </c>
      <c r="AU23" s="78">
        <f t="shared" si="62"/>
        <v>5299.4097030276862</v>
      </c>
      <c r="AV23" s="79">
        <f t="shared" si="26"/>
        <v>1.4911389070448859E-2</v>
      </c>
      <c r="AW23" s="80">
        <f t="shared" si="27"/>
        <v>1817.4642444028775</v>
      </c>
      <c r="AX23" s="81">
        <f t="shared" si="28"/>
        <v>3481.9454586248089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FRENCH CASEMENT WINDOW</v>
      </c>
      <c r="D24" s="131" t="str">
        <f>Pricing!B20</f>
        <v>KW2</v>
      </c>
      <c r="E24" s="132" t="str">
        <f>Pricing!N20</f>
        <v>24MM</v>
      </c>
      <c r="F24" s="68">
        <f>Pricing!G20</f>
        <v>1200</v>
      </c>
      <c r="G24" s="68">
        <f>Pricing!H20</f>
        <v>1200</v>
      </c>
      <c r="H24" s="100">
        <f t="shared" si="0"/>
        <v>1.44</v>
      </c>
      <c r="I24" s="70">
        <f>Pricing!I20</f>
        <v>1</v>
      </c>
      <c r="J24" s="69">
        <f t="shared" si="30"/>
        <v>1.44</v>
      </c>
      <c r="K24" s="71">
        <f t="shared" si="31"/>
        <v>15.500159999999999</v>
      </c>
      <c r="L24" s="69"/>
      <c r="M24" s="72"/>
      <c r="N24" s="72"/>
      <c r="O24" s="72">
        <f t="shared" si="3"/>
        <v>0</v>
      </c>
      <c r="P24" s="73">
        <f>Pricing!M20</f>
        <v>19357.259999999998</v>
      </c>
      <c r="Q24" s="74">
        <f t="shared" si="50"/>
        <v>1935.7259999999999</v>
      </c>
      <c r="R24" s="74">
        <f t="shared" si="51"/>
        <v>2342.2284599999998</v>
      </c>
      <c r="S24" s="74">
        <f t="shared" si="52"/>
        <v>118.17607229999999</v>
      </c>
      <c r="T24" s="74">
        <f t="shared" si="53"/>
        <v>237.53390532299997</v>
      </c>
      <c r="U24" s="72">
        <f t="shared" si="54"/>
        <v>23990.924437622994</v>
      </c>
      <c r="V24" s="74">
        <f t="shared" si="55"/>
        <v>359.8638665643449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4230.72</v>
      </c>
      <c r="AE24" s="76">
        <f t="shared" si="43"/>
        <v>393.44262295081967</v>
      </c>
      <c r="AF24" s="346">
        <f t="shared" si="44"/>
        <v>403.2</v>
      </c>
      <c r="AG24" s="347"/>
      <c r="AH24" s="76">
        <f t="shared" si="45"/>
        <v>14.399999999999999</v>
      </c>
      <c r="AI24" s="76">
        <f t="shared" si="15"/>
        <v>48</v>
      </c>
      <c r="AJ24" s="76">
        <f>J24*Pricing!Q20</f>
        <v>0</v>
      </c>
      <c r="AK24" s="76">
        <f>J24*Pricing!R20</f>
        <v>9300.0959999999995</v>
      </c>
      <c r="AL24" s="76">
        <f t="shared" si="16"/>
        <v>1550.0159999999998</v>
      </c>
      <c r="AM24" s="77">
        <f t="shared" si="17"/>
        <v>0</v>
      </c>
      <c r="AN24" s="76">
        <f t="shared" si="18"/>
        <v>1550.0159999999998</v>
      </c>
      <c r="AO24" s="72">
        <f t="shared" si="19"/>
        <v>25209.830927138159</v>
      </c>
      <c r="AP24" s="74">
        <f t="shared" si="20"/>
        <v>31512.288658922698</v>
      </c>
      <c r="AQ24" s="74">
        <f t="shared" si="61"/>
        <v>0</v>
      </c>
      <c r="AR24" s="74">
        <f t="shared" si="22"/>
        <v>39390.360823653376</v>
      </c>
      <c r="AS24" s="72">
        <f t="shared" si="23"/>
        <v>73352.967586060855</v>
      </c>
      <c r="AT24" s="72">
        <f t="shared" si="24"/>
        <v>50939.560823653374</v>
      </c>
      <c r="AU24" s="78">
        <f t="shared" si="62"/>
        <v>4732.4006710937738</v>
      </c>
      <c r="AV24" s="79">
        <f t="shared" si="26"/>
        <v>8.9468334422693162E-3</v>
      </c>
      <c r="AW24" s="80">
        <f t="shared" si="27"/>
        <v>1571.0023834713538</v>
      </c>
      <c r="AX24" s="81">
        <f t="shared" si="28"/>
        <v>3161.398287622419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2 SIDE HUNG DOORS WITH CENTER FIXED</v>
      </c>
      <c r="D25" s="131" t="str">
        <f>Pricing!B21</f>
        <v>GW</v>
      </c>
      <c r="E25" s="132" t="str">
        <f>Pricing!N21</f>
        <v>24MM</v>
      </c>
      <c r="F25" s="68">
        <f>Pricing!G21</f>
        <v>3000</v>
      </c>
      <c r="G25" s="68">
        <f>Pricing!H21</f>
        <v>1600</v>
      </c>
      <c r="H25" s="100">
        <f t="shared" si="0"/>
        <v>4.8</v>
      </c>
      <c r="I25" s="70">
        <f>Pricing!I21</f>
        <v>2</v>
      </c>
      <c r="J25" s="69">
        <f t="shared" si="30"/>
        <v>9.6</v>
      </c>
      <c r="K25" s="71">
        <f t="shared" si="31"/>
        <v>103.33439999999999</v>
      </c>
      <c r="L25" s="69"/>
      <c r="M25" s="72"/>
      <c r="N25" s="72"/>
      <c r="O25" s="72">
        <f t="shared" si="3"/>
        <v>0</v>
      </c>
      <c r="P25" s="73">
        <f>Pricing!M21</f>
        <v>86311.700000000012</v>
      </c>
      <c r="Q25" s="74">
        <f t="shared" si="50"/>
        <v>8631.1700000000019</v>
      </c>
      <c r="R25" s="74">
        <f t="shared" si="51"/>
        <v>10443.715700000001</v>
      </c>
      <c r="S25" s="74">
        <f t="shared" si="52"/>
        <v>526.93292850000012</v>
      </c>
      <c r="T25" s="74">
        <f t="shared" si="53"/>
        <v>1059.1351862850001</v>
      </c>
      <c r="U25" s="72">
        <f t="shared" si="54"/>
        <v>106972.65381478501</v>
      </c>
      <c r="V25" s="74">
        <f t="shared" si="55"/>
        <v>1604.5898072217751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28204.799999999999</v>
      </c>
      <c r="AE25" s="76">
        <f t="shared" si="43"/>
        <v>1508.1967213114756</v>
      </c>
      <c r="AF25" s="346">
        <f t="shared" si="44"/>
        <v>1545.6</v>
      </c>
      <c r="AG25" s="347"/>
      <c r="AH25" s="76">
        <f t="shared" si="45"/>
        <v>55.199999999999996</v>
      </c>
      <c r="AI25" s="76">
        <f t="shared" si="15"/>
        <v>184</v>
      </c>
      <c r="AJ25" s="76">
        <f>J25*Pricing!Q21</f>
        <v>0</v>
      </c>
      <c r="AK25" s="76">
        <f>J25*Pricing!R21</f>
        <v>51667.199999999997</v>
      </c>
      <c r="AL25" s="76">
        <f t="shared" si="16"/>
        <v>10333.439999999999</v>
      </c>
      <c r="AM25" s="77">
        <f t="shared" si="17"/>
        <v>0</v>
      </c>
      <c r="AN25" s="76">
        <f t="shared" si="18"/>
        <v>10333.439999999999</v>
      </c>
      <c r="AO25" s="72">
        <f t="shared" si="19"/>
        <v>111870.24034331825</v>
      </c>
      <c r="AP25" s="74">
        <f t="shared" si="20"/>
        <v>139837.80042914781</v>
      </c>
      <c r="AQ25" s="74">
        <f t="shared" si="61"/>
        <v>0</v>
      </c>
      <c r="AR25" s="74">
        <f t="shared" si="22"/>
        <v>26219.587580465213</v>
      </c>
      <c r="AS25" s="72">
        <f t="shared" si="23"/>
        <v>352246.92077246605</v>
      </c>
      <c r="AT25" s="72">
        <f t="shared" si="24"/>
        <v>36692.387580465213</v>
      </c>
      <c r="AU25" s="78">
        <f t="shared" si="62"/>
        <v>3408.8059810911573</v>
      </c>
      <c r="AV25" s="79">
        <f t="shared" si="26"/>
        <v>5.9645556281795437E-2</v>
      </c>
      <c r="AW25" s="80">
        <f t="shared" si="27"/>
        <v>1050.7366726086066</v>
      </c>
      <c r="AX25" s="81">
        <f t="shared" si="28"/>
        <v>2358.0693084825512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2 SIDE HUNG DOORS WITH CORNOR FIXED</v>
      </c>
      <c r="D26" s="131" t="str">
        <f>Pricing!B22</f>
        <v>CW</v>
      </c>
      <c r="E26" s="132" t="str">
        <f>Pricing!N22</f>
        <v>24MM</v>
      </c>
      <c r="F26" s="68">
        <f>Pricing!G22</f>
        <v>3220</v>
      </c>
      <c r="G26" s="68">
        <f>Pricing!H22</f>
        <v>1600</v>
      </c>
      <c r="H26" s="100">
        <f t="shared" si="0"/>
        <v>5.1520000000000001</v>
      </c>
      <c r="I26" s="70">
        <f>Pricing!I22</f>
        <v>2</v>
      </c>
      <c r="J26" s="69">
        <f t="shared" si="30"/>
        <v>10.304</v>
      </c>
      <c r="K26" s="71">
        <f t="shared" si="31"/>
        <v>110.912256</v>
      </c>
      <c r="L26" s="69"/>
      <c r="M26" s="72"/>
      <c r="N26" s="72"/>
      <c r="O26" s="72">
        <f t="shared" si="3"/>
        <v>0</v>
      </c>
      <c r="P26" s="73">
        <f>Pricing!M22</f>
        <v>96371.299999999988</v>
      </c>
      <c r="Q26" s="74">
        <f t="shared" si="50"/>
        <v>9637.1299999999992</v>
      </c>
      <c r="R26" s="74">
        <f t="shared" si="51"/>
        <v>11660.927299999999</v>
      </c>
      <c r="S26" s="74">
        <f t="shared" si="52"/>
        <v>588.34678650000001</v>
      </c>
      <c r="T26" s="74">
        <f t="shared" si="53"/>
        <v>1182.5770408649998</v>
      </c>
      <c r="U26" s="72">
        <f t="shared" si="54"/>
        <v>119440.28112736499</v>
      </c>
      <c r="V26" s="74">
        <f t="shared" si="55"/>
        <v>1791.6042169104746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30273.152000000002</v>
      </c>
      <c r="AE26" s="76">
        <f t="shared" si="43"/>
        <v>1580.327868852459</v>
      </c>
      <c r="AF26" s="346">
        <f t="shared" si="44"/>
        <v>1619.52</v>
      </c>
      <c r="AG26" s="347"/>
      <c r="AH26" s="76">
        <f t="shared" si="45"/>
        <v>57.84</v>
      </c>
      <c r="AI26" s="76">
        <f t="shared" si="15"/>
        <v>192.8</v>
      </c>
      <c r="AJ26" s="76">
        <f>J26*Pricing!Q22</f>
        <v>0</v>
      </c>
      <c r="AK26" s="76">
        <f>J26*Pricing!R22</f>
        <v>44364.902399999999</v>
      </c>
      <c r="AL26" s="76">
        <f t="shared" si="16"/>
        <v>11091.2256</v>
      </c>
      <c r="AM26" s="77">
        <f t="shared" si="17"/>
        <v>0</v>
      </c>
      <c r="AN26" s="76">
        <f t="shared" si="18"/>
        <v>11091.2256</v>
      </c>
      <c r="AO26" s="72">
        <f t="shared" si="19"/>
        <v>124682.37321312792</v>
      </c>
      <c r="AP26" s="74">
        <f t="shared" si="20"/>
        <v>155852.96651640991</v>
      </c>
      <c r="AQ26" s="74">
        <f t="shared" si="61"/>
        <v>0</v>
      </c>
      <c r="AR26" s="74">
        <f t="shared" si="22"/>
        <v>27225.867597975332</v>
      </c>
      <c r="AS26" s="72">
        <f t="shared" si="23"/>
        <v>377355.84532953787</v>
      </c>
      <c r="AT26" s="72">
        <f t="shared" si="24"/>
        <v>36622.267597975333</v>
      </c>
      <c r="AU26" s="78">
        <f t="shared" si="62"/>
        <v>3402.2916757687976</v>
      </c>
      <c r="AV26" s="79">
        <f t="shared" si="26"/>
        <v>6.4019563742460442E-2</v>
      </c>
      <c r="AW26" s="80">
        <f t="shared" si="27"/>
        <v>1093.0431831111205</v>
      </c>
      <c r="AX26" s="81">
        <f t="shared" si="28"/>
        <v>2309.2484926576767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SW1</v>
      </c>
      <c r="E27" s="132" t="str">
        <f>Pricing!N23</f>
        <v>24MM</v>
      </c>
      <c r="F27" s="68">
        <f>Pricing!G23</f>
        <v>500</v>
      </c>
      <c r="G27" s="68">
        <f>Pricing!H23</f>
        <v>500</v>
      </c>
      <c r="H27" s="100">
        <f t="shared" si="0"/>
        <v>0.25</v>
      </c>
      <c r="I27" s="70">
        <f>Pricing!I23</f>
        <v>13</v>
      </c>
      <c r="J27" s="69">
        <f t="shared" si="30"/>
        <v>3.25</v>
      </c>
      <c r="K27" s="71">
        <f t="shared" si="31"/>
        <v>34.982999999999997</v>
      </c>
      <c r="L27" s="69"/>
      <c r="M27" s="72"/>
      <c r="N27" s="72"/>
      <c r="O27" s="72">
        <f t="shared" si="3"/>
        <v>0</v>
      </c>
      <c r="P27" s="73">
        <f>Pricing!M23</f>
        <v>27978.469999999998</v>
      </c>
      <c r="Q27" s="74">
        <f t="shared" si="4"/>
        <v>2797.8469999999998</v>
      </c>
      <c r="R27" s="74">
        <f t="shared" si="5"/>
        <v>3385.3948699999996</v>
      </c>
      <c r="S27" s="74">
        <f t="shared" si="6"/>
        <v>170.80855934999997</v>
      </c>
      <c r="T27" s="74">
        <f t="shared" si="7"/>
        <v>343.32520429349995</v>
      </c>
      <c r="U27" s="72">
        <f t="shared" si="8"/>
        <v>34675.84563364349</v>
      </c>
      <c r="V27" s="74">
        <f t="shared" si="9"/>
        <v>520.13768450465238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9548.5</v>
      </c>
      <c r="AE27" s="76">
        <f t="shared" si="43"/>
        <v>2131.1475409836066</v>
      </c>
      <c r="AF27" s="346">
        <f t="shared" si="44"/>
        <v>2184</v>
      </c>
      <c r="AG27" s="347"/>
      <c r="AH27" s="76">
        <f t="shared" si="45"/>
        <v>78</v>
      </c>
      <c r="AI27" s="76">
        <f t="shared" ref="AI27:AI32" si="64">(((F27+G27)*2*I27)/1000)*2*$AI$7</f>
        <v>260</v>
      </c>
      <c r="AJ27" s="76">
        <f>J27*Pricing!Q23</f>
        <v>0</v>
      </c>
      <c r="AK27" s="76">
        <f>J27*Pricing!R23</f>
        <v>0</v>
      </c>
      <c r="AL27" s="76">
        <f t="shared" si="16"/>
        <v>3498.2999999999997</v>
      </c>
      <c r="AM27" s="77">
        <f t="shared" si="17"/>
        <v>0</v>
      </c>
      <c r="AN27" s="76">
        <f t="shared" si="18"/>
        <v>3498.2999999999997</v>
      </c>
      <c r="AO27" s="72">
        <f t="shared" si="19"/>
        <v>39849.13085913175</v>
      </c>
      <c r="AP27" s="74">
        <f t="shared" si="20"/>
        <v>49811.413573914688</v>
      </c>
      <c r="AQ27" s="74">
        <f t="shared" si="21"/>
        <v>0</v>
      </c>
      <c r="AR27" s="74">
        <f t="shared" si="22"/>
        <v>27587.85982555275</v>
      </c>
      <c r="AS27" s="72">
        <f t="shared" si="23"/>
        <v>106205.64443304643</v>
      </c>
      <c r="AT27" s="72">
        <f t="shared" si="24"/>
        <v>32678.659825552746</v>
      </c>
      <c r="AU27" s="78">
        <f t="shared" si="25"/>
        <v>3035.9215742802626</v>
      </c>
      <c r="AV27" s="79">
        <f t="shared" si="26"/>
        <v>2.0192506032899498E-2</v>
      </c>
      <c r="AW27" s="80">
        <f t="shared" si="27"/>
        <v>1006.0881947845567</v>
      </c>
      <c r="AX27" s="81">
        <f t="shared" si="28"/>
        <v>2029.8333794957064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</v>
      </c>
      <c r="D28" s="131" t="str">
        <f>Pricing!B24</f>
        <v>V1</v>
      </c>
      <c r="E28" s="132" t="str">
        <f>Pricing!N24</f>
        <v>24MM (F)</v>
      </c>
      <c r="F28" s="68">
        <f>Pricing!G24</f>
        <v>800</v>
      </c>
      <c r="G28" s="68">
        <f>Pricing!H24</f>
        <v>600</v>
      </c>
      <c r="H28" s="100">
        <f t="shared" si="0"/>
        <v>0.48</v>
      </c>
      <c r="I28" s="70">
        <f>Pricing!I24</f>
        <v>5</v>
      </c>
      <c r="J28" s="69">
        <f t="shared" si="30"/>
        <v>2.4</v>
      </c>
      <c r="K28" s="71">
        <f t="shared" si="31"/>
        <v>25.833599999999997</v>
      </c>
      <c r="L28" s="69"/>
      <c r="M28" s="72"/>
      <c r="N28" s="72"/>
      <c r="O28" s="72">
        <f t="shared" si="3"/>
        <v>0</v>
      </c>
      <c r="P28" s="73">
        <f>Pricing!M24</f>
        <v>46820.299999999996</v>
      </c>
      <c r="Q28" s="74">
        <f t="shared" si="4"/>
        <v>4682.03</v>
      </c>
      <c r="R28" s="74">
        <f t="shared" si="5"/>
        <v>5665.2562999999991</v>
      </c>
      <c r="S28" s="74">
        <f t="shared" si="6"/>
        <v>285.83793149999997</v>
      </c>
      <c r="T28" s="74">
        <f t="shared" si="7"/>
        <v>574.53424231499991</v>
      </c>
      <c r="U28" s="72">
        <f t="shared" si="8"/>
        <v>58027.958473814993</v>
      </c>
      <c r="V28" s="74">
        <f t="shared" si="9"/>
        <v>870.41937710722482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9456</v>
      </c>
      <c r="AE28" s="76">
        <f t="shared" si="43"/>
        <v>1147.5409836065573</v>
      </c>
      <c r="AF28" s="346">
        <f t="shared" si="44"/>
        <v>1175.9999999999998</v>
      </c>
      <c r="AG28" s="347"/>
      <c r="AH28" s="76">
        <f t="shared" si="45"/>
        <v>42</v>
      </c>
      <c r="AI28" s="76">
        <f t="shared" si="64"/>
        <v>140</v>
      </c>
      <c r="AJ28" s="76">
        <f>J28*Pricing!Q24</f>
        <v>0</v>
      </c>
      <c r="AK28" s="76">
        <f>J28*Pricing!R24</f>
        <v>0</v>
      </c>
      <c r="AL28" s="76">
        <f t="shared" si="16"/>
        <v>2583.3599999999997</v>
      </c>
      <c r="AM28" s="77">
        <f t="shared" si="17"/>
        <v>0</v>
      </c>
      <c r="AN28" s="76">
        <f t="shared" si="18"/>
        <v>2583.3599999999997</v>
      </c>
      <c r="AO28" s="72">
        <f t="shared" si="19"/>
        <v>61403.918834528769</v>
      </c>
      <c r="AP28" s="74">
        <f t="shared" si="20"/>
        <v>76754.898543160962</v>
      </c>
      <c r="AQ28" s="74">
        <f t="shared" si="21"/>
        <v>0</v>
      </c>
      <c r="AR28" s="74">
        <f t="shared" si="22"/>
        <v>57566.173907370721</v>
      </c>
      <c r="AS28" s="72">
        <f t="shared" si="23"/>
        <v>152781.53737768973</v>
      </c>
      <c r="AT28" s="72">
        <f t="shared" si="24"/>
        <v>63658.973907370724</v>
      </c>
      <c r="AU28" s="78">
        <f t="shared" si="25"/>
        <v>5914.0629791314313</v>
      </c>
      <c r="AV28" s="79">
        <f t="shared" si="26"/>
        <v>1.4911389070448859E-2</v>
      </c>
      <c r="AW28" s="80">
        <f t="shared" si="27"/>
        <v>2279.9136725397243</v>
      </c>
      <c r="AX28" s="81">
        <f t="shared" si="28"/>
        <v>3634.149306591707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TOP HUNG WINDOW</v>
      </c>
      <c r="D29" s="131" t="str">
        <f>Pricing!B25</f>
        <v>V2</v>
      </c>
      <c r="E29" s="132" t="str">
        <f>Pricing!N25</f>
        <v>24MM (F)</v>
      </c>
      <c r="F29" s="68">
        <f>Pricing!G25</f>
        <v>600</v>
      </c>
      <c r="G29" s="68">
        <f>Pricing!H25</f>
        <v>600</v>
      </c>
      <c r="H29" s="100">
        <f t="shared" si="0"/>
        <v>0.36</v>
      </c>
      <c r="I29" s="70">
        <f>Pricing!I25</f>
        <v>3</v>
      </c>
      <c r="J29" s="69">
        <f t="shared" si="30"/>
        <v>1.08</v>
      </c>
      <c r="K29" s="71">
        <f t="shared" si="31"/>
        <v>11.625120000000001</v>
      </c>
      <c r="L29" s="69"/>
      <c r="M29" s="72"/>
      <c r="N29" s="72"/>
      <c r="O29" s="72">
        <f t="shared" si="3"/>
        <v>0</v>
      </c>
      <c r="P29" s="73">
        <f>Pricing!M25</f>
        <v>25990.62</v>
      </c>
      <c r="Q29" s="74">
        <f t="shared" si="4"/>
        <v>2599.0619999999999</v>
      </c>
      <c r="R29" s="74">
        <f t="shared" si="5"/>
        <v>3144.8650200000002</v>
      </c>
      <c r="S29" s="74">
        <f t="shared" si="6"/>
        <v>158.67273510000001</v>
      </c>
      <c r="T29" s="74">
        <f t="shared" si="7"/>
        <v>318.93219755100006</v>
      </c>
      <c r="U29" s="72">
        <f t="shared" si="8"/>
        <v>32212.151952651002</v>
      </c>
      <c r="V29" s="74">
        <f t="shared" si="9"/>
        <v>483.18227928976501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4255.2000000000007</v>
      </c>
      <c r="AE29" s="76">
        <f t="shared" si="43"/>
        <v>590.1639344262295</v>
      </c>
      <c r="AF29" s="346">
        <f t="shared" si="44"/>
        <v>604.79999999999995</v>
      </c>
      <c r="AG29" s="347"/>
      <c r="AH29" s="76">
        <f t="shared" si="45"/>
        <v>21.6</v>
      </c>
      <c r="AI29" s="76">
        <f t="shared" si="64"/>
        <v>72</v>
      </c>
      <c r="AJ29" s="76">
        <f>J29*Pricing!Q25</f>
        <v>0</v>
      </c>
      <c r="AK29" s="76">
        <f>J29*Pricing!R25</f>
        <v>0</v>
      </c>
      <c r="AL29" s="76">
        <f t="shared" si="16"/>
        <v>1162.5119999999999</v>
      </c>
      <c r="AM29" s="77">
        <f t="shared" si="17"/>
        <v>0</v>
      </c>
      <c r="AN29" s="76">
        <f t="shared" si="18"/>
        <v>1162.5119999999999</v>
      </c>
      <c r="AO29" s="72">
        <f t="shared" si="19"/>
        <v>33983.898166366998</v>
      </c>
      <c r="AP29" s="74">
        <f t="shared" si="20"/>
        <v>42479.872707958748</v>
      </c>
      <c r="AQ29" s="74">
        <f t="shared" si="21"/>
        <v>0</v>
      </c>
      <c r="AR29" s="74">
        <f t="shared" si="22"/>
        <v>70799.787846597901</v>
      </c>
      <c r="AS29" s="72">
        <f t="shared" si="23"/>
        <v>83043.994874325741</v>
      </c>
      <c r="AT29" s="72">
        <f t="shared" si="24"/>
        <v>76892.587846597904</v>
      </c>
      <c r="AU29" s="78">
        <f t="shared" si="25"/>
        <v>7143.4957122443247</v>
      </c>
      <c r="AV29" s="79">
        <f t="shared" si="26"/>
        <v>6.710125081701988E-3</v>
      </c>
      <c r="AW29" s="80">
        <f t="shared" si="27"/>
        <v>2812.4728374365827</v>
      </c>
      <c r="AX29" s="81">
        <f t="shared" si="28"/>
        <v>4331.0228748077416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</v>
      </c>
      <c r="D30" s="131" t="str">
        <f>Pricing!B26</f>
        <v>FV</v>
      </c>
      <c r="E30" s="132" t="str">
        <f>Pricing!N26</f>
        <v>24MM (F)</v>
      </c>
      <c r="F30" s="68">
        <f>Pricing!G26</f>
        <v>600</v>
      </c>
      <c r="G30" s="68">
        <f>Pricing!H26</f>
        <v>600</v>
      </c>
      <c r="H30" s="100">
        <f t="shared" si="0"/>
        <v>0.36</v>
      </c>
      <c r="I30" s="70">
        <f>Pricing!I26</f>
        <v>5</v>
      </c>
      <c r="J30" s="69">
        <f t="shared" si="30"/>
        <v>1.7999999999999998</v>
      </c>
      <c r="K30" s="71">
        <f t="shared" si="31"/>
        <v>19.375199999999996</v>
      </c>
      <c r="L30" s="69"/>
      <c r="M30" s="72"/>
      <c r="N30" s="72"/>
      <c r="O30" s="72">
        <f t="shared" si="3"/>
        <v>0</v>
      </c>
      <c r="P30" s="73">
        <f>Pricing!M26</f>
        <v>12412.650000000001</v>
      </c>
      <c r="Q30" s="74">
        <f t="shared" si="4"/>
        <v>1241.2650000000003</v>
      </c>
      <c r="R30" s="74">
        <f t="shared" si="5"/>
        <v>1501.93065</v>
      </c>
      <c r="S30" s="74">
        <f t="shared" si="6"/>
        <v>75.779228250000003</v>
      </c>
      <c r="T30" s="74">
        <f t="shared" si="7"/>
        <v>152.3162487825</v>
      </c>
      <c r="U30" s="72">
        <f t="shared" si="8"/>
        <v>15383.9411270325</v>
      </c>
      <c r="V30" s="74">
        <f t="shared" si="9"/>
        <v>230.7591169054875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7091.9999999999991</v>
      </c>
      <c r="AE30" s="76">
        <f t="shared" si="43"/>
        <v>983.60655737704917</v>
      </c>
      <c r="AF30" s="346">
        <f t="shared" si="44"/>
        <v>1008</v>
      </c>
      <c r="AG30" s="347"/>
      <c r="AH30" s="76">
        <f t="shared" si="45"/>
        <v>36</v>
      </c>
      <c r="AI30" s="76">
        <f t="shared" si="64"/>
        <v>120</v>
      </c>
      <c r="AJ30" s="76">
        <f>J30*Pricing!Q26</f>
        <v>0</v>
      </c>
      <c r="AK30" s="76">
        <f>J30*Pricing!R26</f>
        <v>0</v>
      </c>
      <c r="AL30" s="76">
        <f t="shared" si="16"/>
        <v>1937.5199999999995</v>
      </c>
      <c r="AM30" s="77">
        <f t="shared" si="17"/>
        <v>0</v>
      </c>
      <c r="AN30" s="76">
        <f t="shared" si="18"/>
        <v>1937.5199999999995</v>
      </c>
      <c r="AO30" s="72">
        <f t="shared" si="19"/>
        <v>17762.306801315033</v>
      </c>
      <c r="AP30" s="74">
        <f t="shared" si="20"/>
        <v>22202.883501643792</v>
      </c>
      <c r="AQ30" s="74">
        <f t="shared" si="21"/>
        <v>0</v>
      </c>
      <c r="AR30" s="74">
        <f t="shared" si="22"/>
        <v>22202.883501643795</v>
      </c>
      <c r="AS30" s="72">
        <f t="shared" si="23"/>
        <v>50932.230302958822</v>
      </c>
      <c r="AT30" s="72">
        <f t="shared" si="24"/>
        <v>28295.683501643794</v>
      </c>
      <c r="AU30" s="78">
        <f t="shared" si="25"/>
        <v>2628.7331383912856</v>
      </c>
      <c r="AV30" s="79">
        <f t="shared" si="26"/>
        <v>1.1183541802836643E-2</v>
      </c>
      <c r="AW30" s="80">
        <f t="shared" si="27"/>
        <v>805.91169350189887</v>
      </c>
      <c r="AX30" s="81">
        <f t="shared" si="28"/>
        <v>1822.8214448893866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6 NO'S</v>
      </c>
      <c r="D31" s="131" t="str">
        <f>Pricing!B27</f>
        <v>FG1</v>
      </c>
      <c r="E31" s="132" t="str">
        <f>Pricing!N27</f>
        <v>24MM</v>
      </c>
      <c r="F31" s="68">
        <f>Pricing!G27</f>
        <v>5580</v>
      </c>
      <c r="G31" s="68">
        <f>Pricing!H27</f>
        <v>2860</v>
      </c>
      <c r="H31" s="100">
        <f t="shared" si="0"/>
        <v>15.9588</v>
      </c>
      <c r="I31" s="70">
        <f>Pricing!I27</f>
        <v>1</v>
      </c>
      <c r="J31" s="69">
        <f t="shared" si="30"/>
        <v>15.9588</v>
      </c>
      <c r="K31" s="71">
        <f t="shared" si="31"/>
        <v>171.7805232</v>
      </c>
      <c r="L31" s="69"/>
      <c r="M31" s="72"/>
      <c r="N31" s="72"/>
      <c r="O31" s="72">
        <f t="shared" si="3"/>
        <v>0</v>
      </c>
      <c r="P31" s="73">
        <f>Pricing!M27</f>
        <v>76892.86</v>
      </c>
      <c r="Q31" s="74">
        <f t="shared" si="4"/>
        <v>7689.2860000000001</v>
      </c>
      <c r="R31" s="74">
        <f t="shared" si="5"/>
        <v>9304.0360600000004</v>
      </c>
      <c r="S31" s="74">
        <f t="shared" si="6"/>
        <v>469.43091030000005</v>
      </c>
      <c r="T31" s="74">
        <f t="shared" si="7"/>
        <v>943.55612970300001</v>
      </c>
      <c r="U31" s="72">
        <f t="shared" si="8"/>
        <v>95299.169100003011</v>
      </c>
      <c r="V31" s="74">
        <f t="shared" si="9"/>
        <v>1429.4875365000451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46886.954400000002</v>
      </c>
      <c r="AE31" s="76">
        <f t="shared" si="43"/>
        <v>1383.6065573770493</v>
      </c>
      <c r="AF31" s="346">
        <f t="shared" si="44"/>
        <v>1417.9200000000003</v>
      </c>
      <c r="AG31" s="347"/>
      <c r="AH31" s="76">
        <f t="shared" si="45"/>
        <v>50.64</v>
      </c>
      <c r="AI31" s="76">
        <f t="shared" si="64"/>
        <v>168.79999999999998</v>
      </c>
      <c r="AJ31" s="76">
        <f>J31*Pricing!Q27</f>
        <v>0</v>
      </c>
      <c r="AK31" s="76">
        <f>J31*Pricing!R27</f>
        <v>0</v>
      </c>
      <c r="AL31" s="76">
        <f t="shared" si="16"/>
        <v>17178.052319999999</v>
      </c>
      <c r="AM31" s="77">
        <f t="shared" si="17"/>
        <v>0</v>
      </c>
      <c r="AN31" s="76">
        <f t="shared" si="18"/>
        <v>17178.052319999999</v>
      </c>
      <c r="AO31" s="72">
        <f t="shared" si="19"/>
        <v>99749.623193880121</v>
      </c>
      <c r="AP31" s="74">
        <f t="shared" si="20"/>
        <v>124687.02899235016</v>
      </c>
      <c r="AQ31" s="74">
        <f t="shared" si="21"/>
        <v>0</v>
      </c>
      <c r="AR31" s="74">
        <f t="shared" si="22"/>
        <v>14063.504285173716</v>
      </c>
      <c r="AS31" s="72">
        <f t="shared" si="23"/>
        <v>305679.71122623025</v>
      </c>
      <c r="AT31" s="72">
        <f t="shared" si="24"/>
        <v>19154.304285173712</v>
      </c>
      <c r="AU31" s="78">
        <f t="shared" si="25"/>
        <v>1779.4782873628496</v>
      </c>
      <c r="AV31" s="79">
        <f t="shared" si="26"/>
        <v>9.9153281623949707E-2</v>
      </c>
      <c r="AW31" s="80">
        <f t="shared" si="27"/>
        <v>563.09443489052694</v>
      </c>
      <c r="AX31" s="81">
        <f t="shared" si="28"/>
        <v>1216.3838524723226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FRENCH CASEMENT WINDOW IN SHAPE</v>
      </c>
      <c r="D32" s="131" t="str">
        <f>Pricing!B28</f>
        <v>PD</v>
      </c>
      <c r="E32" s="132" t="str">
        <f>Pricing!N28</f>
        <v>24MM</v>
      </c>
      <c r="F32" s="68">
        <f>Pricing!G28</f>
        <v>1900</v>
      </c>
      <c r="G32" s="68">
        <f>Pricing!H28</f>
        <v>2130</v>
      </c>
      <c r="H32" s="100">
        <f t="shared" si="0"/>
        <v>4.0469999999999997</v>
      </c>
      <c r="I32" s="70">
        <f>Pricing!I28</f>
        <v>1</v>
      </c>
      <c r="J32" s="69">
        <f t="shared" si="30"/>
        <v>4.0469999999999997</v>
      </c>
      <c r="K32" s="71">
        <f t="shared" si="31"/>
        <v>43.561907999999995</v>
      </c>
      <c r="L32" s="69"/>
      <c r="M32" s="72"/>
      <c r="N32" s="72"/>
      <c r="O32" s="72">
        <f t="shared" si="3"/>
        <v>0</v>
      </c>
      <c r="P32" s="73">
        <f>Pricing!M28</f>
        <v>48827.24</v>
      </c>
      <c r="Q32" s="74">
        <f t="shared" si="4"/>
        <v>4882.7240000000002</v>
      </c>
      <c r="R32" s="74">
        <f t="shared" si="5"/>
        <v>5908.0960400000004</v>
      </c>
      <c r="S32" s="74">
        <f t="shared" si="6"/>
        <v>298.0903002</v>
      </c>
      <c r="T32" s="74">
        <f t="shared" si="7"/>
        <v>599.16150340199999</v>
      </c>
      <c r="U32" s="72">
        <f t="shared" si="8"/>
        <v>60515.311843601994</v>
      </c>
      <c r="V32" s="74">
        <f t="shared" si="9"/>
        <v>907.72967765402984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11890.085999999999</v>
      </c>
      <c r="AE32" s="76">
        <f t="shared" si="43"/>
        <v>660.65573770491801</v>
      </c>
      <c r="AF32" s="346">
        <f t="shared" si="44"/>
        <v>677.04</v>
      </c>
      <c r="AG32" s="347"/>
      <c r="AH32" s="76">
        <f t="shared" si="45"/>
        <v>24.18</v>
      </c>
      <c r="AI32" s="76">
        <f t="shared" si="64"/>
        <v>80.600000000000009</v>
      </c>
      <c r="AJ32" s="76">
        <f>J32*Pricing!Q28</f>
        <v>0</v>
      </c>
      <c r="AK32" s="76">
        <f>J32*Pricing!R28</f>
        <v>0</v>
      </c>
      <c r="AL32" s="76">
        <f t="shared" si="16"/>
        <v>4356.1907999999994</v>
      </c>
      <c r="AM32" s="77">
        <f t="shared" si="17"/>
        <v>0</v>
      </c>
      <c r="AN32" s="76">
        <f t="shared" si="18"/>
        <v>4356.1907999999994</v>
      </c>
      <c r="AO32" s="72">
        <f t="shared" si="19"/>
        <v>62865.517258960943</v>
      </c>
      <c r="AP32" s="74">
        <f t="shared" si="20"/>
        <v>78581.896573701175</v>
      </c>
      <c r="AQ32" s="74">
        <f t="shared" si="21"/>
        <v>0</v>
      </c>
      <c r="AR32" s="74">
        <f t="shared" si="22"/>
        <v>34951.177126924173</v>
      </c>
      <c r="AS32" s="72">
        <f t="shared" si="23"/>
        <v>162049.88143266214</v>
      </c>
      <c r="AT32" s="72">
        <f t="shared" si="24"/>
        <v>40041.977126924176</v>
      </c>
      <c r="AU32" s="78">
        <f t="shared" si="25"/>
        <v>3719.9904428580617</v>
      </c>
      <c r="AV32" s="79">
        <f t="shared" si="26"/>
        <v>2.514432982004439E-2</v>
      </c>
      <c r="AW32" s="80">
        <f t="shared" si="27"/>
        <v>1410.0172453707958</v>
      </c>
      <c r="AX32" s="81">
        <f t="shared" si="28"/>
        <v>2309.9731974872657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101.92080000000001</v>
      </c>
      <c r="I109" s="87">
        <f>SUM(I8:I108)</f>
        <v>68</v>
      </c>
      <c r="J109" s="88">
        <f>SUM(J8:J108)</f>
        <v>160.95080000000004</v>
      </c>
      <c r="K109" s="89">
        <f>SUM(K8:K108)</f>
        <v>1732.4744111999996</v>
      </c>
      <c r="L109" s="88">
        <f>SUM(L8:L8)</f>
        <v>0</v>
      </c>
      <c r="M109" s="88"/>
      <c r="N109" s="88"/>
      <c r="O109" s="88"/>
      <c r="P109" s="87">
        <f>SUM(P8:P108)</f>
        <v>1462981.2400000002</v>
      </c>
      <c r="Q109" s="88">
        <f t="shared" ref="Q109:AE109" si="156">SUM(Q8:Q108)</f>
        <v>146298.12399999998</v>
      </c>
      <c r="R109" s="88">
        <f t="shared" si="156"/>
        <v>177020.73003999999</v>
      </c>
      <c r="S109" s="88">
        <f t="shared" si="156"/>
        <v>8931.5004702000006</v>
      </c>
      <c r="T109" s="88">
        <f t="shared" si="156"/>
        <v>17952.315945102</v>
      </c>
      <c r="U109" s="88">
        <f t="shared" si="156"/>
        <v>1813183.9104553019</v>
      </c>
      <c r="V109" s="88">
        <f t="shared" si="156"/>
        <v>27197.758656829526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490789.54639999999</v>
      </c>
      <c r="AE109" s="88">
        <f t="shared" si="156"/>
        <v>30462.295081967211</v>
      </c>
      <c r="AF109" s="407">
        <f>SUM(AF8:AG108)</f>
        <v>31217.760000000002</v>
      </c>
      <c r="AG109" s="408"/>
      <c r="AH109" s="88">
        <f t="shared" ref="AH109:AQ109" si="157">SUM(AH8:AH108)</f>
        <v>1114.92</v>
      </c>
      <c r="AI109" s="88">
        <f t="shared" si="157"/>
        <v>3716.4</v>
      </c>
      <c r="AJ109" s="88">
        <f t="shared" ref="AJ109" si="158">SUM(AJ8:AJ108)</f>
        <v>11030.947199999999</v>
      </c>
      <c r="AK109" s="88">
        <f t="shared" si="157"/>
        <v>530665.19999999995</v>
      </c>
      <c r="AL109" s="88">
        <f t="shared" si="157"/>
        <v>173247.44111999994</v>
      </c>
      <c r="AM109" s="88">
        <f t="shared" si="157"/>
        <v>0</v>
      </c>
      <c r="AN109" s="88">
        <f t="shared" si="157"/>
        <v>173247.44111999994</v>
      </c>
      <c r="AO109" s="88">
        <f t="shared" si="157"/>
        <v>1906893.044194099</v>
      </c>
      <c r="AP109" s="88">
        <f t="shared" si="157"/>
        <v>2383616.3052426232</v>
      </c>
      <c r="AQ109" s="88">
        <f t="shared" si="157"/>
        <v>0</v>
      </c>
      <c r="AR109" s="88"/>
      <c r="AS109" s="87">
        <f>SUM(AS8:AS108)</f>
        <v>5669489.9252767228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31217.760000000002</v>
      </c>
      <c r="AW110" s="84"/>
    </row>
    <row r="111" spans="2:54">
      <c r="AF111" s="174"/>
      <c r="AG111" s="174"/>
      <c r="AH111" s="174">
        <f>SUM(AE109:AI109,AC109)</f>
        <v>66511.375081967213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Q10" sqref="Q1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2.28515625" style="122" customWidth="1"/>
    <col min="7" max="7" width="18.7109375" style="122" customWidth="1"/>
    <col min="8" max="8" width="42.71093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7"/>
      <c r="C6" s="448"/>
      <c r="D6" s="448"/>
      <c r="E6" s="448"/>
      <c r="F6" s="448"/>
      <c r="G6" s="448"/>
      <c r="H6" s="448"/>
      <c r="I6" s="448"/>
      <c r="J6" s="449"/>
      <c r="K6" s="454" t="s">
        <v>103</v>
      </c>
      <c r="L6" s="455"/>
      <c r="M6" s="450" t="str">
        <f>'BD Team'!J2</f>
        <v>ABPL-DE-19.20-2206</v>
      </c>
      <c r="N6" s="451"/>
    </row>
    <row r="7" spans="2:15" ht="24.95" customHeight="1">
      <c r="B7" s="430" t="s">
        <v>126</v>
      </c>
      <c r="C7" s="431"/>
      <c r="D7" s="431"/>
      <c r="E7" s="431"/>
      <c r="F7" s="459" t="str">
        <f>'BD Team'!E2</f>
        <v>Mr. Manu Wassan</v>
      </c>
      <c r="G7" s="459"/>
      <c r="H7" s="459"/>
      <c r="I7" s="459"/>
      <c r="J7" s="460"/>
      <c r="K7" s="439" t="s">
        <v>104</v>
      </c>
      <c r="L7" s="431"/>
      <c r="M7" s="436">
        <f>'BD Team'!J3</f>
        <v>43736</v>
      </c>
      <c r="N7" s="437"/>
    </row>
    <row r="8" spans="2:15" ht="24.95" customHeight="1">
      <c r="B8" s="430" t="s">
        <v>127</v>
      </c>
      <c r="C8" s="431"/>
      <c r="D8" s="431"/>
      <c r="E8" s="431"/>
      <c r="F8" s="215" t="str">
        <f>'BD Team'!E3</f>
        <v>Chennai</v>
      </c>
      <c r="G8" s="461" t="s">
        <v>179</v>
      </c>
      <c r="H8" s="462"/>
      <c r="I8" s="459" t="str">
        <f>'BD Team'!G3</f>
        <v>2.5Kpa</v>
      </c>
      <c r="J8" s="460"/>
      <c r="K8" s="439" t="s">
        <v>105</v>
      </c>
      <c r="L8" s="431"/>
      <c r="M8" s="178" t="s">
        <v>364</v>
      </c>
      <c r="N8" s="179">
        <v>43736</v>
      </c>
    </row>
    <row r="9" spans="2:15" ht="24.95" customHeight="1">
      <c r="B9" s="430" t="s">
        <v>168</v>
      </c>
      <c r="C9" s="431"/>
      <c r="D9" s="431"/>
      <c r="E9" s="431"/>
      <c r="F9" s="459" t="str">
        <f>'BD Team'!E4</f>
        <v>Mr. Raju Savasi : 9840355091</v>
      </c>
      <c r="G9" s="459"/>
      <c r="H9" s="459"/>
      <c r="I9" s="459"/>
      <c r="J9" s="460"/>
      <c r="K9" s="439" t="s">
        <v>178</v>
      </c>
      <c r="L9" s="431"/>
      <c r="M9" s="452" t="str">
        <f>'BD Team'!J4</f>
        <v>Pradeep</v>
      </c>
      <c r="N9" s="453"/>
    </row>
    <row r="10" spans="2:15" ht="27.75" customHeight="1" thickBot="1">
      <c r="B10" s="432" t="s">
        <v>176</v>
      </c>
      <c r="C10" s="433"/>
      <c r="D10" s="433"/>
      <c r="E10" s="433"/>
      <c r="F10" s="217" t="str">
        <f>'BD Team'!E5</f>
        <v>Wood Effect</v>
      </c>
      <c r="G10" s="444" t="s">
        <v>177</v>
      </c>
      <c r="H10" s="445"/>
      <c r="I10" s="442" t="str">
        <f>'BD Team'!G5</f>
        <v>Black</v>
      </c>
      <c r="J10" s="443"/>
      <c r="K10" s="440" t="s">
        <v>374</v>
      </c>
      <c r="L10" s="441"/>
      <c r="M10" s="434">
        <f>'BD Team'!J5</f>
        <v>0</v>
      </c>
      <c r="N10" s="435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3" t="s">
        <v>169</v>
      </c>
      <c r="C13" s="464"/>
      <c r="D13" s="438" t="s">
        <v>170</v>
      </c>
      <c r="E13" s="438" t="s">
        <v>171</v>
      </c>
      <c r="F13" s="438" t="s">
        <v>37</v>
      </c>
      <c r="G13" s="446" t="s">
        <v>63</v>
      </c>
      <c r="H13" s="446" t="s">
        <v>209</v>
      </c>
      <c r="I13" s="446" t="s">
        <v>208</v>
      </c>
      <c r="J13" s="465" t="s">
        <v>172</v>
      </c>
      <c r="K13" s="465" t="s">
        <v>173</v>
      </c>
      <c r="L13" s="464" t="s">
        <v>210</v>
      </c>
      <c r="M13" s="465" t="s">
        <v>174</v>
      </c>
      <c r="N13" s="466" t="s">
        <v>175</v>
      </c>
    </row>
    <row r="14" spans="2:15" s="94" customFormat="1" ht="18" customHeight="1" thickTop="1" thickBot="1">
      <c r="B14" s="463"/>
      <c r="C14" s="464"/>
      <c r="D14" s="438"/>
      <c r="E14" s="438"/>
      <c r="F14" s="438"/>
      <c r="G14" s="446"/>
      <c r="H14" s="446"/>
      <c r="I14" s="446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8"/>
      <c r="E15" s="438"/>
      <c r="F15" s="438"/>
      <c r="G15" s="446"/>
      <c r="H15" s="446"/>
      <c r="I15" s="446"/>
      <c r="J15" s="465"/>
      <c r="K15" s="465"/>
      <c r="L15" s="464"/>
      <c r="M15" s="465"/>
      <c r="N15" s="466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SD3</v>
      </c>
      <c r="E16" s="187" t="str">
        <f>Pricing!C4</f>
        <v>M14600</v>
      </c>
      <c r="F16" s="187" t="str">
        <f>Pricing!D4</f>
        <v>POCKET DOOR</v>
      </c>
      <c r="G16" s="187" t="str">
        <f>Pricing!N4</f>
        <v>24MM</v>
      </c>
      <c r="H16" s="187" t="str">
        <f>Pricing!F4</f>
        <v>FF - TULSI BALCONY</v>
      </c>
      <c r="I16" s="216" t="str">
        <f>Pricing!E4</f>
        <v>SS</v>
      </c>
      <c r="J16" s="216">
        <f>Pricing!G4</f>
        <v>1800</v>
      </c>
      <c r="K16" s="216">
        <f>Pricing!H4</f>
        <v>2400</v>
      </c>
      <c r="L16" s="216">
        <f>Pricing!I4</f>
        <v>1</v>
      </c>
      <c r="M16" s="188">
        <f t="shared" ref="M16:M24" si="0">J16*K16*L16/1000000</f>
        <v>4.32</v>
      </c>
      <c r="N16" s="189">
        <f>'Cost Calculation'!AS8</f>
        <v>160503.02082784093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SD2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</v>
      </c>
      <c r="H17" s="187" t="str">
        <f>Pricing!F5</f>
        <v>AV ROOM</v>
      </c>
      <c r="I17" s="216" t="str">
        <f>Pricing!E5</f>
        <v>SS</v>
      </c>
      <c r="J17" s="216">
        <f>Pricing!G5</f>
        <v>1890</v>
      </c>
      <c r="K17" s="216">
        <f>Pricing!H5</f>
        <v>2400</v>
      </c>
      <c r="L17" s="216">
        <f>Pricing!I5</f>
        <v>1</v>
      </c>
      <c r="M17" s="188">
        <f t="shared" si="0"/>
        <v>4.5359999999999996</v>
      </c>
      <c r="N17" s="189">
        <f>'Cost Calculation'!AS9</f>
        <v>162449.15733174558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FD1</v>
      </c>
      <c r="E18" s="187" t="str">
        <f>Pricing!C6</f>
        <v>M14600</v>
      </c>
      <c r="F18" s="187" t="str">
        <f>Pricing!D6</f>
        <v>3 TRACK 2 SHUTTER SLIDING DOOR WITH 2 FIXED</v>
      </c>
      <c r="G18" s="187" t="str">
        <f>Pricing!N6</f>
        <v>24MM</v>
      </c>
      <c r="H18" s="187" t="str">
        <f>Pricing!F6</f>
        <v>LIVING</v>
      </c>
      <c r="I18" s="216" t="str">
        <f>Pricing!E6</f>
        <v>SS</v>
      </c>
      <c r="J18" s="216">
        <f>Pricing!G6</f>
        <v>4850</v>
      </c>
      <c r="K18" s="216">
        <f>Pricing!H6</f>
        <v>2400</v>
      </c>
      <c r="L18" s="216">
        <f>Pricing!I6</f>
        <v>1</v>
      </c>
      <c r="M18" s="188">
        <f t="shared" si="0"/>
        <v>11.64</v>
      </c>
      <c r="N18" s="189">
        <f>'Cost Calculation'!AS10</f>
        <v>435788.20514846261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FD3</v>
      </c>
      <c r="E19" s="187" t="str">
        <f>Pricing!C7</f>
        <v>M15000</v>
      </c>
      <c r="F19" s="187" t="str">
        <f>Pricing!D7</f>
        <v>2 SIDE HUNG DOORS WITH CENTER FIXED</v>
      </c>
      <c r="G19" s="187" t="str">
        <f>Pricing!N7</f>
        <v>24MM</v>
      </c>
      <c r="H19" s="187" t="str">
        <f>Pricing!F7</f>
        <v>DINING</v>
      </c>
      <c r="I19" s="216" t="str">
        <f>Pricing!E7</f>
        <v>RETRACTABLE</v>
      </c>
      <c r="J19" s="216">
        <f>Pricing!G7</f>
        <v>3000</v>
      </c>
      <c r="K19" s="216">
        <f>Pricing!H7</f>
        <v>2200</v>
      </c>
      <c r="L19" s="216">
        <f>Pricing!I7</f>
        <v>1</v>
      </c>
      <c r="M19" s="188">
        <f t="shared" si="0"/>
        <v>6.6</v>
      </c>
      <c r="N19" s="189">
        <f>'Cost Calculation'!AS11</f>
        <v>193004.89284770086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FD2</v>
      </c>
      <c r="E20" s="187" t="str">
        <f>Pricing!C8</f>
        <v>M15000</v>
      </c>
      <c r="F20" s="187" t="str">
        <f>Pricing!D8</f>
        <v>FIXED GLASS 6 NO'S</v>
      </c>
      <c r="G20" s="187" t="str">
        <f>Pricing!N8</f>
        <v>24MM</v>
      </c>
      <c r="H20" s="187" t="str">
        <f>Pricing!F8</f>
        <v>LIVING</v>
      </c>
      <c r="I20" s="216" t="str">
        <f>Pricing!E8</f>
        <v>NO</v>
      </c>
      <c r="J20" s="216">
        <f>Pricing!G8</f>
        <v>4850</v>
      </c>
      <c r="K20" s="216">
        <f>Pricing!H8</f>
        <v>1900</v>
      </c>
      <c r="L20" s="216">
        <f>Pricing!I8</f>
        <v>1</v>
      </c>
      <c r="M20" s="188">
        <f t="shared" si="0"/>
        <v>9.2149999999999999</v>
      </c>
      <c r="N20" s="189">
        <f>'Cost Calculation'!AS12</f>
        <v>156062.66349094454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W1</v>
      </c>
      <c r="E21" s="187" t="str">
        <f>Pricing!C9</f>
        <v>M15000</v>
      </c>
      <c r="F21" s="187" t="str">
        <f>Pricing!D9</f>
        <v>SIDE HUNG WINDOW</v>
      </c>
      <c r="G21" s="187" t="str">
        <f>Pricing!N9</f>
        <v>24MM</v>
      </c>
      <c r="H21" s="187" t="str">
        <f>Pricing!F9</f>
        <v>MASTER BEDROOM</v>
      </c>
      <c r="I21" s="216" t="str">
        <f>Pricing!E9</f>
        <v>RETRACTABLE</v>
      </c>
      <c r="J21" s="216">
        <f>Pricing!G9</f>
        <v>800</v>
      </c>
      <c r="K21" s="216">
        <f>Pricing!H9</f>
        <v>1600</v>
      </c>
      <c r="L21" s="216">
        <f>Pricing!I9</f>
        <v>1</v>
      </c>
      <c r="M21" s="188">
        <f t="shared" si="0"/>
        <v>1.28</v>
      </c>
      <c r="N21" s="189">
        <f>'Cost Calculation'!AS13</f>
        <v>56293.683738593696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W2</v>
      </c>
      <c r="E22" s="187" t="str">
        <f>Pricing!C10</f>
        <v>M15000</v>
      </c>
      <c r="F22" s="187" t="str">
        <f>Pricing!D10</f>
        <v>FRENCH CASEMENT WINDOW</v>
      </c>
      <c r="G22" s="187" t="str">
        <f>Pricing!N10</f>
        <v>24MM</v>
      </c>
      <c r="H22" s="187" t="str">
        <f>Pricing!F10</f>
        <v>DEN, BEDROOM &amp; AV ROOM</v>
      </c>
      <c r="I22" s="216" t="str">
        <f>Pricing!E10</f>
        <v>RETRACTABLE</v>
      </c>
      <c r="J22" s="216">
        <f>Pricing!G10</f>
        <v>1600</v>
      </c>
      <c r="K22" s="216">
        <f>Pricing!H10</f>
        <v>1600</v>
      </c>
      <c r="L22" s="216">
        <f>Pricing!I10</f>
        <v>5</v>
      </c>
      <c r="M22" s="188">
        <f t="shared" si="0"/>
        <v>12.8</v>
      </c>
      <c r="N22" s="189">
        <f>'Cost Calculation'!AS14</f>
        <v>503459.63586723129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W3</v>
      </c>
      <c r="E23" s="187" t="str">
        <f>Pricing!C11</f>
        <v>M15000</v>
      </c>
      <c r="F23" s="187" t="str">
        <f>Pricing!D11</f>
        <v>FRENCH CASEMENT WINDOW</v>
      </c>
      <c r="G23" s="187" t="str">
        <f>Pricing!N11</f>
        <v>24MM</v>
      </c>
      <c r="H23" s="187" t="str">
        <f>Pricing!F11</f>
        <v>STUDY, ANTI SPACE, LOUNGE, DRESS &amp; MASSAGE ROOM</v>
      </c>
      <c r="I23" s="216" t="str">
        <f>Pricing!E11</f>
        <v>RETRACTABLE</v>
      </c>
      <c r="J23" s="216">
        <f>Pricing!G11</f>
        <v>1200</v>
      </c>
      <c r="K23" s="216">
        <f>Pricing!H11</f>
        <v>1600</v>
      </c>
      <c r="L23" s="216">
        <f>Pricing!I11</f>
        <v>7</v>
      </c>
      <c r="M23" s="188">
        <f t="shared" si="0"/>
        <v>13.44</v>
      </c>
      <c r="N23" s="189">
        <f>'Cost Calculation'!AS15</f>
        <v>623270.20876865869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FW1</v>
      </c>
      <c r="E24" s="187" t="str">
        <f>Pricing!C12</f>
        <v>M15000</v>
      </c>
      <c r="F24" s="187" t="str">
        <f>Pricing!D12</f>
        <v>FIXED GLASS</v>
      </c>
      <c r="G24" s="187" t="str">
        <f>Pricing!N12</f>
        <v>24MM</v>
      </c>
      <c r="H24" s="187" t="str">
        <f>Pricing!F12</f>
        <v>FLOOR LOBBY</v>
      </c>
      <c r="I24" s="216" t="str">
        <f>Pricing!E12</f>
        <v>NO</v>
      </c>
      <c r="J24" s="216">
        <f>Pricing!G12</f>
        <v>1200</v>
      </c>
      <c r="K24" s="216">
        <f>Pricing!H12</f>
        <v>2200</v>
      </c>
      <c r="L24" s="216">
        <f>Pricing!I12</f>
        <v>1</v>
      </c>
      <c r="M24" s="188">
        <f t="shared" si="0"/>
        <v>2.64</v>
      </c>
      <c r="N24" s="189">
        <f>'Cost Calculation'!AS16</f>
        <v>33470.760184471314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W4</v>
      </c>
      <c r="E25" s="187" t="str">
        <f>Pricing!C13</f>
        <v>M15000</v>
      </c>
      <c r="F25" s="187" t="str">
        <f>Pricing!D13</f>
        <v>2 FRENCH CASEMENT WINDOW</v>
      </c>
      <c r="G25" s="187" t="str">
        <f>Pricing!N13</f>
        <v>24MM</v>
      </c>
      <c r="H25" s="187" t="str">
        <f>Pricing!F13</f>
        <v>BED ROOM</v>
      </c>
      <c r="I25" s="216" t="str">
        <f>Pricing!E13</f>
        <v>RETRACTABLE</v>
      </c>
      <c r="J25" s="216">
        <f>Pricing!G13</f>
        <v>2400</v>
      </c>
      <c r="K25" s="216">
        <f>Pricing!H13</f>
        <v>1600</v>
      </c>
      <c r="L25" s="216">
        <f>Pricing!I13</f>
        <v>1</v>
      </c>
      <c r="M25" s="188">
        <f t="shared" ref="M25:M42" si="1">J25*K25*L25/1000000</f>
        <v>3.84</v>
      </c>
      <c r="N25" s="189">
        <f>'Cost Calculation'!AS17</f>
        <v>174873.99754299971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W5</v>
      </c>
      <c r="E26" s="187" t="str">
        <f>Pricing!C14</f>
        <v>M15000</v>
      </c>
      <c r="F26" s="187" t="str">
        <f>Pricing!D14</f>
        <v>FRENCH CASEMENT WINDOW</v>
      </c>
      <c r="G26" s="187" t="str">
        <f>Pricing!N14</f>
        <v>24MM</v>
      </c>
      <c r="H26" s="187" t="str">
        <f>Pricing!F14</f>
        <v>DRESS, MASTER BEDROOM &amp; TERRACE</v>
      </c>
      <c r="I26" s="216" t="str">
        <f>Pricing!E14</f>
        <v>RETRACTABLE</v>
      </c>
      <c r="J26" s="216">
        <f>Pricing!G14</f>
        <v>1000</v>
      </c>
      <c r="K26" s="216">
        <f>Pricing!H14</f>
        <v>1600</v>
      </c>
      <c r="L26" s="216">
        <f>Pricing!I14</f>
        <v>4</v>
      </c>
      <c r="M26" s="188">
        <f t="shared" si="1"/>
        <v>6.4</v>
      </c>
      <c r="N26" s="189">
        <f>'Cost Calculation'!AS18</f>
        <v>332852.45167469076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W6</v>
      </c>
      <c r="E27" s="187" t="str">
        <f>Pricing!C15</f>
        <v>M15000</v>
      </c>
      <c r="F27" s="187" t="str">
        <f>Pricing!D15</f>
        <v>FRENCH CASEMENT WINDOW</v>
      </c>
      <c r="G27" s="187" t="str">
        <f>Pricing!N15</f>
        <v>24MM</v>
      </c>
      <c r="H27" s="187" t="str">
        <f>Pricing!F15</f>
        <v>BEDROOM &amp; LAUNDRY</v>
      </c>
      <c r="I27" s="216" t="str">
        <f>Pricing!E15</f>
        <v>RETRACTABLE</v>
      </c>
      <c r="J27" s="216">
        <f>Pricing!G15</f>
        <v>1500</v>
      </c>
      <c r="K27" s="216">
        <f>Pricing!H15</f>
        <v>1600</v>
      </c>
      <c r="L27" s="216">
        <f>Pricing!I15</f>
        <v>3</v>
      </c>
      <c r="M27" s="188">
        <f t="shared" si="1"/>
        <v>7.2</v>
      </c>
      <c r="N27" s="189">
        <f>'Cost Calculation'!AS19</f>
        <v>293337.54901934939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FG</v>
      </c>
      <c r="E28" s="187" t="str">
        <f>Pricing!C16</f>
        <v>M15000</v>
      </c>
      <c r="F28" s="187" t="str">
        <f>Pricing!D16</f>
        <v>SIDE HUNG WINDOW WITH BOTTOM FIXED</v>
      </c>
      <c r="G28" s="187" t="str">
        <f>Pricing!N16</f>
        <v>24MM</v>
      </c>
      <c r="H28" s="187" t="str">
        <f>Pricing!F16</f>
        <v>DOUBLE HEIGHT AREA</v>
      </c>
      <c r="I28" s="216" t="str">
        <f>Pricing!E16</f>
        <v>RETRACTABLE</v>
      </c>
      <c r="J28" s="216">
        <f>Pricing!G16</f>
        <v>1100</v>
      </c>
      <c r="K28" s="216">
        <f>Pricing!H16</f>
        <v>2860</v>
      </c>
      <c r="L28" s="216">
        <f>Pricing!I16</f>
        <v>4</v>
      </c>
      <c r="M28" s="188">
        <f t="shared" si="1"/>
        <v>12.584</v>
      </c>
      <c r="N28" s="189">
        <f>'Cost Calculation'!AS20</f>
        <v>397594.28772465361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SW</v>
      </c>
      <c r="E29" s="187" t="str">
        <f>Pricing!C17</f>
        <v>M15000</v>
      </c>
      <c r="F29" s="187" t="str">
        <f>Pricing!D17</f>
        <v>FRENCH CASEMENT WINDOW</v>
      </c>
      <c r="G29" s="187" t="str">
        <f>Pricing!N17</f>
        <v>24MM</v>
      </c>
      <c r="H29" s="187" t="str">
        <f>Pricing!F17</f>
        <v>SERVANT ROOM</v>
      </c>
      <c r="I29" s="216" t="str">
        <f>Pricing!E17</f>
        <v>RETRACTABLE</v>
      </c>
      <c r="J29" s="216">
        <f>Pricing!G17</f>
        <v>1200</v>
      </c>
      <c r="K29" s="216">
        <f>Pricing!H17</f>
        <v>1200</v>
      </c>
      <c r="L29" s="216">
        <f>Pricing!I17</f>
        <v>1</v>
      </c>
      <c r="M29" s="188">
        <f t="shared" si="1"/>
        <v>1.44</v>
      </c>
      <c r="N29" s="189">
        <f>'Cost Calculation'!AS21</f>
        <v>73352.967586060855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FD4</v>
      </c>
      <c r="E30" s="187" t="str">
        <f>Pricing!C18</f>
        <v>M15000</v>
      </c>
      <c r="F30" s="187" t="str">
        <f>Pricing!D18</f>
        <v>2 SIDE HUNG DOORS WITH CENTER FIXED</v>
      </c>
      <c r="G30" s="187" t="str">
        <f>Pricing!N18</f>
        <v>32MM &amp; 24MM</v>
      </c>
      <c r="H30" s="187" t="str">
        <f>Pricing!F18</f>
        <v>MASTER BEDROOM</v>
      </c>
      <c r="I30" s="216" t="str">
        <f>Pricing!E18</f>
        <v>RETRACTABLE</v>
      </c>
      <c r="J30" s="216">
        <f>Pricing!G18</f>
        <v>4880</v>
      </c>
      <c r="K30" s="216">
        <f>Pricing!H18</f>
        <v>2200</v>
      </c>
      <c r="L30" s="216">
        <f>Pricing!I18</f>
        <v>1</v>
      </c>
      <c r="M30" s="188">
        <f t="shared" si="1"/>
        <v>10.736000000000001</v>
      </c>
      <c r="N30" s="189">
        <f>'Cost Calculation'!AS22</f>
        <v>272624.87968420435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KW1</v>
      </c>
      <c r="E31" s="187" t="str">
        <f>Pricing!C19</f>
        <v>M15000</v>
      </c>
      <c r="F31" s="187" t="str">
        <f>Pricing!D19</f>
        <v>FRENCH CASEMENT WINDOW</v>
      </c>
      <c r="G31" s="187" t="str">
        <f>Pricing!N19</f>
        <v>24MM</v>
      </c>
      <c r="H31" s="187" t="str">
        <f>Pricing!F19</f>
        <v>KITCHEN</v>
      </c>
      <c r="I31" s="216" t="str">
        <f>Pricing!E19</f>
        <v>RETRACTABLE</v>
      </c>
      <c r="J31" s="216">
        <f>Pricing!G19</f>
        <v>1000</v>
      </c>
      <c r="K31" s="216">
        <f>Pricing!H19</f>
        <v>1200</v>
      </c>
      <c r="L31" s="216">
        <f>Pricing!I19</f>
        <v>2</v>
      </c>
      <c r="M31" s="188">
        <f t="shared" si="1"/>
        <v>2.4</v>
      </c>
      <c r="N31" s="189">
        <f>'Cost Calculation'!AS23</f>
        <v>136902.83050413601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KW2</v>
      </c>
      <c r="E32" s="187" t="str">
        <f>Pricing!C20</f>
        <v>M15000</v>
      </c>
      <c r="F32" s="187" t="str">
        <f>Pricing!D20</f>
        <v>FRENCH CASEMENT WINDOW</v>
      </c>
      <c r="G32" s="187" t="str">
        <f>Pricing!N20</f>
        <v>24MM</v>
      </c>
      <c r="H32" s="187" t="str">
        <f>Pricing!F20</f>
        <v>KITCHEN</v>
      </c>
      <c r="I32" s="216" t="str">
        <f>Pricing!E20</f>
        <v>RETRACTABLE</v>
      </c>
      <c r="J32" s="216">
        <f>Pricing!G20</f>
        <v>1200</v>
      </c>
      <c r="K32" s="216">
        <f>Pricing!H20</f>
        <v>1200</v>
      </c>
      <c r="L32" s="216">
        <f>Pricing!I20</f>
        <v>1</v>
      </c>
      <c r="M32" s="188">
        <f t="shared" si="1"/>
        <v>1.44</v>
      </c>
      <c r="N32" s="189">
        <f>'Cost Calculation'!AS24</f>
        <v>73352.967586060855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GW</v>
      </c>
      <c r="E33" s="187" t="str">
        <f>Pricing!C21</f>
        <v>M15000</v>
      </c>
      <c r="F33" s="187" t="str">
        <f>Pricing!D21</f>
        <v>2 SIDE HUNG DOORS WITH CENTER FIXED</v>
      </c>
      <c r="G33" s="187" t="str">
        <f>Pricing!N21</f>
        <v>24MM</v>
      </c>
      <c r="H33" s="187" t="str">
        <f>Pricing!F21</f>
        <v>GYM AREA</v>
      </c>
      <c r="I33" s="216" t="str">
        <f>Pricing!E21</f>
        <v>RETRACTABLE</v>
      </c>
      <c r="J33" s="216">
        <f>Pricing!G21</f>
        <v>3000</v>
      </c>
      <c r="K33" s="216">
        <f>Pricing!H21</f>
        <v>1600</v>
      </c>
      <c r="L33" s="216">
        <f>Pricing!I21</f>
        <v>2</v>
      </c>
      <c r="M33" s="188">
        <f t="shared" si="1"/>
        <v>9.6</v>
      </c>
      <c r="N33" s="189">
        <f>'Cost Calculation'!AS25</f>
        <v>352246.92077246605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CW</v>
      </c>
      <c r="E34" s="187" t="str">
        <f>Pricing!C22</f>
        <v>M15000</v>
      </c>
      <c r="F34" s="187" t="str">
        <f>Pricing!D22</f>
        <v>2 SIDE HUNG DOORS WITH CORNOR FIXED</v>
      </c>
      <c r="G34" s="187" t="str">
        <f>Pricing!N22</f>
        <v>24MM</v>
      </c>
      <c r="H34" s="187" t="str">
        <f>Pricing!F22</f>
        <v>BEDROOM</v>
      </c>
      <c r="I34" s="216" t="str">
        <f>Pricing!E22</f>
        <v>RETRACTABLE</v>
      </c>
      <c r="J34" s="216">
        <f>Pricing!G22</f>
        <v>3220</v>
      </c>
      <c r="K34" s="216">
        <f>Pricing!H22</f>
        <v>1600</v>
      </c>
      <c r="L34" s="216">
        <f>Pricing!I22</f>
        <v>2</v>
      </c>
      <c r="M34" s="188">
        <f t="shared" si="1"/>
        <v>10.304</v>
      </c>
      <c r="N34" s="189">
        <f>'Cost Calculation'!AS26</f>
        <v>377355.84532953787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SW1</v>
      </c>
      <c r="E35" s="187" t="str">
        <f>Pricing!C23</f>
        <v>M15000</v>
      </c>
      <c r="F35" s="187" t="str">
        <f>Pricing!D23</f>
        <v>FIXED GLASS</v>
      </c>
      <c r="G35" s="187" t="str">
        <f>Pricing!N23</f>
        <v>24MM</v>
      </c>
      <c r="H35" s="187" t="str">
        <f>Pricing!F23</f>
        <v>STAIRCASE CORE</v>
      </c>
      <c r="I35" s="216" t="str">
        <f>Pricing!E23</f>
        <v>NO</v>
      </c>
      <c r="J35" s="216">
        <f>Pricing!G23</f>
        <v>500</v>
      </c>
      <c r="K35" s="216">
        <f>Pricing!H23</f>
        <v>500</v>
      </c>
      <c r="L35" s="216">
        <f>Pricing!I23</f>
        <v>13</v>
      </c>
      <c r="M35" s="188">
        <f t="shared" si="1"/>
        <v>3.25</v>
      </c>
      <c r="N35" s="189">
        <f>'Cost Calculation'!AS27</f>
        <v>106205.64443304643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V1</v>
      </c>
      <c r="E36" s="187" t="str">
        <f>Pricing!C24</f>
        <v>M15000</v>
      </c>
      <c r="F36" s="187" t="str">
        <f>Pricing!D24</f>
        <v>TOP HUNG WINDOW</v>
      </c>
      <c r="G36" s="187" t="str">
        <f>Pricing!N24</f>
        <v>24MM (F)</v>
      </c>
      <c r="H36" s="187" t="str">
        <f>Pricing!F24</f>
        <v>BATH &amp; BOX ROOM</v>
      </c>
      <c r="I36" s="216" t="str">
        <f>Pricing!E24</f>
        <v>NO</v>
      </c>
      <c r="J36" s="216">
        <f>Pricing!G24</f>
        <v>800</v>
      </c>
      <c r="K36" s="216">
        <f>Pricing!H24</f>
        <v>600</v>
      </c>
      <c r="L36" s="216">
        <f>Pricing!I24</f>
        <v>5</v>
      </c>
      <c r="M36" s="188">
        <f t="shared" si="1"/>
        <v>2.4</v>
      </c>
      <c r="N36" s="189">
        <f>'Cost Calculation'!AS28</f>
        <v>152781.53737768973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V2</v>
      </c>
      <c r="E37" s="187" t="str">
        <f>Pricing!C25</f>
        <v>M15000</v>
      </c>
      <c r="F37" s="187" t="str">
        <f>Pricing!D25</f>
        <v>TOP HUNG WINDOW</v>
      </c>
      <c r="G37" s="187" t="str">
        <f>Pricing!N25</f>
        <v>24MM (F)</v>
      </c>
      <c r="H37" s="187" t="str">
        <f>Pricing!F25</f>
        <v>BATH &amp; PUMP ROOM</v>
      </c>
      <c r="I37" s="216" t="str">
        <f>Pricing!E25</f>
        <v>NO</v>
      </c>
      <c r="J37" s="216">
        <f>Pricing!G25</f>
        <v>600</v>
      </c>
      <c r="K37" s="216">
        <f>Pricing!H25</f>
        <v>600</v>
      </c>
      <c r="L37" s="216">
        <f>Pricing!I25</f>
        <v>3</v>
      </c>
      <c r="M37" s="188">
        <f t="shared" si="1"/>
        <v>1.08</v>
      </c>
      <c r="N37" s="189">
        <f>'Cost Calculation'!AS29</f>
        <v>83043.994874325741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FV</v>
      </c>
      <c r="E38" s="187" t="str">
        <f>Pricing!C26</f>
        <v>M15000</v>
      </c>
      <c r="F38" s="187" t="str">
        <f>Pricing!D26</f>
        <v>FIXED GLASS</v>
      </c>
      <c r="G38" s="187" t="str">
        <f>Pricing!N26</f>
        <v>24MM (F)</v>
      </c>
      <c r="H38" s="187" t="str">
        <f>Pricing!F26</f>
        <v>POWDER BATH &amp; DRESS</v>
      </c>
      <c r="I38" s="216" t="str">
        <f>Pricing!E26</f>
        <v>NO</v>
      </c>
      <c r="J38" s="216">
        <f>Pricing!G26</f>
        <v>600</v>
      </c>
      <c r="K38" s="216">
        <f>Pricing!H26</f>
        <v>600</v>
      </c>
      <c r="L38" s="216">
        <f>Pricing!I26</f>
        <v>5</v>
      </c>
      <c r="M38" s="188">
        <f t="shared" si="1"/>
        <v>1.8</v>
      </c>
      <c r="N38" s="189">
        <f>'Cost Calculation'!AS30</f>
        <v>50932.230302958822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FG1</v>
      </c>
      <c r="E39" s="187" t="str">
        <f>Pricing!C27</f>
        <v>M15000</v>
      </c>
      <c r="F39" s="187" t="str">
        <f>Pricing!D27</f>
        <v>FIXED GLASS 6 NO'S</v>
      </c>
      <c r="G39" s="187" t="str">
        <f>Pricing!N27</f>
        <v>24MM</v>
      </c>
      <c r="H39" s="187" t="str">
        <f>Pricing!F27</f>
        <v>BEDROOM</v>
      </c>
      <c r="I39" s="216" t="str">
        <f>Pricing!E27</f>
        <v>NO</v>
      </c>
      <c r="J39" s="216">
        <f>Pricing!G27</f>
        <v>5580</v>
      </c>
      <c r="K39" s="216">
        <f>Pricing!H27</f>
        <v>2860</v>
      </c>
      <c r="L39" s="216">
        <f>Pricing!I27</f>
        <v>1</v>
      </c>
      <c r="M39" s="188">
        <f t="shared" si="1"/>
        <v>15.9588</v>
      </c>
      <c r="N39" s="189">
        <f>'Cost Calculation'!AS31</f>
        <v>305679.71122623025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PD</v>
      </c>
      <c r="E40" s="187" t="str">
        <f>Pricing!C28</f>
        <v>M15000</v>
      </c>
      <c r="F40" s="187" t="str">
        <f>Pricing!D28</f>
        <v>FRENCH CASEMENT WINDOW IN SHAPE</v>
      </c>
      <c r="G40" s="187" t="str">
        <f>Pricing!N28</f>
        <v>24MM</v>
      </c>
      <c r="H40" s="187" t="str">
        <f>Pricing!F28</f>
        <v>PANEL ROOM DOOR</v>
      </c>
      <c r="I40" s="216" t="str">
        <f>Pricing!E28</f>
        <v>NO</v>
      </c>
      <c r="J40" s="216">
        <f>Pricing!G28</f>
        <v>1900</v>
      </c>
      <c r="K40" s="216">
        <f>Pricing!H28</f>
        <v>2130</v>
      </c>
      <c r="L40" s="216">
        <f>Pricing!I28</f>
        <v>1</v>
      </c>
      <c r="M40" s="188">
        <f t="shared" si="1"/>
        <v>4.0469999999999997</v>
      </c>
      <c r="N40" s="189">
        <f>'Cost Calculation'!AS32</f>
        <v>162049.88143266214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4"/>
      <c r="C116" s="425"/>
      <c r="D116" s="425"/>
      <c r="E116" s="425"/>
      <c r="F116" s="425"/>
      <c r="G116" s="425"/>
      <c r="H116" s="425"/>
      <c r="I116" s="425"/>
      <c r="J116" s="425"/>
      <c r="K116" s="426"/>
      <c r="L116" s="190">
        <f>SUM(L16:L115)</f>
        <v>68</v>
      </c>
      <c r="M116" s="191">
        <f>SUM(M16:M115)</f>
        <v>160.95080000000004</v>
      </c>
      <c r="N116" s="186"/>
      <c r="O116" s="95"/>
    </row>
    <row r="117" spans="2:15" s="94" customFormat="1" ht="30" customHeight="1" thickTop="1" thickBot="1">
      <c r="B117" s="427" t="s">
        <v>180</v>
      </c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9"/>
      <c r="N117" s="192">
        <f>ROUND(SUM(N16:N115),0.1)</f>
        <v>5669490</v>
      </c>
      <c r="O117" s="95">
        <f>N117/SUM(M116)</f>
        <v>35224.988008757944</v>
      </c>
    </row>
    <row r="118" spans="2:15" s="94" customFormat="1" ht="30" customHeight="1" thickTop="1" thickBot="1">
      <c r="B118" s="427" t="s">
        <v>111</v>
      </c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9"/>
      <c r="N118" s="192">
        <f>ROUND(N117*18%,0.1)</f>
        <v>1020508</v>
      </c>
      <c r="O118" s="95">
        <f>N118/SUM(M116)</f>
        <v>6340.4965989606744</v>
      </c>
    </row>
    <row r="119" spans="2:15" s="94" customFormat="1" ht="30" customHeight="1" thickTop="1" thickBot="1">
      <c r="B119" s="427" t="s">
        <v>181</v>
      </c>
      <c r="C119" s="428"/>
      <c r="D119" s="428"/>
      <c r="E119" s="428"/>
      <c r="F119" s="428"/>
      <c r="G119" s="428"/>
      <c r="H119" s="428"/>
      <c r="I119" s="428"/>
      <c r="J119" s="428"/>
      <c r="K119" s="428"/>
      <c r="L119" s="428"/>
      <c r="M119" s="429"/>
      <c r="N119" s="192">
        <f>ROUND(SUM(N117:N118),0.1)</f>
        <v>6689998</v>
      </c>
      <c r="O119" s="95">
        <f>N119/SUM(M116)</f>
        <v>41565.484607718623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3272.4812345557361</v>
      </c>
    </row>
    <row r="121" spans="2:15" s="139" customFormat="1" ht="30" customHeight="1" thickTop="1">
      <c r="B121" s="456" t="s">
        <v>236</v>
      </c>
      <c r="C121" s="457"/>
      <c r="D121" s="457"/>
      <c r="E121" s="457"/>
      <c r="F121" s="457"/>
      <c r="G121" s="457"/>
      <c r="H121" s="457"/>
      <c r="I121" s="457"/>
      <c r="J121" s="457"/>
      <c r="K121" s="457"/>
      <c r="L121" s="457"/>
      <c r="M121" s="457"/>
      <c r="N121" s="458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139" customFormat="1" ht="30" customHeight="1">
      <c r="B123" s="421" t="s">
        <v>206</v>
      </c>
      <c r="C123" s="422"/>
      <c r="D123" s="422"/>
      <c r="E123" s="422"/>
      <c r="F123" s="422"/>
      <c r="G123" s="422"/>
      <c r="H123" s="422"/>
      <c r="I123" s="422"/>
      <c r="J123" s="422"/>
      <c r="K123" s="422"/>
      <c r="L123" s="422"/>
      <c r="M123" s="422"/>
      <c r="N123" s="423"/>
      <c r="O123" s="138"/>
    </row>
    <row r="124" spans="2:15" s="93" customFormat="1" ht="24.95" customHeight="1">
      <c r="B124" s="410">
        <v>1</v>
      </c>
      <c r="C124" s="411"/>
      <c r="D124" s="412" t="s">
        <v>373</v>
      </c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</row>
    <row r="125" spans="2:15" s="93" customFormat="1" ht="24.95" customHeight="1">
      <c r="B125" s="410">
        <v>2</v>
      </c>
      <c r="C125" s="411"/>
      <c r="D125" s="412" t="s">
        <v>495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3</v>
      </c>
      <c r="C126" s="411"/>
      <c r="D126" s="412" t="s">
        <v>496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139" customFormat="1" ht="30" customHeight="1">
      <c r="B127" s="421" t="s">
        <v>140</v>
      </c>
      <c r="C127" s="422"/>
      <c r="D127" s="422"/>
      <c r="E127" s="422"/>
      <c r="F127" s="422"/>
      <c r="G127" s="422"/>
      <c r="H127" s="422"/>
      <c r="I127" s="422"/>
      <c r="J127" s="422"/>
      <c r="K127" s="422"/>
      <c r="L127" s="422"/>
      <c r="M127" s="422"/>
      <c r="N127" s="423"/>
      <c r="O127" s="138"/>
    </row>
    <row r="128" spans="2:15" s="93" customFormat="1" ht="24.95" customHeight="1">
      <c r="B128" s="410">
        <v>1</v>
      </c>
      <c r="C128" s="411"/>
      <c r="D128" s="412" t="s">
        <v>363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2</v>
      </c>
      <c r="C129" s="411"/>
      <c r="D129" s="412" t="s">
        <v>389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3</v>
      </c>
      <c r="C130" s="411"/>
      <c r="D130" s="414" t="s">
        <v>404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0">
        <v>4</v>
      </c>
      <c r="C131" s="411"/>
      <c r="D131" s="414" t="s">
        <v>405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139" customFormat="1" ht="30" customHeight="1">
      <c r="B132" s="418" t="s">
        <v>141</v>
      </c>
      <c r="C132" s="419"/>
      <c r="D132" s="419"/>
      <c r="E132" s="419"/>
      <c r="F132" s="419"/>
      <c r="G132" s="419"/>
      <c r="H132" s="419"/>
      <c r="I132" s="419"/>
      <c r="J132" s="419"/>
      <c r="K132" s="419"/>
      <c r="L132" s="419"/>
      <c r="M132" s="419"/>
      <c r="N132" s="420"/>
    </row>
    <row r="133" spans="2:14" s="93" customFormat="1" ht="24.95" customHeight="1">
      <c r="B133" s="410">
        <v>1</v>
      </c>
      <c r="C133" s="411"/>
      <c r="D133" s="412" t="s">
        <v>142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2</v>
      </c>
      <c r="C134" s="411"/>
      <c r="D134" s="412" t="s">
        <v>423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3</v>
      </c>
      <c r="C135" s="411"/>
      <c r="D135" s="412" t="s">
        <v>143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4</v>
      </c>
      <c r="C136" s="411"/>
      <c r="D136" s="412" t="s">
        <v>144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139" customFormat="1" ht="30" customHeight="1">
      <c r="B137" s="418" t="s">
        <v>145</v>
      </c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19"/>
      <c r="N137" s="420"/>
    </row>
    <row r="138" spans="2:14" s="139" customFormat="1" ht="30" customHeight="1">
      <c r="B138" s="508" t="s">
        <v>146</v>
      </c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10"/>
    </row>
    <row r="139" spans="2:14" s="93" customFormat="1" ht="24.95" customHeight="1">
      <c r="B139" s="410">
        <v>1</v>
      </c>
      <c r="C139" s="411"/>
      <c r="D139" s="412" t="s">
        <v>147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2</v>
      </c>
      <c r="C140" s="411"/>
      <c r="D140" s="412" t="s">
        <v>401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3</v>
      </c>
      <c r="C141" s="411"/>
      <c r="D141" s="412" t="s">
        <v>148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4</v>
      </c>
      <c r="C142" s="411"/>
      <c r="D142" s="412" t="s">
        <v>149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5</v>
      </c>
      <c r="C143" s="411"/>
      <c r="D143" s="412" t="s">
        <v>150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24.95" customHeight="1">
      <c r="B144" s="410">
        <v>6</v>
      </c>
      <c r="C144" s="411"/>
      <c r="D144" s="412" t="s">
        <v>151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140" customFormat="1" ht="30" customHeight="1">
      <c r="B145" s="418" t="s">
        <v>152</v>
      </c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20"/>
    </row>
    <row r="146" spans="2:14" s="93" customFormat="1" ht="24.95" customHeight="1">
      <c r="B146" s="410">
        <v>1</v>
      </c>
      <c r="C146" s="411"/>
      <c r="D146" s="412" t="s">
        <v>153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135" customHeight="1">
      <c r="B147" s="410">
        <v>2</v>
      </c>
      <c r="C147" s="411"/>
      <c r="D147" s="496" t="s">
        <v>421</v>
      </c>
      <c r="E147" s="497"/>
      <c r="F147" s="497"/>
      <c r="G147" s="497"/>
      <c r="H147" s="497"/>
      <c r="I147" s="497"/>
      <c r="J147" s="497"/>
      <c r="K147" s="497"/>
      <c r="L147" s="497"/>
      <c r="M147" s="497"/>
      <c r="N147" s="498"/>
    </row>
    <row r="148" spans="2:14" s="93" customFormat="1" ht="24.95" customHeight="1">
      <c r="B148" s="410">
        <v>3</v>
      </c>
      <c r="C148" s="411"/>
      <c r="D148" s="412" t="s">
        <v>154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24.95" customHeight="1">
      <c r="B149" s="410">
        <v>4</v>
      </c>
      <c r="C149" s="411"/>
      <c r="D149" s="412" t="s">
        <v>155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140" customFormat="1" ht="30" customHeight="1">
      <c r="B150" s="418" t="s">
        <v>156</v>
      </c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20"/>
    </row>
    <row r="151" spans="2:14" s="93" customFormat="1" ht="24.95" customHeight="1">
      <c r="B151" s="410">
        <v>1</v>
      </c>
      <c r="C151" s="411"/>
      <c r="D151" s="412" t="s">
        <v>157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93" customFormat="1" ht="55.9" customHeight="1">
      <c r="B152" s="410">
        <v>2</v>
      </c>
      <c r="C152" s="411"/>
      <c r="D152" s="496" t="s">
        <v>158</v>
      </c>
      <c r="E152" s="497"/>
      <c r="F152" s="497"/>
      <c r="G152" s="497"/>
      <c r="H152" s="497"/>
      <c r="I152" s="497"/>
      <c r="J152" s="497"/>
      <c r="K152" s="497"/>
      <c r="L152" s="497"/>
      <c r="M152" s="497"/>
      <c r="N152" s="498"/>
    </row>
    <row r="153" spans="2:14" s="140" customFormat="1" ht="30" customHeight="1">
      <c r="B153" s="418" t="s">
        <v>159</v>
      </c>
      <c r="C153" s="419"/>
      <c r="D153" s="419"/>
      <c r="E153" s="419"/>
      <c r="F153" s="419"/>
      <c r="G153" s="419"/>
      <c r="H153" s="419"/>
      <c r="I153" s="419"/>
      <c r="J153" s="419"/>
      <c r="K153" s="419"/>
      <c r="L153" s="419"/>
      <c r="M153" s="419"/>
      <c r="N153" s="420"/>
    </row>
    <row r="154" spans="2:14" s="93" customFormat="1" ht="24.95" customHeight="1">
      <c r="B154" s="410">
        <v>1</v>
      </c>
      <c r="C154" s="411"/>
      <c r="D154" s="473" t="s">
        <v>160</v>
      </c>
      <c r="E154" s="473"/>
      <c r="F154" s="473"/>
      <c r="G154" s="473"/>
      <c r="H154" s="473"/>
      <c r="I154" s="473"/>
      <c r="J154" s="473"/>
      <c r="K154" s="473"/>
      <c r="L154" s="473"/>
      <c r="M154" s="473"/>
      <c r="N154" s="474"/>
    </row>
    <row r="155" spans="2:14" s="93" customFormat="1" ht="24.95" customHeight="1">
      <c r="B155" s="410">
        <v>2</v>
      </c>
      <c r="C155" s="411"/>
      <c r="D155" s="473" t="s">
        <v>161</v>
      </c>
      <c r="E155" s="473"/>
      <c r="F155" s="473"/>
      <c r="G155" s="473"/>
      <c r="H155" s="473"/>
      <c r="I155" s="473"/>
      <c r="J155" s="473"/>
      <c r="K155" s="473"/>
      <c r="L155" s="473"/>
      <c r="M155" s="473"/>
      <c r="N155" s="474"/>
    </row>
    <row r="156" spans="2:14" s="93" customFormat="1" ht="49.9" customHeight="1">
      <c r="B156" s="410">
        <v>3</v>
      </c>
      <c r="C156" s="411"/>
      <c r="D156" s="493" t="s">
        <v>162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0">
        <v>4</v>
      </c>
      <c r="C157" s="411"/>
      <c r="D157" s="473" t="s">
        <v>163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140" customFormat="1" ht="30" customHeight="1">
      <c r="B158" s="418" t="s">
        <v>164</v>
      </c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19"/>
      <c r="N158" s="420"/>
    </row>
    <row r="159" spans="2:14" s="93" customFormat="1" ht="24.95" customHeight="1">
      <c r="B159" s="410">
        <v>1</v>
      </c>
      <c r="C159" s="411"/>
      <c r="D159" s="473" t="s">
        <v>165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10">
        <v>2</v>
      </c>
      <c r="C160" s="411"/>
      <c r="D160" s="473" t="s">
        <v>166</v>
      </c>
      <c r="E160" s="473"/>
      <c r="F160" s="473"/>
      <c r="G160" s="473"/>
      <c r="H160" s="473"/>
      <c r="I160" s="473"/>
      <c r="J160" s="473"/>
      <c r="K160" s="473"/>
      <c r="L160" s="473"/>
      <c r="M160" s="473"/>
      <c r="N160" s="474"/>
    </row>
    <row r="161" spans="2:14" s="93" customFormat="1" ht="24.95" customHeight="1">
      <c r="B161" s="410">
        <v>3</v>
      </c>
      <c r="C161" s="411"/>
      <c r="D161" s="473" t="s">
        <v>167</v>
      </c>
      <c r="E161" s="473"/>
      <c r="F161" s="473"/>
      <c r="G161" s="473"/>
      <c r="H161" s="473"/>
      <c r="I161" s="473"/>
      <c r="J161" s="473"/>
      <c r="K161" s="473"/>
      <c r="L161" s="473"/>
      <c r="M161" s="473"/>
      <c r="N161" s="474"/>
    </row>
    <row r="162" spans="2:14" s="93" customFormat="1" ht="24.95" customHeight="1">
      <c r="B162" s="410">
        <v>4</v>
      </c>
      <c r="C162" s="411"/>
      <c r="D162" s="473" t="s">
        <v>422</v>
      </c>
      <c r="E162" s="473"/>
      <c r="F162" s="473"/>
      <c r="G162" s="473"/>
      <c r="H162" s="473"/>
      <c r="I162" s="473"/>
      <c r="J162" s="473"/>
      <c r="K162" s="473"/>
      <c r="L162" s="473"/>
      <c r="M162" s="473"/>
      <c r="N162" s="474"/>
    </row>
    <row r="163" spans="2:14" s="93" customFormat="1" ht="24.95" customHeight="1">
      <c r="B163" s="490" t="s">
        <v>239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90" t="s">
        <v>240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1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</row>
    <row r="166" spans="2:14" s="93" customFormat="1" ht="39.950000000000003" customHeight="1">
      <c r="B166" s="484"/>
      <c r="C166" s="485"/>
      <c r="D166" s="485"/>
      <c r="E166" s="485"/>
      <c r="F166" s="485"/>
      <c r="G166" s="485"/>
      <c r="H166" s="485"/>
      <c r="I166" s="485"/>
      <c r="J166" s="485"/>
      <c r="K166" s="485"/>
      <c r="L166" s="485"/>
      <c r="M166" s="485"/>
      <c r="N166" s="486"/>
    </row>
    <row r="167" spans="2:14" s="93" customFormat="1" ht="41.25" customHeight="1">
      <c r="B167" s="484"/>
      <c r="C167" s="485"/>
      <c r="D167" s="485"/>
      <c r="E167" s="485"/>
      <c r="F167" s="485"/>
      <c r="G167" s="485"/>
      <c r="H167" s="485"/>
      <c r="I167" s="485"/>
      <c r="J167" s="485"/>
      <c r="K167" s="485"/>
      <c r="L167" s="485"/>
      <c r="M167" s="485"/>
      <c r="N167" s="486"/>
    </row>
    <row r="168" spans="2:14" s="93" customFormat="1" ht="39.950000000000003" customHeight="1" thickBot="1">
      <c r="B168" s="487"/>
      <c r="C168" s="488"/>
      <c r="D168" s="488"/>
      <c r="E168" s="488"/>
      <c r="F168" s="488"/>
      <c r="G168" s="488"/>
      <c r="H168" s="488"/>
      <c r="I168" s="488"/>
      <c r="J168" s="488"/>
      <c r="K168" s="488"/>
      <c r="L168" s="488"/>
      <c r="M168" s="488"/>
      <c r="N168" s="489"/>
    </row>
    <row r="169" spans="2:14" s="93" customFormat="1" ht="30" customHeight="1" thickTop="1">
      <c r="B169" s="469" t="s">
        <v>110</v>
      </c>
      <c r="C169" s="470"/>
      <c r="D169" s="470"/>
      <c r="E169" s="475"/>
      <c r="F169" s="476"/>
      <c r="G169" s="476"/>
      <c r="H169" s="476"/>
      <c r="I169" s="476"/>
      <c r="J169" s="476"/>
      <c r="K169" s="476"/>
      <c r="L169" s="477"/>
      <c r="M169" s="470" t="s">
        <v>204</v>
      </c>
      <c r="N169" s="471"/>
    </row>
    <row r="170" spans="2:14" s="93" customFormat="1" ht="33" customHeight="1" thickBot="1">
      <c r="B170" s="472" t="s">
        <v>107</v>
      </c>
      <c r="C170" s="467"/>
      <c r="D170" s="467"/>
      <c r="E170" s="478"/>
      <c r="F170" s="479"/>
      <c r="G170" s="479"/>
      <c r="H170" s="479"/>
      <c r="I170" s="479"/>
      <c r="J170" s="479"/>
      <c r="K170" s="479"/>
      <c r="L170" s="480"/>
      <c r="M170" s="467" t="s">
        <v>108</v>
      </c>
      <c r="N170" s="468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4:N124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124:C124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8:C128"/>
    <mergeCell ref="D128:N128"/>
    <mergeCell ref="B131:C131"/>
    <mergeCell ref="D131:N131"/>
    <mergeCell ref="B136:C136"/>
    <mergeCell ref="D136:N136"/>
    <mergeCell ref="B133:C133"/>
    <mergeCell ref="D133:N133"/>
    <mergeCell ref="B43:C43"/>
    <mergeCell ref="B44:C44"/>
    <mergeCell ref="B45:C45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9:C139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134:C134"/>
    <mergeCell ref="D134:N134"/>
    <mergeCell ref="B129:C129"/>
    <mergeCell ref="D129:N129"/>
    <mergeCell ref="B130:C130"/>
    <mergeCell ref="D130:N130"/>
    <mergeCell ref="B20:C20"/>
    <mergeCell ref="B21:C21"/>
    <mergeCell ref="B22:C22"/>
    <mergeCell ref="B23:C23"/>
    <mergeCell ref="B41:C41"/>
    <mergeCell ref="B42:C42"/>
    <mergeCell ref="B132:N132"/>
    <mergeCell ref="B127:N127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43736</v>
      </c>
      <c r="F2" s="515" t="s">
        <v>244</v>
      </c>
      <c r="G2" s="515"/>
    </row>
    <row r="3" spans="3:13">
      <c r="C3" s="297" t="s">
        <v>126</v>
      </c>
      <c r="D3" s="516" t="str">
        <f>QUOTATION!F7</f>
        <v>Mr. Manu Wassan</v>
      </c>
      <c r="E3" s="516"/>
      <c r="F3" s="519" t="s">
        <v>245</v>
      </c>
      <c r="G3" s="520">
        <f>QUOTATION!N8</f>
        <v>43736</v>
      </c>
    </row>
    <row r="4" spans="3:13">
      <c r="C4" s="297" t="s">
        <v>242</v>
      </c>
      <c r="D4" s="517" t="str">
        <f>QUOTATION!M6</f>
        <v>ABPL-DE-19.20-2206</v>
      </c>
      <c r="E4" s="517"/>
      <c r="F4" s="519"/>
      <c r="G4" s="521"/>
    </row>
    <row r="5" spans="3:13">
      <c r="C5" s="297" t="s">
        <v>127</v>
      </c>
      <c r="D5" s="516" t="str">
        <f>QUOTATION!F8</f>
        <v>Chennai</v>
      </c>
      <c r="E5" s="516"/>
      <c r="F5" s="519"/>
      <c r="G5" s="521"/>
    </row>
    <row r="6" spans="3:13">
      <c r="C6" s="297" t="s">
        <v>168</v>
      </c>
      <c r="D6" s="516" t="str">
        <f>QUOTATION!F9</f>
        <v>Mr. Raju Savasi : 9840355091</v>
      </c>
      <c r="E6" s="516"/>
      <c r="F6" s="519"/>
      <c r="G6" s="521"/>
    </row>
    <row r="7" spans="3:13">
      <c r="C7" s="297" t="s">
        <v>376</v>
      </c>
      <c r="D7" s="516">
        <f>QUOTATION!M10</f>
        <v>0</v>
      </c>
      <c r="E7" s="516"/>
      <c r="F7" s="519"/>
      <c r="G7" s="521"/>
    </row>
    <row r="8" spans="3:13">
      <c r="C8" s="297" t="s">
        <v>176</v>
      </c>
      <c r="D8" s="516" t="str">
        <f>QUOTATION!F10</f>
        <v>Wood Effect</v>
      </c>
      <c r="E8" s="516"/>
      <c r="F8" s="519"/>
      <c r="G8" s="521"/>
    </row>
    <row r="9" spans="3:13">
      <c r="C9" s="297" t="s">
        <v>177</v>
      </c>
      <c r="D9" s="516" t="str">
        <f>QUOTATION!I10</f>
        <v>Black</v>
      </c>
      <c r="E9" s="516"/>
      <c r="F9" s="519"/>
      <c r="G9" s="521"/>
    </row>
    <row r="10" spans="3:13">
      <c r="C10" s="297" t="s">
        <v>179</v>
      </c>
      <c r="D10" s="516" t="str">
        <f>QUOTATION!I8</f>
        <v>2.5Kpa</v>
      </c>
      <c r="E10" s="516"/>
      <c r="F10" s="519"/>
      <c r="G10" s="521"/>
    </row>
    <row r="11" spans="3:13">
      <c r="C11" s="297" t="s">
        <v>241</v>
      </c>
      <c r="D11" s="516" t="str">
        <f>QUOTATION!M9</f>
        <v>Pradeep</v>
      </c>
      <c r="E11" s="516"/>
      <c r="F11" s="519"/>
      <c r="G11" s="521"/>
    </row>
    <row r="12" spans="3:13">
      <c r="C12" s="297" t="s">
        <v>243</v>
      </c>
      <c r="D12" s="518">
        <f>QUOTATION!M7</f>
        <v>43736</v>
      </c>
      <c r="E12" s="518"/>
      <c r="F12" s="519"/>
      <c r="G12" s="522"/>
    </row>
    <row r="13" spans="3:13">
      <c r="C13" s="193" t="s">
        <v>235</v>
      </c>
      <c r="D13" s="511" t="s">
        <v>231</v>
      </c>
      <c r="E13" s="512"/>
      <c r="F13" s="513" t="s">
        <v>232</v>
      </c>
      <c r="G13" s="514"/>
    </row>
    <row r="14" spans="3:13">
      <c r="C14" s="194" t="s">
        <v>233</v>
      </c>
      <c r="D14" s="296"/>
      <c r="E14" s="244">
        <f>Pricing!L104</f>
        <v>17626.279999999995</v>
      </c>
      <c r="F14" s="205"/>
      <c r="G14" s="206">
        <f>E14</f>
        <v>17626.279999999995</v>
      </c>
    </row>
    <row r="15" spans="3:13">
      <c r="C15" s="194" t="s">
        <v>234</v>
      </c>
      <c r="D15" s="296">
        <f>'Changable Values'!D4</f>
        <v>83</v>
      </c>
      <c r="E15" s="199">
        <f>E14*D15</f>
        <v>1462981.2399999995</v>
      </c>
      <c r="F15" s="205"/>
      <c r="G15" s="207">
        <f>E15</f>
        <v>1462981.2399999995</v>
      </c>
    </row>
    <row r="16" spans="3:13">
      <c r="C16" s="195" t="s">
        <v>97</v>
      </c>
      <c r="D16" s="200">
        <f>'Changable Values'!D5</f>
        <v>0.1</v>
      </c>
      <c r="E16" s="199">
        <f>E15*D16</f>
        <v>146298.12399999995</v>
      </c>
      <c r="F16" s="208">
        <f>'Changable Values'!D5</f>
        <v>0.1</v>
      </c>
      <c r="G16" s="207">
        <f>G15*F16</f>
        <v>146298.12399999995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177020.73003999997</v>
      </c>
      <c r="F17" s="208">
        <f>'Changable Values'!D6</f>
        <v>0.11</v>
      </c>
      <c r="G17" s="207">
        <f>SUM(G15:G16)*F17</f>
        <v>177020.73003999997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8931.5004701999987</v>
      </c>
      <c r="F18" s="208">
        <f>'Changable Values'!D7</f>
        <v>5.0000000000000001E-3</v>
      </c>
      <c r="G18" s="207">
        <f>SUM(G15:G17)*F18</f>
        <v>8931.5004701999987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17952.315945101996</v>
      </c>
      <c r="F19" s="208">
        <f>'Changable Values'!D8</f>
        <v>0.01</v>
      </c>
      <c r="G19" s="207">
        <f>SUM(G15:G18)*F19</f>
        <v>17952.315945101996</v>
      </c>
    </row>
    <row r="20" spans="3:7">
      <c r="C20" s="195" t="s">
        <v>99</v>
      </c>
      <c r="D20" s="201"/>
      <c r="E20" s="199">
        <f>SUM(E15:E19)</f>
        <v>1813183.9104553016</v>
      </c>
      <c r="F20" s="208"/>
      <c r="G20" s="207">
        <f>SUM(G15:G19)</f>
        <v>1813183.9104553016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27197.758656829523</v>
      </c>
      <c r="F21" s="208">
        <f>'Changable Values'!D9</f>
        <v>1.4999999999999999E-2</v>
      </c>
      <c r="G21" s="207">
        <f>G20*F21</f>
        <v>27197.758656829523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490789.54639999999</v>
      </c>
      <c r="F23" s="209"/>
      <c r="G23" s="207">
        <f t="shared" si="0"/>
        <v>490789.54639999999</v>
      </c>
    </row>
    <row r="24" spans="3:7">
      <c r="C24" s="195" t="s">
        <v>229</v>
      </c>
      <c r="D24" s="198"/>
      <c r="E24" s="199">
        <f>'Cost Calculation'!AH111</f>
        <v>66511.375081967213</v>
      </c>
      <c r="F24" s="209"/>
      <c r="G24" s="207">
        <f t="shared" si="0"/>
        <v>66511.375081967213</v>
      </c>
    </row>
    <row r="25" spans="3:7">
      <c r="C25" s="196" t="s">
        <v>237</v>
      </c>
      <c r="D25" s="198"/>
      <c r="E25" s="199">
        <f>'Cost Calculation'!AJ109</f>
        <v>11030.947199999999</v>
      </c>
      <c r="F25" s="209"/>
      <c r="G25" s="207">
        <f t="shared" si="0"/>
        <v>11030.947199999999</v>
      </c>
    </row>
    <row r="26" spans="3:7">
      <c r="C26" s="196" t="s">
        <v>238</v>
      </c>
      <c r="D26" s="198"/>
      <c r="E26" s="199">
        <f>'Cost Calculation'!AK109</f>
        <v>530665.19999999995</v>
      </c>
      <c r="F26" s="209"/>
      <c r="G26" s="207">
        <f t="shared" si="0"/>
        <v>530665.19999999995</v>
      </c>
    </row>
    <row r="27" spans="3:7">
      <c r="C27" s="195" t="s">
        <v>86</v>
      </c>
      <c r="D27" s="198"/>
      <c r="E27" s="199">
        <f>'Cost Calculation'!AL109</f>
        <v>173247.44111999994</v>
      </c>
      <c r="F27" s="209"/>
      <c r="G27" s="207">
        <f t="shared" si="0"/>
        <v>173247.44111999994</v>
      </c>
    </row>
    <row r="28" spans="3:7">
      <c r="C28" s="195" t="s">
        <v>88</v>
      </c>
      <c r="D28" s="198"/>
      <c r="E28" s="199">
        <f>'Cost Calculation'!AN109</f>
        <v>173247.44111999994</v>
      </c>
      <c r="F28" s="209"/>
      <c r="G28" s="207">
        <f t="shared" si="0"/>
        <v>173247.44111999994</v>
      </c>
    </row>
    <row r="29" spans="3:7">
      <c r="C29" s="293" t="s">
        <v>379</v>
      </c>
      <c r="D29" s="294"/>
      <c r="E29" s="295">
        <f>SUM(E20:E28)</f>
        <v>3285873.6200340986</v>
      </c>
      <c r="F29" s="209"/>
      <c r="G29" s="207">
        <f>SUM(G20:G21,G24)</f>
        <v>1906893.0441940986</v>
      </c>
    </row>
    <row r="30" spans="3:7">
      <c r="C30" s="293" t="s">
        <v>380</v>
      </c>
      <c r="D30" s="294"/>
      <c r="E30" s="295">
        <f>E29/E33</f>
        <v>1896.6361631616458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2383616.3052426237</v>
      </c>
      <c r="F31" s="214">
        <f>'Changable Values'!D23</f>
        <v>1.25</v>
      </c>
      <c r="G31" s="207">
        <f>G29*F31</f>
        <v>2383616.3052426232</v>
      </c>
    </row>
    <row r="32" spans="3:7">
      <c r="C32" s="290" t="s">
        <v>5</v>
      </c>
      <c r="D32" s="291"/>
      <c r="E32" s="292">
        <f>E31+E29</f>
        <v>5669489.9252767228</v>
      </c>
      <c r="F32" s="205"/>
      <c r="G32" s="207">
        <f>SUM(G25:G31,G22:G23)</f>
        <v>5669489.9252767218</v>
      </c>
    </row>
    <row r="33" spans="3:7">
      <c r="C33" s="300" t="s">
        <v>230</v>
      </c>
      <c r="D33" s="301"/>
      <c r="E33" s="308">
        <f>'Cost Calculation'!K109</f>
        <v>1732.4744111999996</v>
      </c>
      <c r="F33" s="210"/>
      <c r="G33" s="211">
        <f>E33</f>
        <v>1732.4744111999996</v>
      </c>
    </row>
    <row r="34" spans="3:7">
      <c r="C34" s="302" t="s">
        <v>9</v>
      </c>
      <c r="D34" s="303"/>
      <c r="E34" s="304">
        <f>QUOTATION!L116</f>
        <v>68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3272.4811914247821</v>
      </c>
      <c r="F35" s="212"/>
      <c r="G35" s="213">
        <f>G32/(G33)</f>
        <v>3272.4811914247816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2019-09-28T11:53:43Z</cp:lastPrinted>
  <dcterms:created xsi:type="dcterms:W3CDTF">2010-12-18T06:34:46Z</dcterms:created>
  <dcterms:modified xsi:type="dcterms:W3CDTF">2019-09-30T09:39:41Z</dcterms:modified>
</cp:coreProperties>
</file>