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Drawings!$C$2:$O$392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37" i="158" l="1"/>
  <c r="R24" i="158"/>
  <c r="R12" i="158"/>
  <c r="R9" i="158"/>
  <c r="Q38" i="158"/>
  <c r="Q34" i="158"/>
  <c r="Q33" i="158"/>
  <c r="Q31" i="158"/>
  <c r="Q29" i="158"/>
  <c r="Q28" i="158"/>
  <c r="Q27" i="158"/>
  <c r="Q23" i="158"/>
  <c r="Q21" i="158"/>
  <c r="Q19" i="158"/>
  <c r="Q18" i="158"/>
  <c r="Q16" i="158"/>
  <c r="Q15" i="158"/>
  <c r="Q8" i="158"/>
  <c r="Q6" i="158"/>
  <c r="Q5" i="158"/>
  <c r="Q4" i="158"/>
  <c r="K23" i="161" l="1"/>
  <c r="K11" i="161"/>
  <c r="K9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4" i="160" l="1"/>
  <c r="M45" i="160"/>
  <c r="AH48" i="159"/>
  <c r="M26" i="160"/>
  <c r="M52" i="160"/>
  <c r="AH20" i="159"/>
  <c r="AH36" i="159"/>
  <c r="AH44" i="159"/>
  <c r="AH52" i="159"/>
  <c r="M50" i="160"/>
  <c r="M41" i="160"/>
  <c r="M35" i="160"/>
  <c r="AH47" i="159"/>
  <c r="AH27" i="159"/>
  <c r="AH30" i="159"/>
  <c r="AH43" i="159"/>
  <c r="AH46" i="159"/>
  <c r="AH54" i="159"/>
  <c r="AH57" i="159"/>
  <c r="AH51" i="159"/>
  <c r="M51" i="160"/>
  <c r="AH49" i="159"/>
  <c r="AH55" i="159"/>
  <c r="AH56" i="159"/>
  <c r="AH45" i="159"/>
  <c r="AH50" i="159"/>
  <c r="AH53" i="159"/>
  <c r="AH42" i="159"/>
  <c r="AH41" i="159"/>
  <c r="AH40" i="159"/>
  <c r="AH39" i="159"/>
  <c r="M47" i="160"/>
  <c r="AH38" i="159"/>
  <c r="AH37" i="159"/>
  <c r="AH35" i="159"/>
  <c r="AH34" i="159"/>
  <c r="AH33" i="159"/>
  <c r="AH32" i="159"/>
  <c r="M40" i="160"/>
  <c r="AH31" i="159"/>
  <c r="M38" i="160"/>
  <c r="AH29" i="159"/>
  <c r="AH28" i="159"/>
  <c r="M36" i="160"/>
  <c r="AH26" i="159"/>
  <c r="AH25" i="159"/>
  <c r="AH24" i="159"/>
  <c r="AH23" i="159"/>
  <c r="M31" i="160"/>
  <c r="AH22" i="159"/>
  <c r="M30" i="160"/>
  <c r="AH21" i="159"/>
  <c r="AH19" i="159"/>
  <c r="AH18" i="159"/>
  <c r="AH17" i="159"/>
  <c r="AH16" i="159"/>
  <c r="AH15" i="159"/>
  <c r="AH14" i="159"/>
  <c r="AH13" i="159"/>
  <c r="AH12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<sst xmlns="http://schemas.openxmlformats.org/spreadsheetml/2006/main" count="2132" uniqueCount="514">
  <si>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</si>
  <si>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</si>
  <si>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</si>
  <si>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</si>
  <si>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</si>
  <si>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</si>
  <si>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</si>
  <si>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</si>
  <si>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</si>
  <si>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</si>
  <si>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</si>
  <si>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</si>
  <si>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</si>
  <si>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</si>
  <si>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</si>
  <si>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</si>
  <si>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</si>
  <si>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</si>
  <si>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</si>
  <si>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</si>
  <si>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</si>
  <si>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</si>
  <si>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</si>
  <si>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</si>
  <si>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</si>
  <si>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</si>
  <si>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</si>
  <si>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</si>
  <si>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</si>
  <si>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</si>
  <si>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</si>
  <si>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</si>
  <si>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</si>
  <si>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</si>
  <si>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</si>
  <si>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</si>
  <si>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</si>
  <si>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</si>
  <si>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</si>
  <si>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</si>
  <si>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</si>
  <si>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</si>
  <si>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</si>
  <si>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</si>
  <si>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</si>
  <si>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</si>
  <si>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</si>
  <si>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</si>
  <si>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</si>
  <si>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</si>
  <si>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</si>
  <si>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</si>
  <si>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</si>
  <si>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</si>
  <si>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</si>
  <si>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</si>
  <si>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</si>
  <si>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</si>
  <si>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</si>
  <si>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</si>
  <si>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</si>
  <si>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</si>
  <si>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</si>
  <si>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</si>
  <si>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</si>
  <si>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</si>
  <si>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</si>
  <si>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</si>
  <si>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</si>
  <si>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</si>
  <si>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</si>
  <si>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</si>
  <si>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</si>
  <si>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</si>
  <si>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</si>
  <si>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</si>
  <si>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</si>
  <si>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</si>
  <si>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</si>
  <si>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</si>
  <si>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</si>
  <si>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</si>
  <si>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</si>
  <si>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</si>
  <si>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</si>
  <si>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</si>
  <si>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</si>
  <si>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</si>
  <si>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</si>
  <si>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</si>
  <si>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</si>
  <si>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</si>
  <si>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</si>
  <si>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</si>
  <si>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</si>
  <si>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</si>
  <si>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</si>
  <si>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</si>
  <si>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</si>
  <si>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</si>
  <si>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</si>
  <si>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</si>
  <si>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</si>
  <si>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</si>
  <si>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</si>
  <si>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</si>
  <si>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</si>
  <si>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</si>
  <si>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</si>
  <si>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</si>
  <si>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</si>
  <si>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</si>
  <si>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</si>
  <si>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</si>
  <si>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</si>
  <si>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</si>
  <si>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</si>
  <si>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</si>
  <si>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</si>
  <si>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</si>
  <si>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</si>
  <si>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</si>
  <si>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</si>
  <si>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</si>
  <si>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</si>
  <si>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</si>
  <si>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</si>
  <si>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</si>
  <si>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</si>
  <si>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</si>
  <si>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</si>
  <si>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</si>
  <si>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</si>
  <si>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</si>
  <si>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</si>
  <si>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</si>
  <si>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</si>
  <si>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</si>
  <si>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</si>
  <si>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</si>
  <si>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</si>
  <si>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</si>
  <si>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</si>
  <si>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</si>
  <si>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</si>
  <si>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</si>
  <si>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</si>
  <si>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</si>
  <si>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</si>
  <si>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</si>
  <si>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</si>
  <si>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</si>
  <si>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</si>
  <si>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</si>
  <si>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</si>
  <si>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</si>
  <si>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</si>
  <si>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</si>
  <si>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</si>
  <si>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</si>
  <si>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</si>
  <si>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</si>
  <si>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</si>
  <si>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</si>
  <si>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</si>
  <si>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</si>
  <si>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</si>
  <si>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</si>
  <si>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</si>
  <si>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</si>
  <si>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</si>
  <si>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</si>
  <si>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</si>
  <si>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</si>
  <si>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</si>
  <si>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</si>
  <si>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</si>
  <si>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</si>
  <si>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</si>
  <si>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</si>
  <si>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</si>
  <si>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</si>
  <si>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</si>
  <si>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</si>
  <si>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</si>
  <si>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</si>
  <si>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</si>
  <si>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</si>
  <si>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</si>
  <si>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</si>
  <si>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</si>
  <si>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</si>
  <si>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</si>
  <si>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</si>
  <si>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</si>
  <si>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</si>
  <si>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</si>
  <si>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</si>
  <si>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</si>
  <si>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</si>
  <si>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</si>
  <si>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</si>
  <si>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</si>
  <si>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</si>
  <si>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</si>
  <si>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</si>
  <si>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</si>
  <si>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</si>
  <si>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</si>
  <si>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</si>
  <si>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</si>
  <si>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</si>
  <si>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</si>
  <si>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</si>
  <si>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</si>
  <si>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</si>
  <si>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</si>
  <si>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</si>
  <si>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</si>
  <si>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</si>
  <si>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</si>
  <si>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</si>
  <si>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</si>
  <si>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</si>
  <si>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</si>
  <si>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</si>
  <si>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</si>
  <si>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</si>
  <si>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</si>
  <si>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</si>
  <si>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</si>
  <si>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</si>
  <si>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</si>
  <si>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</si>
  <si>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</si>
  <si>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</si>
  <si>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</si>
  <si>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</si>
  <si>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</si>
  <si>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</si>
  <si>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</si>
  <si>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</si>
  <si>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</si>
  <si>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</si>
  <si>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</si>
  <si>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</si>
  <si>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</si>
  <si>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</si>
  <si>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</si>
  <si>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</si>
  <si>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</si>
  <si>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</si>
  <si>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</si>
  <si>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</si>
  <si>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</si>
  <si>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</si>
  <si>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</si>
  <si>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</si>
  <si>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</si>
  <si>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</si>
  <si>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</si>
  <si>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</si>
  <si>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</si>
  <si>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</si>
  <si>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</si>
  <si>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</si>
  <si>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</si>
  <si>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</si>
  <si>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</si>
  <si>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</si>
  <si>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</si>
  <si>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</si>
  <si>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</si>
  <si>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</si>
  <si>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</si>
  <si>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</si>
  <si>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</si>
  <si>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</si>
  <si>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</si>
  <si>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</si>
  <si>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</si>
  <si>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</si>
  <si>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</si>
  <si>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</si>
  <si>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</si>
  <si>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</si>
  <si>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</si>
  <si>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</si>
  <si>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</si>
  <si>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</si>
  <si>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</si>
  <si>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</si>
  <si>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</si>
  <si>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</si>
  <si>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</si>
  <si>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</si>
  <si>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</si>
  <si>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</si>
  <si>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</si>
  <si>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</si>
  <si>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</si>
  <si>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</si>
  <si>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</si>
  <si>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</si>
  <si>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</si>
  <si>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</si>
  <si>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</si>
  <si>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</si>
  <si>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</si>
  <si>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</si>
  <si>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</si>
  <si>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</si>
  <si>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</si>
  <si>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</si>
  <si>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</si>
  <si>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</si>
  <si>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</si>
  <si>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</si>
  <si>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</si>
  <si>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</si>
  <si>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</si>
  <si>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</si>
  <si>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</si>
  <si>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</si>
  <si>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</si>
  <si>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</si>
  <si>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</si>
  <si>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</si>
  <si>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</si>
  <si>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</si>
  <si>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</si>
  <si>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</si>
  <si>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</si>
  <si>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</si>
  <si>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</si>
  <si>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</si>
  <si>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</si>
  <si>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</si>
  <si>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</si>
  <si>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</si>
  <si>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</si>
  <si>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</si>
  <si>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</si>
  <si>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</si>
  <si>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</si>
  <si>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</si>
  <si>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</si>
  <si>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</si>
  <si>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</si>
  <si>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</si>
  <si>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</si>
  <si>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</si>
  <si>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</si>
  <si>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</si>
  <si>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</si>
  <si>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</si>
  <si>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</si>
  <si>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</si>
  <si>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</si>
  <si>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</si>
  <si>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</si>
  <si>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</si>
  <si>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</si>
  <si>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</si>
  <si>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</si>
  <si>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</si>
  <si>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</si>
  <si>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</si>
  <si>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</si>
  <si>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</si>
  <si>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</si>
  <si>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</si>
  <si>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</si>
  <si>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</si>
  <si>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</si>
  <si>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</si>
  <si>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</si>
  <si>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</si>
  <si>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</si>
  <si>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</si>
  <si>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</si>
  <si>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</si>
  <si>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</si>
  <si>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</si>
  <si>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</si>
  <si>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</si>
  <si>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</si>
  <si>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</si>
  <si>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</si>
  <si>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</si>
  <si>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</si>
  <si>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</si>
  <si>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</si>
  <si>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</si>
  <si>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</si>
  <si>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</si>
  <si>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</si>
  <si>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</si>
  <si>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</si>
  <si>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</si>
  <si>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</si>
  <si>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</si>
  <si>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</si>
  <si>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</si>
  <si>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</si>
  <si>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</si>
  <si>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</si>
  <si>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</si>
  <si>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</si>
  <si>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</si>
  <si>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</si>
  <si>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</si>
  <si>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</si>
  <si>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</si>
  <si>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</si>
  <si>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</si>
  <si>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</si>
  <si>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</si>
  <si>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</si>
  <si>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</si>
  <si>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</si>
  <si>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</si>
  <si>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</si>
  <si>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</si>
  <si>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ABPL-DE-19.20-2207</t>
  </si>
  <si>
    <t>Wood Effect</t>
  </si>
  <si>
    <t>1.4Kpa</t>
  </si>
  <si>
    <t>W02</t>
  </si>
  <si>
    <t>M900</t>
  </si>
  <si>
    <t>3 TRACK 2 SHUTTER SLIDING WINDOW</t>
  </si>
  <si>
    <t>6MM</t>
  </si>
  <si>
    <t>SS</t>
  </si>
  <si>
    <t>GF - SERVANT ROOM</t>
  </si>
  <si>
    <t>W03</t>
  </si>
  <si>
    <t>M14600</t>
  </si>
  <si>
    <t>3 TRACK 2 SHUTTER SLIDING DOOR</t>
  </si>
  <si>
    <t>GF - MUSIC ROOM</t>
  </si>
  <si>
    <t>W4S</t>
  </si>
  <si>
    <t>GF - MULTI PURPOSE ROOM</t>
  </si>
  <si>
    <t>V1</t>
  </si>
  <si>
    <t>M940</t>
  </si>
  <si>
    <t>TOP HUNG WINDOW WITH TOP FIXED</t>
  </si>
  <si>
    <t>6MM (F)</t>
  </si>
  <si>
    <t>NO</t>
  </si>
  <si>
    <t>GF - SERVANT ROOM TOILET</t>
  </si>
  <si>
    <t>1F - LIVING ROOM</t>
  </si>
  <si>
    <t>SDW1</t>
  </si>
  <si>
    <t>M12500</t>
  </si>
  <si>
    <t>2 TRACK 2 SHUTTER SLIDING DOOR</t>
  </si>
  <si>
    <t>RETRACTABLE</t>
  </si>
  <si>
    <t>V3</t>
  </si>
  <si>
    <t>TOP HUNG WINDOW WITH BOTTOM FIXED</t>
  </si>
  <si>
    <t>1F &amp; 2F - DINING ROOM TOILET</t>
  </si>
  <si>
    <t>SFW1</t>
  </si>
  <si>
    <t>M9800</t>
  </si>
  <si>
    <t>5 LEAF SLIDE &amp; FOLD DOOR</t>
  </si>
  <si>
    <t>1F - BEDROOM</t>
  </si>
  <si>
    <t>W6</t>
  </si>
  <si>
    <t>SIDE HUNG WINDOW</t>
  </si>
  <si>
    <t>1F - BEDROOM DRESS</t>
  </si>
  <si>
    <t>W5</t>
  </si>
  <si>
    <t>FIXED GLASS</t>
  </si>
  <si>
    <t>V2</t>
  </si>
  <si>
    <t>1F &amp; 3F - BEDROOM TOILET</t>
  </si>
  <si>
    <t>W7</t>
  </si>
  <si>
    <t>1F - FOYER</t>
  </si>
  <si>
    <t>W8</t>
  </si>
  <si>
    <t>1F - DINING</t>
  </si>
  <si>
    <t>SFD1</t>
  </si>
  <si>
    <t>3 LEAF SLIDE &amp; FOLD DOOR</t>
  </si>
  <si>
    <t>KW</t>
  </si>
  <si>
    <t>1F &amp; 2F - KITCHEN</t>
  </si>
  <si>
    <t>W9</t>
  </si>
  <si>
    <t>3 TRACK 2 SHUTTER SLIDING WINDOW WITH CENTER FIXED</t>
  </si>
  <si>
    <t>2F - LIVING</t>
  </si>
  <si>
    <t>W10</t>
  </si>
  <si>
    <t>FIXED GLASS 2 NO'S</t>
  </si>
  <si>
    <t>W11</t>
  </si>
  <si>
    <t>2F - DINING</t>
  </si>
  <si>
    <t>SFD2</t>
  </si>
  <si>
    <t>SD</t>
  </si>
  <si>
    <t>3 TRACK 2 SHUTTER SLIDING DOOR WITH 2 FIXED</t>
  </si>
  <si>
    <t>W12</t>
  </si>
  <si>
    <t>W13</t>
  </si>
  <si>
    <t>FIXED GLASS 4 NO'S</t>
  </si>
  <si>
    <t>3F - KIDS BEDROOM - 2</t>
  </si>
  <si>
    <t>V4</t>
  </si>
  <si>
    <t>3F - KIDS BEDROOM - 1 TOILET</t>
  </si>
  <si>
    <t>W14</t>
  </si>
  <si>
    <t>3F - KIDS BEDROOM - 1</t>
  </si>
  <si>
    <t>W15</t>
  </si>
  <si>
    <t>SFD3</t>
  </si>
  <si>
    <t>3F - STUDY ROOM</t>
  </si>
  <si>
    <t>V5</t>
  </si>
  <si>
    <t>4F - MBR 2 TOILET</t>
  </si>
  <si>
    <t>SD1</t>
  </si>
  <si>
    <t>4F - NEAR LIFT</t>
  </si>
  <si>
    <t>W17</t>
  </si>
  <si>
    <t>4F - MBR 2</t>
  </si>
  <si>
    <t>SDW2</t>
  </si>
  <si>
    <t>W18</t>
  </si>
  <si>
    <t>V6</t>
  </si>
  <si>
    <t>5F - POWDER ROOM</t>
  </si>
  <si>
    <t>V7</t>
  </si>
  <si>
    <t>5F - UTILITY</t>
  </si>
  <si>
    <t>SDW4</t>
  </si>
  <si>
    <t>5F - SEATER</t>
  </si>
  <si>
    <t>SD2</t>
  </si>
  <si>
    <t>5F - NEAR LIFT</t>
  </si>
  <si>
    <t>W4</t>
  </si>
  <si>
    <t>6mm :- 6mm Clear Toughened Glass</t>
  </si>
  <si>
    <t>6mm (F) :- 6mm Frosted Toughened Glass</t>
  </si>
  <si>
    <t>10mm :- 10mm Clear Toughened Glass</t>
  </si>
  <si>
    <t>Mr. Harsha Tambi 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</si>
</sst>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tmp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1461655</xdr:colOff>
      <xdr:row>169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670891</xdr:colOff>
      <xdr:row>8</xdr:row>
      <xdr:rowOff>281609</xdr:rowOff>
    </xdr:from>
    <xdr:to>
      <xdr:col>5</xdr:col>
      <xdr:colOff>1921565</xdr:colOff>
      <xdr:row>15</xdr:row>
      <xdr:rowOff>224222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2" y="1755913"/>
          <a:ext cx="1946413" cy="2145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644386</xdr:colOff>
      <xdr:row>19</xdr:row>
      <xdr:rowOff>106846</xdr:rowOff>
    </xdr:from>
    <xdr:to>
      <xdr:col>5</xdr:col>
      <xdr:colOff>1969673</xdr:colOff>
      <xdr:row>27</xdr:row>
      <xdr:rowOff>198783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647" y="4894194"/>
          <a:ext cx="2021026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180560</xdr:colOff>
      <xdr:row>30</xdr:row>
      <xdr:rowOff>286165</xdr:rowOff>
    </xdr:from>
    <xdr:to>
      <xdr:col>5</xdr:col>
      <xdr:colOff>1888434</xdr:colOff>
      <xdr:row>38</xdr:row>
      <xdr:rowOff>161964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560" y="8386556"/>
          <a:ext cx="1707874" cy="239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354495</xdr:colOff>
      <xdr:row>41</xdr:row>
      <xdr:rowOff>130864</xdr:rowOff>
    </xdr:from>
    <xdr:to>
      <xdr:col>5</xdr:col>
      <xdr:colOff>1805608</xdr:colOff>
      <xdr:row>49</xdr:row>
      <xdr:rowOff>236858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495" y="11544299"/>
          <a:ext cx="1451113" cy="2623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487017</xdr:colOff>
      <xdr:row>52</xdr:row>
      <xdr:rowOff>159026</xdr:rowOff>
    </xdr:from>
    <xdr:to>
      <xdr:col>5</xdr:col>
      <xdr:colOff>1755913</xdr:colOff>
      <xdr:row>60</xdr:row>
      <xdr:rowOff>15551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017" y="14885504"/>
          <a:ext cx="1268896" cy="2374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329647</xdr:colOff>
      <xdr:row>63</xdr:row>
      <xdr:rowOff>89452</xdr:rowOff>
    </xdr:from>
    <xdr:to>
      <xdr:col>8</xdr:col>
      <xdr:colOff>115955</xdr:colOff>
      <xdr:row>71</xdr:row>
      <xdr:rowOff>234263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908" y="18128974"/>
          <a:ext cx="3115917" cy="2662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571499</xdr:colOff>
      <xdr:row>74</xdr:row>
      <xdr:rowOff>149086</xdr:rowOff>
    </xdr:from>
    <xdr:to>
      <xdr:col>5</xdr:col>
      <xdr:colOff>1639956</xdr:colOff>
      <xdr:row>82</xdr:row>
      <xdr:rowOff>224503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9" y="21501651"/>
          <a:ext cx="1068457" cy="2593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339585</xdr:colOff>
      <xdr:row>85</xdr:row>
      <xdr:rowOff>66261</xdr:rowOff>
    </xdr:from>
    <xdr:to>
      <xdr:col>8</xdr:col>
      <xdr:colOff>480390</xdr:colOff>
      <xdr:row>93</xdr:row>
      <xdr:rowOff>228941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781" y="24731870"/>
          <a:ext cx="4058479" cy="26805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437321</xdr:colOff>
      <xdr:row>96</xdr:row>
      <xdr:rowOff>291961</xdr:rowOff>
    </xdr:from>
    <xdr:to>
      <xdr:col>5</xdr:col>
      <xdr:colOff>1565413</xdr:colOff>
      <xdr:row>103</xdr:row>
      <xdr:rowOff>202664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321" y="28270613"/>
          <a:ext cx="1128092" cy="2113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379343</xdr:colOff>
      <xdr:row>108</xdr:row>
      <xdr:rowOff>119683</xdr:rowOff>
    </xdr:from>
    <xdr:to>
      <xdr:col>5</xdr:col>
      <xdr:colOff>1338926</xdr:colOff>
      <xdr:row>115</xdr:row>
      <xdr:rowOff>8282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7343" y="31726118"/>
          <a:ext cx="959583" cy="2091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586408</xdr:colOff>
      <xdr:row>118</xdr:row>
      <xdr:rowOff>155298</xdr:rowOff>
    </xdr:from>
    <xdr:to>
      <xdr:col>5</xdr:col>
      <xdr:colOff>1631674</xdr:colOff>
      <xdr:row>126</xdr:row>
      <xdr:rowOff>192222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408" y="34760037"/>
          <a:ext cx="1045266" cy="2554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89452</xdr:colOff>
      <xdr:row>129</xdr:row>
      <xdr:rowOff>103532</xdr:rowOff>
    </xdr:from>
    <xdr:to>
      <xdr:col>6</xdr:col>
      <xdr:colOff>66262</xdr:colOff>
      <xdr:row>137</xdr:row>
      <xdr:rowOff>234983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452" y="38021315"/>
          <a:ext cx="1956353" cy="2649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304800</xdr:colOff>
      <xdr:row>141</xdr:row>
      <xdr:rowOff>36029</xdr:rowOff>
    </xdr:from>
    <xdr:to>
      <xdr:col>6</xdr:col>
      <xdr:colOff>173936</xdr:colOff>
      <xdr:row>147</xdr:row>
      <xdr:rowOff>249411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061" y="41581594"/>
          <a:ext cx="2544418" cy="2101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495299</xdr:colOff>
      <xdr:row>151</xdr:row>
      <xdr:rowOff>125896</xdr:rowOff>
    </xdr:from>
    <xdr:to>
      <xdr:col>7</xdr:col>
      <xdr:colOff>16565</xdr:colOff>
      <xdr:row>159</xdr:row>
      <xdr:rowOff>116470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560" y="44669766"/>
          <a:ext cx="2585831" cy="250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197126</xdr:colOff>
      <xdr:row>162</xdr:row>
      <xdr:rowOff>278295</xdr:rowOff>
    </xdr:from>
    <xdr:to>
      <xdr:col>5</xdr:col>
      <xdr:colOff>1681370</xdr:colOff>
      <xdr:row>169</xdr:row>
      <xdr:rowOff>173768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5126" y="48135208"/>
          <a:ext cx="1484244" cy="2098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39754</xdr:colOff>
      <xdr:row>174</xdr:row>
      <xdr:rowOff>10353</xdr:rowOff>
    </xdr:from>
    <xdr:to>
      <xdr:col>9</xdr:col>
      <xdr:colOff>400380</xdr:colOff>
      <xdr:row>180</xdr:row>
      <xdr:rowOff>248479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950" y="51495049"/>
          <a:ext cx="4866365" cy="2126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520148</xdr:colOff>
      <xdr:row>184</xdr:row>
      <xdr:rowOff>205409</xdr:rowOff>
    </xdr:from>
    <xdr:to>
      <xdr:col>5</xdr:col>
      <xdr:colOff>1532283</xdr:colOff>
      <xdr:row>192</xdr:row>
      <xdr:rowOff>51652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148" y="54688409"/>
          <a:ext cx="1012135" cy="2364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263386</xdr:colOff>
      <xdr:row>195</xdr:row>
      <xdr:rowOff>155713</xdr:rowOff>
    </xdr:from>
    <xdr:to>
      <xdr:col>8</xdr:col>
      <xdr:colOff>265042</xdr:colOff>
      <xdr:row>203</xdr:row>
      <xdr:rowOff>173285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5647" y="57951756"/>
          <a:ext cx="3331265" cy="2535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528430</xdr:colOff>
      <xdr:row>206</xdr:row>
      <xdr:rowOff>101050</xdr:rowOff>
    </xdr:from>
    <xdr:to>
      <xdr:col>6</xdr:col>
      <xdr:colOff>372718</xdr:colOff>
      <xdr:row>214</xdr:row>
      <xdr:rowOff>208802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691" y="61210137"/>
          <a:ext cx="2519570" cy="2625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420755</xdr:colOff>
      <xdr:row>217</xdr:row>
      <xdr:rowOff>85310</xdr:rowOff>
    </xdr:from>
    <xdr:to>
      <xdr:col>10</xdr:col>
      <xdr:colOff>23850</xdr:colOff>
      <xdr:row>225</xdr:row>
      <xdr:rowOff>198782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885" y="64507440"/>
          <a:ext cx="5284965" cy="2631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397564</xdr:colOff>
      <xdr:row>220</xdr:row>
      <xdr:rowOff>8282</xdr:rowOff>
    </xdr:from>
    <xdr:to>
      <xdr:col>4</xdr:col>
      <xdr:colOff>333447</xdr:colOff>
      <xdr:row>221</xdr:row>
      <xdr:rowOff>17438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1760" y="65374630"/>
          <a:ext cx="523948" cy="323895"/>
        </a:xfrm>
        <a:prstGeom prst="rect">
          <a:avLst/>
        </a:prstGeom>
      </xdr:spPr>
    </xdr:pic>
    <xdr:clientData/>
  </xdr:twoCellAnchor>
  <xdr:twoCellAnchor editAs="oneCell">
    <xdr:from>
      <xdr:col>8</xdr:col>
      <xdr:colOff>173934</xdr:colOff>
      <xdr:row>220</xdr:row>
      <xdr:rowOff>8282</xdr:rowOff>
    </xdr:from>
    <xdr:to>
      <xdr:col>9</xdr:col>
      <xdr:colOff>109817</xdr:colOff>
      <xdr:row>221</xdr:row>
      <xdr:rowOff>17438</xdr:rowOff>
    </xdr:to>
    <xdr:pic>
      <xdr:nvPicPr>
        <xdr:cNvPr id="23" name="Picture 22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804" y="65374630"/>
          <a:ext cx="523948" cy="323895"/>
        </a:xfrm>
        <a:prstGeom prst="rect">
          <a:avLst/>
        </a:prstGeom>
      </xdr:spPr>
    </xdr:pic>
    <xdr:clientData/>
  </xdr:twoCellAnchor>
  <xdr:twoCellAnchor>
    <xdr:from>
      <xdr:col>4</xdr:col>
      <xdr:colOff>238539</xdr:colOff>
      <xdr:row>228</xdr:row>
      <xdr:rowOff>131693</xdr:rowOff>
    </xdr:from>
    <xdr:to>
      <xdr:col>8</xdr:col>
      <xdr:colOff>465142</xdr:colOff>
      <xdr:row>236</xdr:row>
      <xdr:rowOff>215347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67866867"/>
          <a:ext cx="3556212" cy="2601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81169</xdr:colOff>
      <xdr:row>240</xdr:row>
      <xdr:rowOff>306042</xdr:rowOff>
    </xdr:from>
    <xdr:to>
      <xdr:col>9</xdr:col>
      <xdr:colOff>221572</xdr:colOff>
      <xdr:row>245</xdr:row>
      <xdr:rowOff>248479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65" y="71668999"/>
          <a:ext cx="4646142" cy="1516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429037</xdr:colOff>
      <xdr:row>250</xdr:row>
      <xdr:rowOff>106018</xdr:rowOff>
    </xdr:from>
    <xdr:to>
      <xdr:col>5</xdr:col>
      <xdr:colOff>1888434</xdr:colOff>
      <xdr:row>258</xdr:row>
      <xdr:rowOff>86409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7037" y="74467279"/>
          <a:ext cx="1459397" cy="2498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387625</xdr:colOff>
      <xdr:row>261</xdr:row>
      <xdr:rowOff>202924</xdr:rowOff>
    </xdr:from>
    <xdr:to>
      <xdr:col>6</xdr:col>
      <xdr:colOff>281609</xdr:colOff>
      <xdr:row>268</xdr:row>
      <xdr:rowOff>262378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625" y="77877228"/>
          <a:ext cx="1873527" cy="2262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263387</xdr:colOff>
      <xdr:row>272</xdr:row>
      <xdr:rowOff>136248</xdr:rowOff>
    </xdr:from>
    <xdr:to>
      <xdr:col>5</xdr:col>
      <xdr:colOff>1772479</xdr:colOff>
      <xdr:row>280</xdr:row>
      <xdr:rowOff>226541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1387" y="81123596"/>
          <a:ext cx="1509092" cy="2608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283</xdr:row>
      <xdr:rowOff>57977</xdr:rowOff>
    </xdr:from>
    <xdr:to>
      <xdr:col>6</xdr:col>
      <xdr:colOff>356152</xdr:colOff>
      <xdr:row>291</xdr:row>
      <xdr:rowOff>261109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84358368"/>
          <a:ext cx="2459935" cy="2721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404190</xdr:colOff>
      <xdr:row>294</xdr:row>
      <xdr:rowOff>137491</xdr:rowOff>
    </xdr:from>
    <xdr:to>
      <xdr:col>5</xdr:col>
      <xdr:colOff>1822173</xdr:colOff>
      <xdr:row>302</xdr:row>
      <xdr:rowOff>157459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190" y="87750926"/>
          <a:ext cx="1417983" cy="2537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420756</xdr:colOff>
      <xdr:row>305</xdr:row>
      <xdr:rowOff>89451</xdr:rowOff>
    </xdr:from>
    <xdr:to>
      <xdr:col>5</xdr:col>
      <xdr:colOff>1515717</xdr:colOff>
      <xdr:row>313</xdr:row>
      <xdr:rowOff>203517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8756" y="91015929"/>
          <a:ext cx="1094961" cy="2631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316</xdr:row>
      <xdr:rowOff>99392</xdr:rowOff>
    </xdr:from>
    <xdr:to>
      <xdr:col>5</xdr:col>
      <xdr:colOff>1615108</xdr:colOff>
      <xdr:row>324</xdr:row>
      <xdr:rowOff>204897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94338914"/>
          <a:ext cx="1399761" cy="2623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586408</xdr:colOff>
      <xdr:row>327</xdr:row>
      <xdr:rowOff>57978</xdr:rowOff>
    </xdr:from>
    <xdr:to>
      <xdr:col>7</xdr:col>
      <xdr:colOff>82826</xdr:colOff>
      <xdr:row>335</xdr:row>
      <xdr:rowOff>218276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669" y="97610543"/>
          <a:ext cx="2560983" cy="267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470452</xdr:colOff>
      <xdr:row>338</xdr:row>
      <xdr:rowOff>106018</xdr:rowOff>
    </xdr:from>
    <xdr:to>
      <xdr:col>5</xdr:col>
      <xdr:colOff>1706218</xdr:colOff>
      <xdr:row>346</xdr:row>
      <xdr:rowOff>224905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452" y="100971627"/>
          <a:ext cx="1235766" cy="263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453886</xdr:colOff>
      <xdr:row>349</xdr:row>
      <xdr:rowOff>135420</xdr:rowOff>
    </xdr:from>
    <xdr:to>
      <xdr:col>5</xdr:col>
      <xdr:colOff>1689651</xdr:colOff>
      <xdr:row>357</xdr:row>
      <xdr:rowOff>230542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886" y="104314072"/>
          <a:ext cx="1235765" cy="2613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505237</xdr:colOff>
      <xdr:row>360</xdr:row>
      <xdr:rowOff>99391</xdr:rowOff>
    </xdr:from>
    <xdr:to>
      <xdr:col>5</xdr:col>
      <xdr:colOff>1499150</xdr:colOff>
      <xdr:row>368</xdr:row>
      <xdr:rowOff>193740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7" y="107591087"/>
          <a:ext cx="993913" cy="261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72885</xdr:colOff>
      <xdr:row>371</xdr:row>
      <xdr:rowOff>85310</xdr:rowOff>
    </xdr:from>
    <xdr:to>
      <xdr:col>8</xdr:col>
      <xdr:colOff>463825</xdr:colOff>
      <xdr:row>379</xdr:row>
      <xdr:rowOff>201198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146" y="110890049"/>
          <a:ext cx="3720549" cy="2633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163996</xdr:colOff>
      <xdr:row>382</xdr:row>
      <xdr:rowOff>44726</xdr:rowOff>
    </xdr:from>
    <xdr:to>
      <xdr:col>5</xdr:col>
      <xdr:colOff>1938131</xdr:colOff>
      <xdr:row>390</xdr:row>
      <xdr:rowOff>232295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996" y="114162509"/>
          <a:ext cx="1774135" cy="2705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8" sqref="R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ABPL-DE-19.20-2207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Harsha Tambi  Residence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43738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Bangalore</v>
      </c>
      <c r="G4" s="539"/>
      <c r="H4" s="539"/>
      <c r="I4" s="541" t="s">
        <v>179</v>
      </c>
      <c r="J4" s="541"/>
      <c r="K4" s="540" t="str">
        <f>QUOTATION!I8</f>
        <v>1.4Kpa</v>
      </c>
      <c r="L4" s="540"/>
      <c r="M4" s="284" t="s">
        <v>105</v>
      </c>
      <c r="N4" s="286" t="str">
        <f>QUOTATION!M8</f>
        <v>R0</v>
      </c>
      <c r="O4" s="287">
        <f>QUOTATION!N8</f>
        <v>43738</v>
      </c>
    </row>
    <row r="5" spans="2:16">
      <c r="B5" s="218"/>
      <c r="C5" s="539" t="s">
        <v>168</v>
      </c>
      <c r="D5" s="539"/>
      <c r="E5" s="539"/>
      <c r="F5" s="540" t="str">
        <f>QUOTATION!F9</f>
        <v>Mr. Prasanth : 9591855724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Wood Effect</v>
      </c>
      <c r="G6" s="539"/>
      <c r="H6" s="539"/>
      <c r="I6" s="541" t="s">
        <v>177</v>
      </c>
      <c r="J6" s="541"/>
      <c r="K6" s="540" t="str">
        <f>QUOTATION!I10</f>
        <v>Black</v>
      </c>
      <c r="L6" s="540"/>
      <c r="M6" s="320" t="s">
        <v>374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W02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 - SERVANT 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Wood Effect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1325 X 1035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M900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W03</v>
      </c>
      <c r="F19" s="288" t="s">
        <v>254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 - MUSIC ROOM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Wood Effect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2185 X 2325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W4S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GF - MULTI PURPOSE ROOM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Wood Effect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1385 X 1575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6MM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V1</v>
      </c>
      <c r="F41" s="288" t="s">
        <v>254</v>
      </c>
      <c r="G41" s="540" t="str">
        <f>'BD Team'!D12</f>
        <v>TOP HUNG WINDOW WITH TOP FIXED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GF - SERVANT ROOM TOILET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Wood Effect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875 X 2100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M940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6MM (F)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NO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W4</v>
      </c>
      <c r="F52" s="288" t="s">
        <v>254</v>
      </c>
      <c r="G52" s="540" t="str">
        <f>'BD Team'!D13</f>
        <v>3 TRACK 2 SHUTTER SLIDING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1F - LIVING ROOM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Wood Effect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1280 X 2025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M14600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6MM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SDW1</v>
      </c>
      <c r="F63" s="288" t="s">
        <v>254</v>
      </c>
      <c r="G63" s="540" t="str">
        <f>'BD Team'!D14</f>
        <v>2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1F - LIVING ROOM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Wood Effect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3640 X 2625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M12500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10MM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RETRACTABLE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V3</v>
      </c>
      <c r="F74" s="288" t="s">
        <v>254</v>
      </c>
      <c r="G74" s="540" t="str">
        <f>'BD Team'!D15</f>
        <v>TOP HUNG WINDOW WITH BOTTOM FIXED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1F &amp; 2F - DINING ROOM TOILET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Wood Effect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625 X 2325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2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M940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6MM (F)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SFW1</v>
      </c>
      <c r="F85" s="288" t="s">
        <v>254</v>
      </c>
      <c r="G85" s="540" t="str">
        <f>'BD Team'!D16</f>
        <v>5 LEAF SLIDE &amp; FOLD DOOR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1F - BEDROOM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Wood Effect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4880 X 2931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M9800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10MM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W6</v>
      </c>
      <c r="F96" s="288" t="s">
        <v>254</v>
      </c>
      <c r="G96" s="540" t="str">
        <f>'BD Team'!D17</f>
        <v>SIDE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1F - BEDROOM DRESS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Wood Effect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900 X 1875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M940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RETRACTABLE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W5</v>
      </c>
      <c r="F107" s="288" t="s">
        <v>254</v>
      </c>
      <c r="G107" s="540" t="str">
        <f>'BD Team'!D18</f>
        <v>FIXED GLASS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1F - BEDROOM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Wood Effect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750 X 1875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M940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6MM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NO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V2</v>
      </c>
      <c r="F118" s="288" t="s">
        <v>254</v>
      </c>
      <c r="G118" s="540" t="str">
        <f>'BD Team'!D19</f>
        <v>TOP HUNG WINDOW WITH BOTTOM FIXED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1F &amp; 3F - BEDROOM TOILET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Wood Effect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640 X 2325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2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M940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6MM (F)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W7</v>
      </c>
      <c r="F129" s="288" t="s">
        <v>254</v>
      </c>
      <c r="G129" s="540" t="str">
        <f>'BD Team'!D20</f>
        <v>3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1F - FOYER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Wood Effect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2115 X 2400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6MM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W8</v>
      </c>
      <c r="F140" s="288" t="s">
        <v>254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1F - DINING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Wood Effect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2575 X 1500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M14600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6MM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SFD1</v>
      </c>
      <c r="F151" s="288" t="s">
        <v>254</v>
      </c>
      <c r="G151" s="540" t="str">
        <f>'BD Team'!D22</f>
        <v>3 LEAF SLIDE &amp; FOLD DOOR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1F - DINING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Wood Effect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2700 X 2400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M9800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10MM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NO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KW</v>
      </c>
      <c r="F162" s="288" t="s">
        <v>254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1F &amp; 2F - KITCHEN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Wood Effect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1000 X 1050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2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M900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6MM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SS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W9</v>
      </c>
      <c r="F173" s="288" t="s">
        <v>254</v>
      </c>
      <c r="G173" s="540" t="str">
        <f>'BD Team'!D24</f>
        <v>3 TRACK 2 SHUTTER SLIDING WINDOW WITH CENTER FIXED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2F - LIVING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Wood Effect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4880 X 1425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M14600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10MM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SS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W10</v>
      </c>
      <c r="F184" s="288" t="s">
        <v>254</v>
      </c>
      <c r="G184" s="540" t="str">
        <f>'BD Team'!D25</f>
        <v>FIXED GLASS 2 NO'S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2F - LIVING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Wood Effect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640 X 2575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M940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6MM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NO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W11</v>
      </c>
      <c r="F195" s="288" t="s">
        <v>254</v>
      </c>
      <c r="G195" s="540" t="str">
        <f>'BD Team'!D26</f>
        <v>3 TRACK 2 SHUTTER SLIDING WINDOW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2F - DINING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Wood Effect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2695 X 1425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M14600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6MM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SS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SFD2</v>
      </c>
      <c r="F206" s="288" t="s">
        <v>254</v>
      </c>
      <c r="G206" s="540" t="str">
        <f>'BD Team'!D27</f>
        <v>3 LEAF SLIDE &amp; FOLD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2F - DINING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Wood Effect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2700 X 2625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M9800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10MM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SD</v>
      </c>
      <c r="F217" s="288" t="s">
        <v>254</v>
      </c>
      <c r="G217" s="540" t="str">
        <f>'BD Team'!D28</f>
        <v>3 TRACK 2 SHUTTER SLIDING DOOR WITH 2 FIXED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2F - LIVING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Wood Effect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7165 X 2900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M14600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10MM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SS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W12</v>
      </c>
      <c r="F228" s="288" t="s">
        <v>254</v>
      </c>
      <c r="G228" s="540" t="str">
        <f>'BD Team'!D29</f>
        <v>2 TRACK 2 SHUTTER SLIDING DOOR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3F - KIDS BEDROOM - 2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Wood Effect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4050 X 2425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M12500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10MM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RETRACTABLE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W13</v>
      </c>
      <c r="F239" s="288" t="s">
        <v>254</v>
      </c>
      <c r="G239" s="540" t="str">
        <f>'BD Team'!D30</f>
        <v>FIXED GLASS 4 NO'S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3F - KIDS BEDROOM - 2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Wood Effect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4987 X 1275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M940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6MM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NO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V4</v>
      </c>
      <c r="F250" s="288" t="s">
        <v>254</v>
      </c>
      <c r="G250" s="540" t="str">
        <f>'BD Team'!D31</f>
        <v>TOP HUNG WINDOW WITH BOTTOM FIXED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3F - KIDS BEDROOM - 1 TOILET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Wood Effect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1080 X 2325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M940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6MM (F)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W14</v>
      </c>
      <c r="F261" s="288" t="s">
        <v>254</v>
      </c>
      <c r="G261" s="540" t="str">
        <f>'BD Team'!D32</f>
        <v>3 TRACK 2 SHUTTER SLIDING WINDOW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3F - KIDS BEDROOM - 1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Wood Effect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2000 X 1875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M14600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6MM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SS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W15</v>
      </c>
      <c r="F272" s="288" t="s">
        <v>254</v>
      </c>
      <c r="G272" s="540" t="str">
        <f>'BD Team'!D33</f>
        <v>3 TRACK 2 SHUTTER SLIDING DOOR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3F - KIDS BEDROOM - 1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Wood Effect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1735 X 2625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M14600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6MM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SS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SFD3</v>
      </c>
      <c r="F283" s="288" t="s">
        <v>254</v>
      </c>
      <c r="G283" s="540" t="str">
        <f>'BD Team'!D34</f>
        <v>3 TRACK 2 SHUTTER SLIDING DOOR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3F - STUDY ROOM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Wood Effect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2865 X 2625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M14600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10MM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SS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 t="str">
        <f>'BD Team'!B35</f>
        <v>V5</v>
      </c>
      <c r="F294" s="288" t="s">
        <v>254</v>
      </c>
      <c r="G294" s="540" t="str">
        <f>'BD Team'!D35</f>
        <v>TOP HUNG WINDOW WITH BOTTOM FIXED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4F - MBR 2 TOILET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Wood Effect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>1145 X 2550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2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 t="str">
        <f>'BD Team'!C35</f>
        <v>M940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 t="str">
        <f>'BD Team'!E35</f>
        <v>6MM (F)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 t="str">
        <f>'BD Team'!F35</f>
        <v>NO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 t="str">
        <f>'BD Team'!B36</f>
        <v>SD1</v>
      </c>
      <c r="F305" s="288" t="s">
        <v>254</v>
      </c>
      <c r="G305" s="540" t="str">
        <f>'BD Team'!D36</f>
        <v>3 TRACK 2 SHUTTER SLIDING DOOR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4F - NEAR LIFT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Wood Effect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>1200 X 2625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1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 t="str">
        <f>'BD Team'!C36</f>
        <v>M14600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 t="str">
        <f>'BD Team'!E36</f>
        <v>6MM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 t="str">
        <f>'BD Team'!F36</f>
        <v>SS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 t="str">
        <f>'BD Team'!B37</f>
        <v>W17</v>
      </c>
      <c r="F316" s="288" t="s">
        <v>254</v>
      </c>
      <c r="G316" s="540" t="str">
        <f>'BD Team'!D37</f>
        <v>FIXED GLASS 2 NO'S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 t="str">
        <f>'BD Team'!G37</f>
        <v>4F - MBR 2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Wood Effect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>640 X 2025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1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 t="str">
        <f>'BD Team'!C37</f>
        <v>M940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 t="str">
        <f>'BD Team'!E37</f>
        <v>6MM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 t="str">
        <f>'BD Team'!F37</f>
        <v>NO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 t="str">
        <f>'BD Team'!B38</f>
        <v>SDW2</v>
      </c>
      <c r="F327" s="288" t="s">
        <v>254</v>
      </c>
      <c r="G327" s="540" t="str">
        <f>'BD Team'!D38</f>
        <v>3 TRACK 2 SHUTTER SLIDING DOOR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 t="str">
        <f>'BD Team'!G38</f>
        <v>4F - MBR 2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Wood Effect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>3040 X 2625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1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 t="str">
        <f>'BD Team'!C38</f>
        <v>M14600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 t="str">
        <f>'BD Team'!E38</f>
        <v>10MM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 t="str">
        <f>'BD Team'!F38</f>
        <v>SS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 t="str">
        <f>'BD Team'!B39</f>
        <v>W18</v>
      </c>
      <c r="F338" s="288" t="s">
        <v>254</v>
      </c>
      <c r="G338" s="540" t="str">
        <f>'BD Team'!D39</f>
        <v>3 TRACK 2 SHUTTER SLIDING DOOR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 t="str">
        <f>'BD Team'!G39</f>
        <v>4F - MBR 2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Wood Effect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>1093 X 2025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1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 t="str">
        <f>'BD Team'!C39</f>
        <v>M14600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 t="str">
        <f>'BD Team'!E39</f>
        <v>6MM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 t="str">
        <f>'BD Team'!F39</f>
        <v>SS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 t="str">
        <f>'BD Team'!B40</f>
        <v>V6</v>
      </c>
      <c r="F349" s="288" t="s">
        <v>254</v>
      </c>
      <c r="G349" s="540" t="str">
        <f>'BD Team'!D40</f>
        <v>TOP HUNG WINDOW WITH BOTTOM FIXED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 t="str">
        <f>'BD Team'!G40</f>
        <v>5F - POWDER ROOM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Wood Effect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>900 X 2550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1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 t="str">
        <f>'BD Team'!C40</f>
        <v>M940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 t="str">
        <f>'BD Team'!E40</f>
        <v>6MM (F)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 t="str">
        <f>'BD Team'!F40</f>
        <v>NO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 t="str">
        <f>'BD Team'!B41</f>
        <v>V7</v>
      </c>
      <c r="F360" s="288" t="s">
        <v>254</v>
      </c>
      <c r="G360" s="540" t="str">
        <f>'BD Team'!D41</f>
        <v>TOP HUNG WINDOW WITH BOTTOM FIXED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 t="str">
        <f>'BD Team'!G41</f>
        <v>5F - UTILITY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Wood Effect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>640 X 2550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1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 t="str">
        <f>'BD Team'!C41</f>
        <v>M940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 t="str">
        <f>'BD Team'!E41</f>
        <v>6MM (F)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 t="str">
        <f>'BD Team'!F41</f>
        <v>NO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 t="str">
        <f>'BD Team'!B42</f>
        <v>SDW4</v>
      </c>
      <c r="F371" s="288" t="s">
        <v>254</v>
      </c>
      <c r="G371" s="540" t="str">
        <f>'BD Team'!D42</f>
        <v>2 TRACK 2 SHUTTER SLIDING DOOR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 t="str">
        <f>'BD Team'!G42</f>
        <v>5F - SEATER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Wood Effect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>4160 X 2440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1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 t="str">
        <f>'BD Team'!C42</f>
        <v>M12500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 t="str">
        <f>'BD Team'!E42</f>
        <v>10MM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 t="str">
        <f>'BD Team'!F42</f>
        <v>RETRACTABLE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 t="str">
        <f>'BD Team'!B43</f>
        <v>SD2</v>
      </c>
      <c r="F382" s="288" t="s">
        <v>254</v>
      </c>
      <c r="G382" s="540" t="str">
        <f>'BD Team'!D43</f>
        <v>3 TRACK 2 SHUTTER SLIDING DOOR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 t="str">
        <f>'BD Team'!G43</f>
        <v>5F - NEAR LIFT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Wood Effect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>1960 X 2551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1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 t="str">
        <f>'BD Team'!C43</f>
        <v>M14600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 t="str">
        <f>'BD Team'!E43</f>
        <v>6MM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 t="str">
        <f>'BD Team'!F43</f>
        <v>SS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Wood Effect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Wood Effect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Wood Effect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Wood Effect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Wood Effect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Wood Effect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Wood Effect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Wood Effect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Wood Effect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Wood Effect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Wood Effect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Wood Effect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Wood Effect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Wood Effect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Wood Effect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Wood Effect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Wood Effect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Wood Effect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Wood Effect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Wood Effect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Wood Effect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Wood Effect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Wood Effect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Wood Effect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Wood Effect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Wood Effect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Wood Effect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Wood Effect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Wood Effect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Wood Effect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Wood Effect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Wood Effect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Wood Effect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Wood Effect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Wood Effect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Wood Effect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Wood Effect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Wood Effect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Wood Effect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Wood Effect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Wood Effect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Wood Effect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Wood Effect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Wood Effect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Wood Effect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Wood Effect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Wood Effect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Wood Effect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Wood Effect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Wood Effect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Wood Effect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Wood Effect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Wood Effect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Wood Effect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Wood Effect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Wood Effect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Wood Effect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Wood Effect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Wood Effect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Wood Effect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Wood Effect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Wood Effect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Wood Effect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Wood Effect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Wood Effect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1097</v>
      </c>
    </row>
    <row r="5" spans="3:5">
      <c r="C5" s="236" t="s">
        <v>396</v>
      </c>
      <c r="D5" s="236" t="s">
        <v>394</v>
      </c>
      <c r="E5" s="309">
        <f>ROUND(Pricing!U104,0.1)/40</f>
        <v>32.9</v>
      </c>
    </row>
    <row r="6" spans="3:5">
      <c r="C6" s="236" t="s">
        <v>83</v>
      </c>
      <c r="D6" s="236" t="s">
        <v>393</v>
      </c>
      <c r="E6" s="309">
        <f>ROUND(Pricing!V104,0.1)</f>
        <v>69</v>
      </c>
    </row>
    <row r="7" spans="3:5">
      <c r="C7" s="236" t="s">
        <v>400</v>
      </c>
      <c r="D7" s="236" t="s">
        <v>392</v>
      </c>
      <c r="E7" s="309">
        <f>ROUND(Pricing!W104,0.1)</f>
        <v>1097</v>
      </c>
    </row>
    <row r="8" spans="3:5">
      <c r="C8" s="236" t="s">
        <v>397</v>
      </c>
      <c r="D8" s="236" t="s">
        <v>392</v>
      </c>
      <c r="E8" s="309">
        <f>ROUND(Pricing!X104,0.1)</f>
        <v>2194</v>
      </c>
    </row>
    <row r="9" spans="3:5">
      <c r="C9" t="s">
        <v>222</v>
      </c>
      <c r="D9" s="236" t="s">
        <v>395</v>
      </c>
      <c r="E9" s="309">
        <f>ROUND(Pricing!Y104,0.1)</f>
        <v>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6"/>
  <sheetViews>
    <sheetView topLeftCell="A19" workbookViewId="0">
      <selection activeCell="A37" sqref="A3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W02</v>
      </c>
      <c r="B2" s="318" t="str">
        <f>'BD Team'!C9</f>
        <v>M900</v>
      </c>
      <c r="C2" s="318" t="str">
        <f>'BD Team'!D9</f>
        <v>3 TRACK 2 SHUTTER SLIDING WINDOW</v>
      </c>
      <c r="D2" s="318" t="str">
        <f>'BD Team'!E9</f>
        <v>6MM</v>
      </c>
      <c r="E2" s="318" t="str">
        <f>'BD Team'!G9</f>
        <v>GF - SERVANT ROOM</v>
      </c>
      <c r="F2" s="318" t="str">
        <f>'BD Team'!F9</f>
        <v>SS</v>
      </c>
      <c r="I2" s="318">
        <f>'BD Team'!H9</f>
        <v>1325</v>
      </c>
      <c r="J2" s="318">
        <f>'BD Team'!I9</f>
        <v>1035</v>
      </c>
      <c r="K2" s="318">
        <f>'BD Team'!J9</f>
        <v>1</v>
      </c>
      <c r="L2" s="319">
        <f>'BD Team'!K9</f>
        <v>178.32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W03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GF - MUSIC ROOM</v>
      </c>
      <c r="F3" s="318" t="str">
        <f>'BD Team'!F10</f>
        <v>SS</v>
      </c>
      <c r="I3" s="318">
        <f>'BD Team'!H10</f>
        <v>2185</v>
      </c>
      <c r="J3" s="318">
        <f>'BD Team'!I10</f>
        <v>2325</v>
      </c>
      <c r="K3" s="318">
        <f>'BD Team'!J10</f>
        <v>1</v>
      </c>
      <c r="L3" s="319">
        <f>'BD Team'!K10</f>
        <v>477.01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W4S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GF - MULTI PURPOSE ROOM</v>
      </c>
      <c r="F4" s="318" t="str">
        <f>'BD Team'!F11</f>
        <v>SS</v>
      </c>
      <c r="I4" s="318">
        <f>'BD Team'!H11</f>
        <v>1385</v>
      </c>
      <c r="J4" s="318">
        <f>'BD Team'!I11</f>
        <v>1575</v>
      </c>
      <c r="K4" s="318">
        <f>'BD Team'!J11</f>
        <v>1</v>
      </c>
      <c r="L4" s="319">
        <f>'BD Team'!K11</f>
        <v>225.15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V1</v>
      </c>
      <c r="B5" s="318" t="str">
        <f>'BD Team'!C12</f>
        <v>M940</v>
      </c>
      <c r="C5" s="318" t="str">
        <f>'BD Team'!D12</f>
        <v>TOP HUNG WINDOW WITH TOP FIXED</v>
      </c>
      <c r="D5" s="318" t="str">
        <f>'BD Team'!E12</f>
        <v>6MM (F)</v>
      </c>
      <c r="E5" s="318" t="str">
        <f>'BD Team'!G12</f>
        <v>GF - SERVANT ROOM TOILET</v>
      </c>
      <c r="F5" s="318" t="str">
        <f>'BD Team'!F12</f>
        <v>NO</v>
      </c>
      <c r="I5" s="318">
        <f>'BD Team'!H12</f>
        <v>875</v>
      </c>
      <c r="J5" s="318">
        <f>'BD Team'!I12</f>
        <v>2100</v>
      </c>
      <c r="K5" s="318">
        <f>'BD Team'!J12</f>
        <v>1</v>
      </c>
      <c r="L5" s="319">
        <f>'BD Team'!K12</f>
        <v>193.43</v>
      </c>
      <c r="M5" s="318">
        <f>Pricing!O7</f>
        <v>2003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</v>
      </c>
      <c r="B6" s="318" t="str">
        <f>'BD Team'!C13</f>
        <v>M14600</v>
      </c>
      <c r="C6" s="318" t="str">
        <f>'BD Team'!D13</f>
        <v>3 TRACK 2 SHUTTER SLIDING DOOR</v>
      </c>
      <c r="D6" s="318" t="str">
        <f>'BD Team'!E13</f>
        <v>6MM</v>
      </c>
      <c r="E6" s="318" t="str">
        <f>'BD Team'!G13</f>
        <v>1F - LIVING ROOM</v>
      </c>
      <c r="F6" s="318" t="str">
        <f>'BD Team'!F13</f>
        <v>SS</v>
      </c>
      <c r="I6" s="318">
        <f>'BD Team'!H13</f>
        <v>1280</v>
      </c>
      <c r="J6" s="318">
        <f>'BD Team'!I13</f>
        <v>2025</v>
      </c>
      <c r="K6" s="318">
        <f>'BD Team'!J13</f>
        <v>1</v>
      </c>
      <c r="L6" s="319">
        <f>'BD Team'!K13</f>
        <v>409.8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SDW1</v>
      </c>
      <c r="B7" s="318" t="str">
        <f>'BD Team'!C14</f>
        <v>M12500</v>
      </c>
      <c r="C7" s="318" t="str">
        <f>'BD Team'!D14</f>
        <v>2 TRACK 2 SHUTTER SLIDING DOOR</v>
      </c>
      <c r="D7" s="318" t="str">
        <f>'BD Team'!E14</f>
        <v>10MM</v>
      </c>
      <c r="E7" s="318" t="str">
        <f>'BD Team'!G14</f>
        <v>1F - LIVING ROOM</v>
      </c>
      <c r="F7" s="318" t="str">
        <f>'BD Team'!F14</f>
        <v>RETRACTABLE</v>
      </c>
      <c r="I7" s="318">
        <f>'BD Team'!H14</f>
        <v>3640</v>
      </c>
      <c r="J7" s="318">
        <f>'BD Team'!I14</f>
        <v>2625</v>
      </c>
      <c r="K7" s="318">
        <f>'BD Team'!J14</f>
        <v>1</v>
      </c>
      <c r="L7" s="319">
        <f>'BD Team'!K14</f>
        <v>924.88</v>
      </c>
      <c r="M7" s="318">
        <f>Pricing!O9</f>
        <v>1589</v>
      </c>
      <c r="N7" s="318">
        <f>Pricing!Q9</f>
        <v>0</v>
      </c>
      <c r="O7" s="318">
        <f>Pricing!R9</f>
        <v>9687.5999999999985</v>
      </c>
      <c r="P7" s="318">
        <f>Pricing!S9</f>
        <v>5000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V3</v>
      </c>
      <c r="B8" s="318" t="str">
        <f>'BD Team'!C15</f>
        <v>M940</v>
      </c>
      <c r="C8" s="318" t="str">
        <f>'BD Team'!D15</f>
        <v>TOP HUNG WINDOW WITH BOTTOM FIXED</v>
      </c>
      <c r="D8" s="318" t="str">
        <f>'BD Team'!E15</f>
        <v>6MM (F)</v>
      </c>
      <c r="E8" s="318" t="str">
        <f>'BD Team'!G15</f>
        <v>1F &amp; 2F - DINING ROOM TOILET</v>
      </c>
      <c r="F8" s="318" t="str">
        <f>'BD Team'!F15</f>
        <v>NO</v>
      </c>
      <c r="I8" s="318">
        <f>'BD Team'!H15</f>
        <v>625</v>
      </c>
      <c r="J8" s="318">
        <f>'BD Team'!I15</f>
        <v>2325</v>
      </c>
      <c r="K8" s="318">
        <f>'BD Team'!J15</f>
        <v>2</v>
      </c>
      <c r="L8" s="319">
        <f>'BD Team'!K15</f>
        <v>172.36</v>
      </c>
      <c r="M8" s="318">
        <f>Pricing!O10</f>
        <v>2003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SFW1</v>
      </c>
      <c r="B9" s="318" t="str">
        <f>'BD Team'!C16</f>
        <v>M9800</v>
      </c>
      <c r="C9" s="318" t="str">
        <f>'BD Team'!D16</f>
        <v>5 LEAF SLIDE &amp; FOLD DOOR</v>
      </c>
      <c r="D9" s="318" t="str">
        <f>'BD Team'!E16</f>
        <v>10MM</v>
      </c>
      <c r="E9" s="318" t="str">
        <f>'BD Team'!G16</f>
        <v>1F - BEDROOM</v>
      </c>
      <c r="F9" s="318" t="str">
        <f>'BD Team'!F16</f>
        <v>NO</v>
      </c>
      <c r="I9" s="318">
        <f>'BD Team'!H16</f>
        <v>4880</v>
      </c>
      <c r="J9" s="318">
        <f>'BD Team'!I16</f>
        <v>2931</v>
      </c>
      <c r="K9" s="318">
        <f>'BD Team'!J16</f>
        <v>1</v>
      </c>
      <c r="L9" s="319">
        <f>'BD Team'!K16</f>
        <v>1144.95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W6</v>
      </c>
      <c r="B10" s="318" t="str">
        <f>'BD Team'!C17</f>
        <v>M940</v>
      </c>
      <c r="C10" s="318" t="str">
        <f>'BD Team'!D17</f>
        <v>SIDE HUNG WINDOW</v>
      </c>
      <c r="D10" s="318" t="str">
        <f>'BD Team'!E17</f>
        <v>6MM</v>
      </c>
      <c r="E10" s="318" t="str">
        <f>'BD Team'!G17</f>
        <v>1F - BEDROOM DRESS</v>
      </c>
      <c r="F10" s="318" t="str">
        <f>'BD Team'!F17</f>
        <v>RETRACTABLE</v>
      </c>
      <c r="I10" s="318">
        <f>'BD Team'!H17</f>
        <v>900</v>
      </c>
      <c r="J10" s="318">
        <f>'BD Team'!I17</f>
        <v>1875</v>
      </c>
      <c r="K10" s="318">
        <f>'BD Team'!J17</f>
        <v>1</v>
      </c>
      <c r="L10" s="319">
        <f>'BD Team'!K17</f>
        <v>198.69</v>
      </c>
      <c r="M10" s="318">
        <f>Pricing!O12</f>
        <v>1002</v>
      </c>
      <c r="N10" s="318">
        <f>Pricing!Q12</f>
        <v>0</v>
      </c>
      <c r="O10" s="318">
        <f>Pricing!R12</f>
        <v>9687.5999999999985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W5</v>
      </c>
      <c r="B11" s="318" t="str">
        <f>'BD Team'!C18</f>
        <v>M940</v>
      </c>
      <c r="C11" s="318" t="str">
        <f>'BD Team'!D18</f>
        <v>FIXED GLASS</v>
      </c>
      <c r="D11" s="318" t="str">
        <f>'BD Team'!E18</f>
        <v>6MM</v>
      </c>
      <c r="E11" s="318" t="str">
        <f>'BD Team'!G18</f>
        <v>1F - BEDROOM</v>
      </c>
      <c r="F11" s="318" t="str">
        <f>'BD Team'!F18</f>
        <v>NO</v>
      </c>
      <c r="I11" s="318">
        <f>'BD Team'!H18</f>
        <v>750</v>
      </c>
      <c r="J11" s="318">
        <f>'BD Team'!I18</f>
        <v>1875</v>
      </c>
      <c r="K11" s="318">
        <f>'BD Team'!J18</f>
        <v>1</v>
      </c>
      <c r="L11" s="319">
        <f>'BD Team'!K18</f>
        <v>42.33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V2</v>
      </c>
      <c r="B12" s="318" t="str">
        <f>'BD Team'!C19</f>
        <v>M940</v>
      </c>
      <c r="C12" s="318" t="str">
        <f>'BD Team'!D19</f>
        <v>TOP HUNG WINDOW WITH BOTTOM FIXED</v>
      </c>
      <c r="D12" s="318" t="str">
        <f>'BD Team'!E19</f>
        <v>6MM (F)</v>
      </c>
      <c r="E12" s="318" t="str">
        <f>'BD Team'!G19</f>
        <v>1F &amp; 3F - BEDROOM TOILET</v>
      </c>
      <c r="F12" s="318" t="str">
        <f>'BD Team'!F19</f>
        <v>NO</v>
      </c>
      <c r="I12" s="318">
        <f>'BD Team'!H19</f>
        <v>640</v>
      </c>
      <c r="J12" s="318">
        <f>'BD Team'!I19</f>
        <v>2325</v>
      </c>
      <c r="K12" s="318">
        <f>'BD Team'!J19</f>
        <v>2</v>
      </c>
      <c r="L12" s="319">
        <f>'BD Team'!K19</f>
        <v>167.06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W7</v>
      </c>
      <c r="B13" s="318" t="str">
        <f>'BD Team'!C20</f>
        <v>M14600</v>
      </c>
      <c r="C13" s="318" t="str">
        <f>'BD Team'!D20</f>
        <v>3 TRACK 2 SHUTTER SLIDING DOOR</v>
      </c>
      <c r="D13" s="318" t="str">
        <f>'BD Team'!E20</f>
        <v>6MM</v>
      </c>
      <c r="E13" s="318" t="str">
        <f>'BD Team'!G20</f>
        <v>1F - FOYER</v>
      </c>
      <c r="F13" s="318" t="str">
        <f>'BD Team'!F20</f>
        <v>SS</v>
      </c>
      <c r="I13" s="318">
        <f>'BD Team'!H20</f>
        <v>2115</v>
      </c>
      <c r="J13" s="318">
        <f>'BD Team'!I20</f>
        <v>2400</v>
      </c>
      <c r="K13" s="318">
        <f>'BD Team'!J20</f>
        <v>1</v>
      </c>
      <c r="L13" s="319">
        <f>'BD Team'!K20</f>
        <v>512.1</v>
      </c>
      <c r="M13" s="318">
        <f>Pricing!O15</f>
        <v>1002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W8</v>
      </c>
      <c r="B14" s="318" t="str">
        <f>'BD Team'!C21</f>
        <v>M14600</v>
      </c>
      <c r="C14" s="318" t="str">
        <f>'BD Team'!D21</f>
        <v>3 TRACK 2 SHUTTER SLIDING WINDOW</v>
      </c>
      <c r="D14" s="318" t="str">
        <f>'BD Team'!E21</f>
        <v>6MM</v>
      </c>
      <c r="E14" s="318" t="str">
        <f>'BD Team'!G21</f>
        <v>1F - DINING</v>
      </c>
      <c r="F14" s="318" t="str">
        <f>'BD Team'!F21</f>
        <v>SS</v>
      </c>
      <c r="I14" s="318">
        <f>'BD Team'!H21</f>
        <v>2575</v>
      </c>
      <c r="J14" s="318">
        <f>'BD Team'!I21</f>
        <v>1500</v>
      </c>
      <c r="K14" s="318">
        <f>'BD Team'!J21</f>
        <v>1</v>
      </c>
      <c r="L14" s="319">
        <f>'BD Team'!K21</f>
        <v>437.68</v>
      </c>
      <c r="M14" s="318">
        <f>Pricing!O16</f>
        <v>1002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SFD1</v>
      </c>
      <c r="B15" s="318" t="str">
        <f>'BD Team'!C22</f>
        <v>M9800</v>
      </c>
      <c r="C15" s="318" t="str">
        <f>'BD Team'!D22</f>
        <v>3 LEAF SLIDE &amp; FOLD DOOR</v>
      </c>
      <c r="D15" s="318" t="str">
        <f>'BD Team'!E22</f>
        <v>10MM</v>
      </c>
      <c r="E15" s="318" t="str">
        <f>'BD Team'!G22</f>
        <v>1F - DINING</v>
      </c>
      <c r="F15" s="318" t="str">
        <f>'BD Team'!F22</f>
        <v>NO</v>
      </c>
      <c r="I15" s="318">
        <f>'BD Team'!H22</f>
        <v>2700</v>
      </c>
      <c r="J15" s="318">
        <f>'BD Team'!I22</f>
        <v>2400</v>
      </c>
      <c r="K15" s="318">
        <f>'BD Team'!J22</f>
        <v>1</v>
      </c>
      <c r="L15" s="319">
        <f>'BD Team'!K22</f>
        <v>651.41999999999996</v>
      </c>
      <c r="M15" s="318">
        <f>Pricing!O17</f>
        <v>1589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KW</v>
      </c>
      <c r="B16" s="318" t="str">
        <f>'BD Team'!C23</f>
        <v>M900</v>
      </c>
      <c r="C16" s="318" t="str">
        <f>'BD Team'!D23</f>
        <v>3 TRACK 2 SHUTTER SLIDING WINDOW</v>
      </c>
      <c r="D16" s="318" t="str">
        <f>'BD Team'!E23</f>
        <v>6MM</v>
      </c>
      <c r="E16" s="318" t="str">
        <f>'BD Team'!G23</f>
        <v>1F &amp; 2F - KITCHEN</v>
      </c>
      <c r="F16" s="318" t="str">
        <f>'BD Team'!F23</f>
        <v>SS</v>
      </c>
      <c r="I16" s="318">
        <f>'BD Team'!H23</f>
        <v>1000</v>
      </c>
      <c r="J16" s="318">
        <f>'BD Team'!I23</f>
        <v>1050</v>
      </c>
      <c r="K16" s="318">
        <f>'BD Team'!J23</f>
        <v>2</v>
      </c>
      <c r="L16" s="319">
        <f>'BD Team'!K23</f>
        <v>152.94</v>
      </c>
      <c r="M16" s="318">
        <f>Pricing!O18</f>
        <v>1002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W9</v>
      </c>
      <c r="B17" s="318" t="str">
        <f>'BD Team'!C24</f>
        <v>M14600</v>
      </c>
      <c r="C17" s="318" t="str">
        <f>'BD Team'!D24</f>
        <v>3 TRACK 2 SHUTTER SLIDING WINDOW WITH CENTER FIXED</v>
      </c>
      <c r="D17" s="318" t="str">
        <f>'BD Team'!E24</f>
        <v>10MM</v>
      </c>
      <c r="E17" s="318" t="str">
        <f>'BD Team'!G24</f>
        <v>2F - LIVING</v>
      </c>
      <c r="F17" s="318" t="str">
        <f>'BD Team'!F24</f>
        <v>SS</v>
      </c>
      <c r="I17" s="318">
        <f>'BD Team'!H24</f>
        <v>4880</v>
      </c>
      <c r="J17" s="318">
        <f>'BD Team'!I24</f>
        <v>1425</v>
      </c>
      <c r="K17" s="318">
        <f>'BD Team'!J24</f>
        <v>1</v>
      </c>
      <c r="L17" s="319">
        <f>'BD Team'!K24</f>
        <v>722.58</v>
      </c>
      <c r="M17" s="318">
        <f>Pricing!O19</f>
        <v>1589</v>
      </c>
      <c r="N17" s="318">
        <f>Pricing!Q19</f>
        <v>538.19999999999993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W10</v>
      </c>
      <c r="B18" s="318" t="str">
        <f>'BD Team'!C25</f>
        <v>M940</v>
      </c>
      <c r="C18" s="318" t="str">
        <f>'BD Team'!D25</f>
        <v>FIXED GLASS 2 NO'S</v>
      </c>
      <c r="D18" s="318" t="str">
        <f>'BD Team'!E25</f>
        <v>6MM</v>
      </c>
      <c r="E18" s="318" t="str">
        <f>'BD Team'!G25</f>
        <v>2F - LIVING</v>
      </c>
      <c r="F18" s="318" t="str">
        <f>'BD Team'!F25</f>
        <v>NO</v>
      </c>
      <c r="I18" s="318">
        <f>'BD Team'!H25</f>
        <v>640</v>
      </c>
      <c r="J18" s="318">
        <f>'BD Team'!I25</f>
        <v>2575</v>
      </c>
      <c r="K18" s="318">
        <f>'BD Team'!J25</f>
        <v>1</v>
      </c>
      <c r="L18" s="319">
        <f>'BD Team'!K25</f>
        <v>64.86</v>
      </c>
      <c r="M18" s="318">
        <f>Pricing!O20</f>
        <v>1002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W11</v>
      </c>
      <c r="B19" s="318" t="str">
        <f>'BD Team'!C26</f>
        <v>M14600</v>
      </c>
      <c r="C19" s="318" t="str">
        <f>'BD Team'!D26</f>
        <v>3 TRACK 2 SHUTTER SLIDING WINDOW</v>
      </c>
      <c r="D19" s="318" t="str">
        <f>'BD Team'!E26</f>
        <v>6MM</v>
      </c>
      <c r="E19" s="318" t="str">
        <f>'BD Team'!G26</f>
        <v>2F - DINING</v>
      </c>
      <c r="F19" s="318" t="str">
        <f>'BD Team'!F26</f>
        <v>SS</v>
      </c>
      <c r="I19" s="318">
        <f>'BD Team'!H26</f>
        <v>2695</v>
      </c>
      <c r="J19" s="318">
        <f>'BD Team'!I26</f>
        <v>1425</v>
      </c>
      <c r="K19" s="318">
        <f>'BD Team'!J26</f>
        <v>1</v>
      </c>
      <c r="L19" s="319">
        <f>'BD Team'!K26</f>
        <v>438.79</v>
      </c>
      <c r="M19" s="318">
        <f>Pricing!O21</f>
        <v>1002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SFD2</v>
      </c>
      <c r="B20" s="318" t="str">
        <f>'BD Team'!C27</f>
        <v>M9800</v>
      </c>
      <c r="C20" s="318" t="str">
        <f>'BD Team'!D27</f>
        <v>3 LEAF SLIDE &amp; FOLD DOOR</v>
      </c>
      <c r="D20" s="318" t="str">
        <f>'BD Team'!E27</f>
        <v>10MM</v>
      </c>
      <c r="E20" s="318" t="str">
        <f>'BD Team'!G27</f>
        <v>2F - DINING</v>
      </c>
      <c r="F20" s="318" t="str">
        <f>'BD Team'!F27</f>
        <v>NO</v>
      </c>
      <c r="I20" s="318">
        <f>'BD Team'!H27</f>
        <v>2700</v>
      </c>
      <c r="J20" s="318">
        <f>'BD Team'!I27</f>
        <v>2625</v>
      </c>
      <c r="K20" s="318">
        <f>'BD Team'!J27</f>
        <v>1</v>
      </c>
      <c r="L20" s="319">
        <f>'BD Team'!K27</f>
        <v>673.44</v>
      </c>
      <c r="M20" s="318">
        <f>Pricing!O22</f>
        <v>1589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SD</v>
      </c>
      <c r="B21" s="318" t="str">
        <f>'BD Team'!C28</f>
        <v>M14600</v>
      </c>
      <c r="C21" s="318" t="str">
        <f>'BD Team'!D28</f>
        <v>3 TRACK 2 SHUTTER SLIDING DOOR WITH 2 FIXED</v>
      </c>
      <c r="D21" s="318" t="str">
        <f>'BD Team'!E28</f>
        <v>10MM</v>
      </c>
      <c r="E21" s="318" t="str">
        <f>'BD Team'!G28</f>
        <v>2F - LIVING</v>
      </c>
      <c r="F21" s="318" t="str">
        <f>'BD Team'!F28</f>
        <v>SS</v>
      </c>
      <c r="I21" s="318">
        <f>'BD Team'!H28</f>
        <v>7165</v>
      </c>
      <c r="J21" s="318">
        <f>'BD Team'!I28</f>
        <v>2900</v>
      </c>
      <c r="K21" s="318">
        <f>'BD Team'!J28</f>
        <v>1</v>
      </c>
      <c r="L21" s="319">
        <f>'BD Team'!K28</f>
        <v>1618.99</v>
      </c>
      <c r="M21" s="318">
        <f>Pricing!O23</f>
        <v>1589</v>
      </c>
      <c r="N21" s="318">
        <f>Pricing!Q23</f>
        <v>538.19999999999993</v>
      </c>
      <c r="O21" s="318">
        <f>Pricing!R23</f>
        <v>0</v>
      </c>
      <c r="P21" s="318">
        <f>Pricing!S23</f>
        <v>5000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W12</v>
      </c>
      <c r="B22" s="318" t="str">
        <f>'BD Team'!C29</f>
        <v>M12500</v>
      </c>
      <c r="C22" s="318" t="str">
        <f>'BD Team'!D29</f>
        <v>2 TRACK 2 SHUTTER SLIDING DOOR</v>
      </c>
      <c r="D22" s="318" t="str">
        <f>'BD Team'!E29</f>
        <v>10MM</v>
      </c>
      <c r="E22" s="318" t="str">
        <f>'BD Team'!G29</f>
        <v>3F - KIDS BEDROOM - 2</v>
      </c>
      <c r="F22" s="318" t="str">
        <f>'BD Team'!F29</f>
        <v>RETRACTABLE</v>
      </c>
      <c r="I22" s="318">
        <f>'BD Team'!H29</f>
        <v>4050</v>
      </c>
      <c r="J22" s="318">
        <f>'BD Team'!I29</f>
        <v>2425</v>
      </c>
      <c r="K22" s="318">
        <f>'BD Team'!J29</f>
        <v>1</v>
      </c>
      <c r="L22" s="319">
        <f>'BD Team'!K29</f>
        <v>928.9</v>
      </c>
      <c r="M22" s="318">
        <f>Pricing!O24</f>
        <v>1589</v>
      </c>
      <c r="N22" s="318">
        <f>Pricing!Q24</f>
        <v>0</v>
      </c>
      <c r="O22" s="318">
        <f>Pricing!R24</f>
        <v>9687.5999999999985</v>
      </c>
      <c r="P22" s="318">
        <f>Pricing!S24</f>
        <v>5000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W13</v>
      </c>
      <c r="B23" s="318" t="str">
        <f>'BD Team'!C30</f>
        <v>M940</v>
      </c>
      <c r="C23" s="318" t="str">
        <f>'BD Team'!D30</f>
        <v>FIXED GLASS 4 NO'S</v>
      </c>
      <c r="D23" s="318" t="str">
        <f>'BD Team'!E30</f>
        <v>6MM</v>
      </c>
      <c r="E23" s="318" t="str">
        <f>'BD Team'!G30</f>
        <v>3F - KIDS BEDROOM - 2</v>
      </c>
      <c r="F23" s="318" t="str">
        <f>'BD Team'!F30</f>
        <v>NO</v>
      </c>
      <c r="I23" s="318">
        <f>'BD Team'!H30</f>
        <v>4987</v>
      </c>
      <c r="J23" s="318">
        <f>'BD Team'!I30</f>
        <v>1275</v>
      </c>
      <c r="K23" s="318">
        <f>'BD Team'!J30</f>
        <v>1</v>
      </c>
      <c r="L23" s="319">
        <f>'BD Team'!K30</f>
        <v>170.57</v>
      </c>
      <c r="M23" s="318">
        <f>Pricing!O25</f>
        <v>1002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V4</v>
      </c>
      <c r="B24" s="318" t="str">
        <f>'BD Team'!C31</f>
        <v>M940</v>
      </c>
      <c r="C24" s="318" t="str">
        <f>'BD Team'!D31</f>
        <v>TOP HUNG WINDOW WITH BOTTOM FIXED</v>
      </c>
      <c r="D24" s="318" t="str">
        <f>'BD Team'!E31</f>
        <v>6MM (F)</v>
      </c>
      <c r="E24" s="318" t="str">
        <f>'BD Team'!G31</f>
        <v>3F - KIDS BEDROOM - 1 TOILET</v>
      </c>
      <c r="F24" s="318" t="str">
        <f>'BD Team'!F31</f>
        <v>NO</v>
      </c>
      <c r="I24" s="318">
        <f>'BD Team'!H31</f>
        <v>1080</v>
      </c>
      <c r="J24" s="318">
        <f>'BD Team'!I31</f>
        <v>2325</v>
      </c>
      <c r="K24" s="318">
        <f>'BD Team'!J31</f>
        <v>1</v>
      </c>
      <c r="L24" s="319">
        <f>'BD Team'!K31</f>
        <v>210.21</v>
      </c>
      <c r="M24" s="318">
        <f>Pricing!O26</f>
        <v>2003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W14</v>
      </c>
      <c r="B25" s="318" t="str">
        <f>'BD Team'!C32</f>
        <v>M14600</v>
      </c>
      <c r="C25" s="318" t="str">
        <f>'BD Team'!D32</f>
        <v>3 TRACK 2 SHUTTER SLIDING WINDOW</v>
      </c>
      <c r="D25" s="318" t="str">
        <f>'BD Team'!E32</f>
        <v>6MM</v>
      </c>
      <c r="E25" s="318" t="str">
        <f>'BD Team'!G32</f>
        <v>3F - KIDS BEDROOM - 1</v>
      </c>
      <c r="F25" s="318" t="str">
        <f>'BD Team'!F32</f>
        <v>SS</v>
      </c>
      <c r="I25" s="318">
        <f>'BD Team'!H32</f>
        <v>2000</v>
      </c>
      <c r="J25" s="318">
        <f>'BD Team'!I32</f>
        <v>1875</v>
      </c>
      <c r="K25" s="318">
        <f>'BD Team'!J32</f>
        <v>1</v>
      </c>
      <c r="L25" s="319">
        <f>'BD Team'!K32</f>
        <v>434.03</v>
      </c>
      <c r="M25" s="318">
        <f>Pricing!O27</f>
        <v>1002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W15</v>
      </c>
      <c r="B26" s="318" t="str">
        <f>'BD Team'!C33</f>
        <v>M14600</v>
      </c>
      <c r="C26" s="318" t="str">
        <f>'BD Team'!D33</f>
        <v>3 TRACK 2 SHUTTER SLIDING DOOR</v>
      </c>
      <c r="D26" s="318" t="str">
        <f>'BD Team'!E33</f>
        <v>6MM</v>
      </c>
      <c r="E26" s="318" t="str">
        <f>'BD Team'!G33</f>
        <v>3F - KIDS BEDROOM - 1</v>
      </c>
      <c r="F26" s="318" t="str">
        <f>'BD Team'!F33</f>
        <v>SS</v>
      </c>
      <c r="I26" s="318">
        <f>'BD Team'!H33</f>
        <v>1735</v>
      </c>
      <c r="J26" s="318">
        <f>'BD Team'!I33</f>
        <v>2625</v>
      </c>
      <c r="K26" s="318">
        <f>'BD Team'!J33</f>
        <v>1</v>
      </c>
      <c r="L26" s="319">
        <f>'BD Team'!K33</f>
        <v>507.28</v>
      </c>
      <c r="M26" s="318">
        <f>Pricing!O28</f>
        <v>1002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SFD3</v>
      </c>
      <c r="B27" s="318" t="str">
        <f>'BD Team'!C34</f>
        <v>M14600</v>
      </c>
      <c r="C27" s="318" t="str">
        <f>'BD Team'!D34</f>
        <v>3 TRACK 2 SHUTTER SLIDING DOOR</v>
      </c>
      <c r="D27" s="318" t="str">
        <f>'BD Team'!E34</f>
        <v>10MM</v>
      </c>
      <c r="E27" s="318" t="str">
        <f>'BD Team'!G34</f>
        <v>3F - STUDY ROOM</v>
      </c>
      <c r="F27" s="318" t="str">
        <f>'BD Team'!F34</f>
        <v>SS</v>
      </c>
      <c r="I27" s="318">
        <f>'BD Team'!H34</f>
        <v>2865</v>
      </c>
      <c r="J27" s="318">
        <f>'BD Team'!I34</f>
        <v>2625</v>
      </c>
      <c r="K27" s="318">
        <f>'BD Team'!J34</f>
        <v>1</v>
      </c>
      <c r="L27" s="319">
        <f>'BD Team'!K34</f>
        <v>582.4</v>
      </c>
      <c r="M27" s="318">
        <f>Pricing!O29</f>
        <v>1589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V5</v>
      </c>
      <c r="B28" s="318" t="str">
        <f>'BD Team'!C35</f>
        <v>M940</v>
      </c>
      <c r="C28" s="318" t="str">
        <f>'BD Team'!D35</f>
        <v>TOP HUNG WINDOW WITH BOTTOM FIXED</v>
      </c>
      <c r="D28" s="318" t="str">
        <f>'BD Team'!E35</f>
        <v>6MM (F)</v>
      </c>
      <c r="E28" s="318" t="str">
        <f>'BD Team'!G35</f>
        <v>4F - MBR 2 TOILET</v>
      </c>
      <c r="F28" s="318" t="str">
        <f>'BD Team'!F35</f>
        <v>NO</v>
      </c>
      <c r="I28" s="318">
        <f>'BD Team'!H35</f>
        <v>1145</v>
      </c>
      <c r="J28" s="318">
        <f>'BD Team'!I35</f>
        <v>2550</v>
      </c>
      <c r="K28" s="318">
        <f>'BD Team'!J35</f>
        <v>2</v>
      </c>
      <c r="L28" s="319">
        <f>'BD Team'!K35</f>
        <v>222.27</v>
      </c>
      <c r="M28" s="318">
        <f>Pricing!O30</f>
        <v>2003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</v>
      </c>
      <c r="C29" s="318" t="str">
        <f>'BD Team'!D36</f>
        <v>3 TRACK 2 SHUTTER SLIDING DOOR</v>
      </c>
      <c r="D29" s="318" t="str">
        <f>'BD Team'!E36</f>
        <v>6MM</v>
      </c>
      <c r="E29" s="318" t="str">
        <f>'BD Team'!G36</f>
        <v>4F - NEAR LIFT</v>
      </c>
      <c r="F29" s="318" t="str">
        <f>'BD Team'!F36</f>
        <v>SS</v>
      </c>
      <c r="I29" s="318">
        <f>'BD Team'!H36</f>
        <v>1200</v>
      </c>
      <c r="J29" s="318">
        <f>'BD Team'!I36</f>
        <v>2625</v>
      </c>
      <c r="K29" s="318">
        <f>'BD Team'!J36</f>
        <v>1</v>
      </c>
      <c r="L29" s="319">
        <f>'BD Team'!K36</f>
        <v>467.08</v>
      </c>
      <c r="M29" s="318">
        <f>Pricing!O31</f>
        <v>1002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W17</v>
      </c>
      <c r="B30" s="318" t="str">
        <f>'BD Team'!C37</f>
        <v>M940</v>
      </c>
      <c r="C30" s="318" t="str">
        <f>'BD Team'!D37</f>
        <v>FIXED GLASS 2 NO'S</v>
      </c>
      <c r="D30" s="318" t="str">
        <f>'BD Team'!E37</f>
        <v>6MM</v>
      </c>
      <c r="E30" s="318" t="str">
        <f>'BD Team'!G37</f>
        <v>4F - MBR 2</v>
      </c>
      <c r="F30" s="318" t="str">
        <f>'BD Team'!F37</f>
        <v>NO</v>
      </c>
      <c r="I30" s="318">
        <f>'BD Team'!H37</f>
        <v>640</v>
      </c>
      <c r="J30" s="318">
        <f>'BD Team'!I37</f>
        <v>2025</v>
      </c>
      <c r="K30" s="318">
        <f>'BD Team'!J37</f>
        <v>1</v>
      </c>
      <c r="L30" s="319">
        <f>'BD Team'!K37</f>
        <v>56.18</v>
      </c>
      <c r="M30" s="318">
        <f>Pricing!O32</f>
        <v>1002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SDW2</v>
      </c>
      <c r="B31" s="318" t="str">
        <f>'BD Team'!C38</f>
        <v>M14600</v>
      </c>
      <c r="C31" s="318" t="str">
        <f>'BD Team'!D38</f>
        <v>3 TRACK 2 SHUTTER SLIDING DOOR</v>
      </c>
      <c r="D31" s="318" t="str">
        <f>'BD Team'!E38</f>
        <v>10MM</v>
      </c>
      <c r="E31" s="318" t="str">
        <f>'BD Team'!G38</f>
        <v>4F - MBR 2</v>
      </c>
      <c r="F31" s="318" t="str">
        <f>'BD Team'!F38</f>
        <v>SS</v>
      </c>
      <c r="I31" s="318">
        <f>'BD Team'!H38</f>
        <v>3040</v>
      </c>
      <c r="J31" s="318">
        <f>'BD Team'!I38</f>
        <v>2625</v>
      </c>
      <c r="K31" s="318">
        <f>'BD Team'!J38</f>
        <v>1</v>
      </c>
      <c r="L31" s="319">
        <f>'BD Team'!K38</f>
        <v>600.6</v>
      </c>
      <c r="M31" s="318">
        <f>Pricing!O33</f>
        <v>1589</v>
      </c>
      <c r="N31" s="318">
        <f>Pricing!Q33</f>
        <v>538.19999999999993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W18</v>
      </c>
      <c r="B32" s="318" t="str">
        <f>'BD Team'!C39</f>
        <v>M14600</v>
      </c>
      <c r="C32" s="318" t="str">
        <f>'BD Team'!D39</f>
        <v>3 TRACK 2 SHUTTER SLIDING DOOR</v>
      </c>
      <c r="D32" s="318" t="str">
        <f>'BD Team'!E39</f>
        <v>6MM</v>
      </c>
      <c r="E32" s="318" t="str">
        <f>'BD Team'!G39</f>
        <v>4F - MBR 2</v>
      </c>
      <c r="F32" s="318" t="str">
        <f>'BD Team'!F39</f>
        <v>SS</v>
      </c>
      <c r="I32" s="318">
        <f>'BD Team'!H39</f>
        <v>1093</v>
      </c>
      <c r="J32" s="318">
        <f>'BD Team'!I39</f>
        <v>2025</v>
      </c>
      <c r="K32" s="318">
        <f>'BD Team'!J39</f>
        <v>1</v>
      </c>
      <c r="L32" s="319">
        <f>'BD Team'!K39</f>
        <v>395.75</v>
      </c>
      <c r="M32" s="318">
        <f>Pricing!O34</f>
        <v>1002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V6</v>
      </c>
      <c r="B33" s="318" t="str">
        <f>'BD Team'!C40</f>
        <v>M940</v>
      </c>
      <c r="C33" s="318" t="str">
        <f>'BD Team'!D40</f>
        <v>TOP HUNG WINDOW WITH BOTTOM FIXED</v>
      </c>
      <c r="D33" s="318" t="str">
        <f>'BD Team'!E40</f>
        <v>6MM (F)</v>
      </c>
      <c r="E33" s="318" t="str">
        <f>'BD Team'!G40</f>
        <v>5F - POWDER ROOM</v>
      </c>
      <c r="F33" s="318" t="str">
        <f>'BD Team'!F40</f>
        <v>NO</v>
      </c>
      <c r="I33" s="318">
        <f>'BD Team'!H40</f>
        <v>900</v>
      </c>
      <c r="J33" s="318">
        <f>'BD Team'!I40</f>
        <v>2550</v>
      </c>
      <c r="K33" s="318">
        <f>'BD Team'!J40</f>
        <v>1</v>
      </c>
      <c r="L33" s="319">
        <f>'BD Team'!K40</f>
        <v>202.15</v>
      </c>
      <c r="M33" s="318">
        <f>Pricing!O35</f>
        <v>2003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V7</v>
      </c>
      <c r="B34" s="318" t="str">
        <f>'BD Team'!C41</f>
        <v>M940</v>
      </c>
      <c r="C34" s="318" t="str">
        <f>'BD Team'!D41</f>
        <v>TOP HUNG WINDOW WITH BOTTOM FIXED</v>
      </c>
      <c r="D34" s="318" t="str">
        <f>'BD Team'!E41</f>
        <v>6MM (F)</v>
      </c>
      <c r="E34" s="318" t="str">
        <f>'BD Team'!G41</f>
        <v>5F - UTILITY</v>
      </c>
      <c r="F34" s="318" t="str">
        <f>'BD Team'!F41</f>
        <v>NO</v>
      </c>
      <c r="I34" s="318">
        <f>'BD Team'!H41</f>
        <v>640</v>
      </c>
      <c r="J34" s="318">
        <f>'BD Team'!I41</f>
        <v>2550</v>
      </c>
      <c r="K34" s="318">
        <f>'BD Team'!J41</f>
        <v>1</v>
      </c>
      <c r="L34" s="319">
        <f>'BD Team'!K41</f>
        <v>185.37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SDW4</v>
      </c>
      <c r="B35" s="318" t="str">
        <f>'BD Team'!C42</f>
        <v>M12500</v>
      </c>
      <c r="C35" s="318" t="str">
        <f>'BD Team'!D42</f>
        <v>2 TRACK 2 SHUTTER SLIDING DOOR</v>
      </c>
      <c r="D35" s="318" t="str">
        <f>'BD Team'!E42</f>
        <v>10MM</v>
      </c>
      <c r="E35" s="318" t="str">
        <f>'BD Team'!G42</f>
        <v>5F - SEATER</v>
      </c>
      <c r="F35" s="318" t="str">
        <f>'BD Team'!F42</f>
        <v>RETRACTABLE</v>
      </c>
      <c r="I35" s="318">
        <f>'BD Team'!H42</f>
        <v>4160</v>
      </c>
      <c r="J35" s="318">
        <f>'BD Team'!I42</f>
        <v>2440</v>
      </c>
      <c r="K35" s="318">
        <f>'BD Team'!J42</f>
        <v>1</v>
      </c>
      <c r="L35" s="319">
        <f>'BD Team'!K42</f>
        <v>922.12</v>
      </c>
      <c r="M35" s="318">
        <f>Pricing!O37</f>
        <v>1589</v>
      </c>
      <c r="N35" s="318">
        <f>Pricing!Q37</f>
        <v>0</v>
      </c>
      <c r="O35" s="318">
        <f>Pricing!R37</f>
        <v>9687.5999999999985</v>
      </c>
      <c r="P35" s="318">
        <f>Pricing!S37</f>
        <v>5000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SD2</v>
      </c>
      <c r="B36" s="318" t="str">
        <f>'BD Team'!C43</f>
        <v>M14600</v>
      </c>
      <c r="C36" s="318" t="str">
        <f>'BD Team'!D43</f>
        <v>3 TRACK 2 SHUTTER SLIDING DOOR</v>
      </c>
      <c r="D36" s="318" t="str">
        <f>'BD Team'!E43</f>
        <v>6MM</v>
      </c>
      <c r="E36" s="318" t="str">
        <f>'BD Team'!G43</f>
        <v>5F - NEAR LIFT</v>
      </c>
      <c r="F36" s="318" t="str">
        <f>'BD Team'!F43</f>
        <v>SS</v>
      </c>
      <c r="I36" s="318">
        <f>'BD Team'!H43</f>
        <v>1960</v>
      </c>
      <c r="J36" s="318">
        <f>'BD Team'!I43</f>
        <v>2551</v>
      </c>
      <c r="K36" s="318">
        <f>'BD Team'!J43</f>
        <v>1</v>
      </c>
      <c r="L36" s="319">
        <f>'BD Team'!K43</f>
        <v>516.38</v>
      </c>
      <c r="M36" s="318">
        <f>Pricing!O38</f>
        <v>1002</v>
      </c>
      <c r="N36" s="318">
        <f>Pricing!Q38</f>
        <v>538.19999999999993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3" sqref="E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513</v>
      </c>
      <c r="F2" s="137"/>
      <c r="G2" s="163"/>
      <c r="H2" s="323" t="s">
        <v>184</v>
      </c>
      <c r="I2" s="324"/>
      <c r="J2" s="165" t="s">
        <v>424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420</v>
      </c>
      <c r="F3" s="136" t="s">
        <v>182</v>
      </c>
      <c r="G3" s="162" t="s">
        <v>426</v>
      </c>
      <c r="H3" s="323" t="s">
        <v>185</v>
      </c>
      <c r="I3" s="324"/>
      <c r="J3" s="166">
        <v>43738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365</v>
      </c>
      <c r="F4" s="135"/>
      <c r="G4" s="164"/>
      <c r="H4" s="323" t="s">
        <v>186</v>
      </c>
      <c r="I4" s="324"/>
      <c r="J4" s="165" t="s">
        <v>402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425</v>
      </c>
      <c r="F5" s="136" t="s">
        <v>183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1325</v>
      </c>
      <c r="I9" s="113">
        <v>1035</v>
      </c>
      <c r="J9" s="113">
        <v>1</v>
      </c>
      <c r="K9" s="123">
        <f>123.56+54.76</f>
        <v>178.32</v>
      </c>
    </row>
    <row r="10" spans="1:13" ht="20.100000000000001" customHeight="1">
      <c r="A10" s="113">
        <v>2</v>
      </c>
      <c r="B10" s="113" t="s">
        <v>433</v>
      </c>
      <c r="C10" s="113" t="s">
        <v>434</v>
      </c>
      <c r="D10" s="113" t="s">
        <v>435</v>
      </c>
      <c r="E10" s="113" t="s">
        <v>263</v>
      </c>
      <c r="F10" s="113" t="s">
        <v>431</v>
      </c>
      <c r="G10" s="113" t="s">
        <v>436</v>
      </c>
      <c r="H10" s="113">
        <v>2185</v>
      </c>
      <c r="I10" s="113">
        <v>2325</v>
      </c>
      <c r="J10" s="113">
        <v>1</v>
      </c>
      <c r="K10" s="123">
        <v>477.01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428</v>
      </c>
      <c r="D11" s="113" t="s">
        <v>429</v>
      </c>
      <c r="E11" s="113" t="s">
        <v>430</v>
      </c>
      <c r="F11" s="113" t="s">
        <v>431</v>
      </c>
      <c r="G11" s="113" t="s">
        <v>438</v>
      </c>
      <c r="H11" s="113">
        <v>1385</v>
      </c>
      <c r="I11" s="113">
        <v>1575</v>
      </c>
      <c r="J11" s="113">
        <v>1</v>
      </c>
      <c r="K11" s="123">
        <f>154.43+70.72</f>
        <v>225.15</v>
      </c>
      <c r="L11" s="47" t="s">
        <v>281</v>
      </c>
    </row>
    <row r="12" spans="1:13" ht="20.100000000000001" customHeight="1">
      <c r="A12" s="113">
        <v>4</v>
      </c>
      <c r="B12" s="113" t="s">
        <v>439</v>
      </c>
      <c r="C12" s="113" t="s">
        <v>440</v>
      </c>
      <c r="D12" s="113" t="s">
        <v>441</v>
      </c>
      <c r="E12" s="113" t="s">
        <v>442</v>
      </c>
      <c r="F12" s="113" t="s">
        <v>443</v>
      </c>
      <c r="G12" s="113" t="s">
        <v>444</v>
      </c>
      <c r="H12" s="113">
        <v>875</v>
      </c>
      <c r="I12" s="113">
        <v>2100</v>
      </c>
      <c r="J12" s="113">
        <v>1</v>
      </c>
      <c r="K12" s="123">
        <v>193.43</v>
      </c>
      <c r="L12" s="47" t="s">
        <v>365</v>
      </c>
    </row>
    <row r="13" spans="1:13" ht="20.100000000000001" customHeight="1">
      <c r="A13" s="113">
        <v>5</v>
      </c>
      <c r="B13" s="113" t="s">
        <v>509</v>
      </c>
      <c r="C13" s="113" t="s">
        <v>434</v>
      </c>
      <c r="D13" s="113" t="s">
        <v>435</v>
      </c>
      <c r="E13" s="113" t="s">
        <v>430</v>
      </c>
      <c r="F13" s="113" t="s">
        <v>431</v>
      </c>
      <c r="G13" s="113" t="s">
        <v>445</v>
      </c>
      <c r="H13" s="113">
        <v>1280</v>
      </c>
      <c r="I13" s="113">
        <v>2025</v>
      </c>
      <c r="J13" s="113">
        <v>1</v>
      </c>
      <c r="K13" s="123">
        <v>409.8</v>
      </c>
      <c r="L13" s="47" t="s">
        <v>366</v>
      </c>
    </row>
    <row r="14" spans="1:13">
      <c r="A14" s="113">
        <v>6</v>
      </c>
      <c r="B14" s="113" t="s">
        <v>446</v>
      </c>
      <c r="C14" s="113" t="s">
        <v>447</v>
      </c>
      <c r="D14" s="113" t="s">
        <v>448</v>
      </c>
      <c r="E14" s="113" t="s">
        <v>270</v>
      </c>
      <c r="F14" s="113" t="s">
        <v>449</v>
      </c>
      <c r="G14" s="113" t="s">
        <v>445</v>
      </c>
      <c r="H14" s="113">
        <v>3640</v>
      </c>
      <c r="I14" s="113">
        <v>2625</v>
      </c>
      <c r="J14" s="113">
        <v>1</v>
      </c>
      <c r="K14" s="123">
        <v>924.88</v>
      </c>
      <c r="L14" s="47" t="s">
        <v>367</v>
      </c>
    </row>
    <row r="15" spans="1:13" ht="20.100000000000001" customHeight="1">
      <c r="A15" s="113">
        <v>7</v>
      </c>
      <c r="B15" s="113" t="s">
        <v>450</v>
      </c>
      <c r="C15" s="113" t="s">
        <v>440</v>
      </c>
      <c r="D15" s="113" t="s">
        <v>451</v>
      </c>
      <c r="E15" s="113" t="s">
        <v>442</v>
      </c>
      <c r="F15" s="113" t="s">
        <v>443</v>
      </c>
      <c r="G15" s="113" t="s">
        <v>452</v>
      </c>
      <c r="H15" s="113">
        <v>625</v>
      </c>
      <c r="I15" s="113">
        <v>2325</v>
      </c>
      <c r="J15" s="113">
        <v>2</v>
      </c>
      <c r="K15" s="123">
        <v>172.36</v>
      </c>
      <c r="L15" s="47" t="s">
        <v>368</v>
      </c>
    </row>
    <row r="16" spans="1:13" ht="20.100000000000001" customHeight="1">
      <c r="A16" s="113">
        <v>8</v>
      </c>
      <c r="B16" s="113" t="s">
        <v>453</v>
      </c>
      <c r="C16" s="113" t="s">
        <v>454</v>
      </c>
      <c r="D16" s="113" t="s">
        <v>455</v>
      </c>
      <c r="E16" s="113" t="s">
        <v>270</v>
      </c>
      <c r="F16" s="113" t="s">
        <v>443</v>
      </c>
      <c r="G16" s="113" t="s">
        <v>456</v>
      </c>
      <c r="H16" s="113">
        <v>4880</v>
      </c>
      <c r="I16" s="113">
        <v>2931</v>
      </c>
      <c r="J16" s="113">
        <v>1</v>
      </c>
      <c r="K16" s="123">
        <v>1144.95</v>
      </c>
      <c r="L16" s="47" t="s">
        <v>369</v>
      </c>
    </row>
    <row r="17" spans="1:13" ht="20.100000000000001" customHeight="1">
      <c r="A17" s="113">
        <v>9</v>
      </c>
      <c r="B17" s="113" t="s">
        <v>457</v>
      </c>
      <c r="C17" s="113" t="s">
        <v>440</v>
      </c>
      <c r="D17" s="113" t="s">
        <v>458</v>
      </c>
      <c r="E17" s="113" t="s">
        <v>430</v>
      </c>
      <c r="F17" s="113" t="s">
        <v>449</v>
      </c>
      <c r="G17" s="113" t="s">
        <v>459</v>
      </c>
      <c r="H17" s="113">
        <v>900</v>
      </c>
      <c r="I17" s="113">
        <v>1875</v>
      </c>
      <c r="J17" s="113">
        <v>1</v>
      </c>
      <c r="K17" s="123">
        <v>198.69</v>
      </c>
      <c r="L17" s="47" t="s">
        <v>370</v>
      </c>
    </row>
    <row r="18" spans="1:13" ht="20.100000000000001" customHeight="1">
      <c r="A18" s="113">
        <v>10</v>
      </c>
      <c r="B18" s="113" t="s">
        <v>460</v>
      </c>
      <c r="C18" s="113" t="s">
        <v>440</v>
      </c>
      <c r="D18" s="113" t="s">
        <v>461</v>
      </c>
      <c r="E18" s="113" t="s">
        <v>430</v>
      </c>
      <c r="F18" s="113" t="s">
        <v>443</v>
      </c>
      <c r="G18" s="113" t="s">
        <v>456</v>
      </c>
      <c r="H18" s="113">
        <v>750</v>
      </c>
      <c r="I18" s="113">
        <v>1875</v>
      </c>
      <c r="J18" s="113">
        <v>1</v>
      </c>
      <c r="K18" s="123">
        <v>42.33</v>
      </c>
      <c r="L18" s="47" t="s">
        <v>371</v>
      </c>
    </row>
    <row r="19" spans="1:13" ht="20.100000000000001" customHeight="1">
      <c r="A19" s="113">
        <v>11</v>
      </c>
      <c r="B19" s="113" t="s">
        <v>462</v>
      </c>
      <c r="C19" s="113" t="s">
        <v>440</v>
      </c>
      <c r="D19" s="113" t="s">
        <v>451</v>
      </c>
      <c r="E19" s="113" t="s">
        <v>442</v>
      </c>
      <c r="F19" s="113" t="s">
        <v>443</v>
      </c>
      <c r="G19" s="113" t="s">
        <v>463</v>
      </c>
      <c r="H19" s="113">
        <v>640</v>
      </c>
      <c r="I19" s="113">
        <v>2325</v>
      </c>
      <c r="J19" s="113">
        <v>2</v>
      </c>
      <c r="K19" s="123">
        <v>167.06</v>
      </c>
      <c r="L19" s="47" t="s">
        <v>372</v>
      </c>
    </row>
    <row r="20" spans="1:13">
      <c r="A20" s="113">
        <v>12</v>
      </c>
      <c r="B20" s="113" t="s">
        <v>464</v>
      </c>
      <c r="C20" s="113" t="s">
        <v>434</v>
      </c>
      <c r="D20" s="113" t="s">
        <v>435</v>
      </c>
      <c r="E20" s="113" t="s">
        <v>430</v>
      </c>
      <c r="F20" s="113" t="s">
        <v>431</v>
      </c>
      <c r="G20" s="113" t="s">
        <v>465</v>
      </c>
      <c r="H20" s="113">
        <v>2115</v>
      </c>
      <c r="I20" s="113">
        <v>2400</v>
      </c>
      <c r="J20" s="113">
        <v>1</v>
      </c>
      <c r="K20" s="123">
        <v>512.1</v>
      </c>
      <c r="L20" s="47" t="s">
        <v>386</v>
      </c>
    </row>
    <row r="21" spans="1:13" ht="20.100000000000001" customHeight="1">
      <c r="A21" s="113">
        <v>13</v>
      </c>
      <c r="B21" s="113" t="s">
        <v>466</v>
      </c>
      <c r="C21" s="113" t="s">
        <v>434</v>
      </c>
      <c r="D21" s="113" t="s">
        <v>429</v>
      </c>
      <c r="E21" s="113" t="s">
        <v>430</v>
      </c>
      <c r="F21" s="113" t="s">
        <v>431</v>
      </c>
      <c r="G21" s="113" t="s">
        <v>467</v>
      </c>
      <c r="H21" s="113">
        <v>2575</v>
      </c>
      <c r="I21" s="113">
        <v>1500</v>
      </c>
      <c r="J21" s="113">
        <v>1</v>
      </c>
      <c r="K21" s="123">
        <v>437.68</v>
      </c>
      <c r="L21" s="47" t="s">
        <v>387</v>
      </c>
    </row>
    <row r="22" spans="1:13" ht="20.100000000000001" customHeight="1">
      <c r="A22" s="113">
        <v>14</v>
      </c>
      <c r="B22" s="113" t="s">
        <v>468</v>
      </c>
      <c r="C22" s="113" t="s">
        <v>454</v>
      </c>
      <c r="D22" s="113" t="s">
        <v>469</v>
      </c>
      <c r="E22" s="113" t="s">
        <v>270</v>
      </c>
      <c r="F22" s="113" t="s">
        <v>443</v>
      </c>
      <c r="G22" s="113" t="s">
        <v>467</v>
      </c>
      <c r="H22" s="113">
        <v>2700</v>
      </c>
      <c r="I22" s="113">
        <v>2400</v>
      </c>
      <c r="J22" s="113">
        <v>1</v>
      </c>
      <c r="K22" s="123">
        <v>651.41999999999996</v>
      </c>
      <c r="L22" s="47" t="s">
        <v>388</v>
      </c>
    </row>
    <row r="23" spans="1:13" ht="20.100000000000001" customHeight="1">
      <c r="A23" s="113">
        <v>15</v>
      </c>
      <c r="B23" s="113" t="s">
        <v>470</v>
      </c>
      <c r="C23" s="113" t="s">
        <v>428</v>
      </c>
      <c r="D23" s="113" t="s">
        <v>429</v>
      </c>
      <c r="E23" s="113" t="s">
        <v>430</v>
      </c>
      <c r="F23" s="113" t="s">
        <v>431</v>
      </c>
      <c r="G23" s="113" t="s">
        <v>471</v>
      </c>
      <c r="H23" s="113">
        <v>1000</v>
      </c>
      <c r="I23" s="113">
        <v>1050</v>
      </c>
      <c r="J23" s="113">
        <v>2</v>
      </c>
      <c r="K23" s="123">
        <f>103.11+49.83</f>
        <v>152.94</v>
      </c>
      <c r="L23" s="47" t="s">
        <v>403</v>
      </c>
    </row>
    <row r="24" spans="1:13" ht="20.100000000000001" customHeight="1">
      <c r="A24" s="113">
        <v>16</v>
      </c>
      <c r="B24" s="113" t="s">
        <v>472</v>
      </c>
      <c r="C24" s="113" t="s">
        <v>434</v>
      </c>
      <c r="D24" s="113" t="s">
        <v>473</v>
      </c>
      <c r="E24" s="113" t="s">
        <v>270</v>
      </c>
      <c r="F24" s="113" t="s">
        <v>431</v>
      </c>
      <c r="G24" s="113" t="s">
        <v>474</v>
      </c>
      <c r="H24" s="113">
        <v>4880</v>
      </c>
      <c r="I24" s="113">
        <v>1425</v>
      </c>
      <c r="J24" s="113">
        <v>1</v>
      </c>
      <c r="K24" s="123">
        <v>722.58</v>
      </c>
      <c r="L24" s="47" t="s">
        <v>417</v>
      </c>
    </row>
    <row r="25" spans="1:13" ht="20.100000000000001" customHeight="1">
      <c r="A25" s="113">
        <v>17</v>
      </c>
      <c r="B25" s="113" t="s">
        <v>475</v>
      </c>
      <c r="C25" s="113" t="s">
        <v>440</v>
      </c>
      <c r="D25" s="113" t="s">
        <v>476</v>
      </c>
      <c r="E25" s="113" t="s">
        <v>430</v>
      </c>
      <c r="F25" s="113" t="s">
        <v>443</v>
      </c>
      <c r="G25" s="113" t="s">
        <v>474</v>
      </c>
      <c r="H25" s="113">
        <v>640</v>
      </c>
      <c r="I25" s="113">
        <v>2575</v>
      </c>
      <c r="J25" s="113">
        <v>1</v>
      </c>
      <c r="K25" s="123">
        <v>64.86</v>
      </c>
      <c r="L25" s="47" t="s">
        <v>418</v>
      </c>
    </row>
    <row r="26" spans="1:13">
      <c r="A26" s="113">
        <v>18</v>
      </c>
      <c r="B26" s="113" t="s">
        <v>477</v>
      </c>
      <c r="C26" s="113" t="s">
        <v>434</v>
      </c>
      <c r="D26" s="113" t="s">
        <v>429</v>
      </c>
      <c r="E26" s="113" t="s">
        <v>430</v>
      </c>
      <c r="F26" s="113" t="s">
        <v>431</v>
      </c>
      <c r="G26" s="113" t="s">
        <v>478</v>
      </c>
      <c r="H26" s="113">
        <v>2695</v>
      </c>
      <c r="I26" s="113">
        <v>1425</v>
      </c>
      <c r="J26" s="113">
        <v>1</v>
      </c>
      <c r="K26" s="123">
        <v>438.79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479</v>
      </c>
      <c r="C27" s="113" t="s">
        <v>454</v>
      </c>
      <c r="D27" s="113" t="s">
        <v>469</v>
      </c>
      <c r="E27" s="113" t="s">
        <v>270</v>
      </c>
      <c r="F27" s="113" t="s">
        <v>443</v>
      </c>
      <c r="G27" s="113" t="s">
        <v>478</v>
      </c>
      <c r="H27" s="113">
        <v>2700</v>
      </c>
      <c r="I27" s="113">
        <v>2625</v>
      </c>
      <c r="J27" s="113">
        <v>1</v>
      </c>
      <c r="K27" s="123">
        <v>673.44</v>
      </c>
    </row>
    <row r="28" spans="1:13" ht="20.100000000000001" customHeight="1">
      <c r="A28" s="113">
        <v>20</v>
      </c>
      <c r="B28" s="113" t="s">
        <v>480</v>
      </c>
      <c r="C28" s="113" t="s">
        <v>434</v>
      </c>
      <c r="D28" s="113" t="s">
        <v>481</v>
      </c>
      <c r="E28" s="113" t="s">
        <v>270</v>
      </c>
      <c r="F28" s="113" t="s">
        <v>431</v>
      </c>
      <c r="G28" s="113" t="s">
        <v>474</v>
      </c>
      <c r="H28" s="113">
        <v>7165</v>
      </c>
      <c r="I28" s="113">
        <v>2900</v>
      </c>
      <c r="J28" s="113">
        <v>1</v>
      </c>
      <c r="K28" s="123">
        <v>1618.99</v>
      </c>
    </row>
    <row r="29" spans="1:13" ht="20.100000000000001" customHeight="1">
      <c r="A29" s="113">
        <v>21</v>
      </c>
      <c r="B29" s="113" t="s">
        <v>482</v>
      </c>
      <c r="C29" s="113" t="s">
        <v>447</v>
      </c>
      <c r="D29" s="113" t="s">
        <v>448</v>
      </c>
      <c r="E29" s="113" t="s">
        <v>270</v>
      </c>
      <c r="F29" s="113" t="s">
        <v>449</v>
      </c>
      <c r="G29" s="113" t="s">
        <v>485</v>
      </c>
      <c r="H29" s="113">
        <v>4050</v>
      </c>
      <c r="I29" s="113">
        <v>2425</v>
      </c>
      <c r="J29" s="113">
        <v>1</v>
      </c>
      <c r="K29" s="123">
        <v>928.9</v>
      </c>
    </row>
    <row r="30" spans="1:13" ht="20.100000000000001" customHeight="1">
      <c r="A30" s="113">
        <v>22</v>
      </c>
      <c r="B30" s="113" t="s">
        <v>483</v>
      </c>
      <c r="C30" s="113" t="s">
        <v>440</v>
      </c>
      <c r="D30" s="113" t="s">
        <v>484</v>
      </c>
      <c r="E30" s="113" t="s">
        <v>430</v>
      </c>
      <c r="F30" s="113" t="s">
        <v>443</v>
      </c>
      <c r="G30" s="113" t="s">
        <v>485</v>
      </c>
      <c r="H30" s="113">
        <v>4987</v>
      </c>
      <c r="I30" s="113">
        <v>1275</v>
      </c>
      <c r="J30" s="113">
        <v>1</v>
      </c>
      <c r="K30" s="123">
        <v>170.57</v>
      </c>
    </row>
    <row r="31" spans="1:13" ht="20.100000000000001" customHeight="1">
      <c r="A31" s="113">
        <v>23</v>
      </c>
      <c r="B31" s="113" t="s">
        <v>486</v>
      </c>
      <c r="C31" s="113" t="s">
        <v>440</v>
      </c>
      <c r="D31" s="113" t="s">
        <v>451</v>
      </c>
      <c r="E31" s="113" t="s">
        <v>442</v>
      </c>
      <c r="F31" s="113" t="s">
        <v>443</v>
      </c>
      <c r="G31" s="113" t="s">
        <v>487</v>
      </c>
      <c r="H31" s="113">
        <v>1080</v>
      </c>
      <c r="I31" s="113">
        <v>2325</v>
      </c>
      <c r="J31" s="113">
        <v>1</v>
      </c>
      <c r="K31" s="123">
        <v>210.21</v>
      </c>
    </row>
    <row r="32" spans="1:13">
      <c r="A32" s="113">
        <v>24</v>
      </c>
      <c r="B32" s="113" t="s">
        <v>488</v>
      </c>
      <c r="C32" s="113" t="s">
        <v>434</v>
      </c>
      <c r="D32" s="113" t="s">
        <v>429</v>
      </c>
      <c r="E32" s="113" t="s">
        <v>430</v>
      </c>
      <c r="F32" s="113" t="s">
        <v>431</v>
      </c>
      <c r="G32" s="113" t="s">
        <v>489</v>
      </c>
      <c r="H32" s="113">
        <v>2000</v>
      </c>
      <c r="I32" s="113">
        <v>1875</v>
      </c>
      <c r="J32" s="113">
        <v>1</v>
      </c>
      <c r="K32" s="123">
        <v>434.03</v>
      </c>
    </row>
    <row r="33" spans="1:11" ht="20.100000000000001" customHeight="1">
      <c r="A33" s="113">
        <v>25</v>
      </c>
      <c r="B33" s="113" t="s">
        <v>490</v>
      </c>
      <c r="C33" s="113" t="s">
        <v>434</v>
      </c>
      <c r="D33" s="113" t="s">
        <v>435</v>
      </c>
      <c r="E33" s="113" t="s">
        <v>430</v>
      </c>
      <c r="F33" s="113" t="s">
        <v>431</v>
      </c>
      <c r="G33" s="113" t="s">
        <v>489</v>
      </c>
      <c r="H33" s="113">
        <v>1735</v>
      </c>
      <c r="I33" s="113">
        <v>2625</v>
      </c>
      <c r="J33" s="113">
        <v>1</v>
      </c>
      <c r="K33" s="123">
        <v>507.28</v>
      </c>
    </row>
    <row r="34" spans="1:11" ht="20.100000000000001" customHeight="1">
      <c r="A34" s="113">
        <v>26</v>
      </c>
      <c r="B34" s="113" t="s">
        <v>491</v>
      </c>
      <c r="C34" s="113" t="s">
        <v>434</v>
      </c>
      <c r="D34" s="113" t="s">
        <v>435</v>
      </c>
      <c r="E34" s="113" t="s">
        <v>270</v>
      </c>
      <c r="F34" s="113" t="s">
        <v>431</v>
      </c>
      <c r="G34" s="113" t="s">
        <v>492</v>
      </c>
      <c r="H34" s="113">
        <v>2865</v>
      </c>
      <c r="I34" s="113">
        <v>2625</v>
      </c>
      <c r="J34" s="113">
        <v>1</v>
      </c>
      <c r="K34" s="123">
        <v>582.4</v>
      </c>
    </row>
    <row r="35" spans="1:11" ht="20.100000000000001" customHeight="1">
      <c r="A35" s="113">
        <v>27</v>
      </c>
      <c r="B35" s="113" t="s">
        <v>493</v>
      </c>
      <c r="C35" s="113" t="s">
        <v>440</v>
      </c>
      <c r="D35" s="113" t="s">
        <v>451</v>
      </c>
      <c r="E35" s="113" t="s">
        <v>442</v>
      </c>
      <c r="F35" s="113" t="s">
        <v>443</v>
      </c>
      <c r="G35" s="113" t="s">
        <v>494</v>
      </c>
      <c r="H35" s="113">
        <v>1145</v>
      </c>
      <c r="I35" s="113">
        <v>2550</v>
      </c>
      <c r="J35" s="113">
        <v>2</v>
      </c>
      <c r="K35" s="123">
        <v>222.27</v>
      </c>
    </row>
    <row r="36" spans="1:11" ht="20.100000000000001" customHeight="1">
      <c r="A36" s="113">
        <v>28</v>
      </c>
      <c r="B36" s="113" t="s">
        <v>495</v>
      </c>
      <c r="C36" s="113" t="s">
        <v>434</v>
      </c>
      <c r="D36" s="113" t="s">
        <v>435</v>
      </c>
      <c r="E36" s="113" t="s">
        <v>430</v>
      </c>
      <c r="F36" s="113" t="s">
        <v>431</v>
      </c>
      <c r="G36" s="113" t="s">
        <v>496</v>
      </c>
      <c r="H36" s="113">
        <v>1200</v>
      </c>
      <c r="I36" s="113">
        <v>2625</v>
      </c>
      <c r="J36" s="113">
        <v>1</v>
      </c>
      <c r="K36" s="123">
        <v>467.08</v>
      </c>
    </row>
    <row r="37" spans="1:11" ht="20.100000000000001" customHeight="1">
      <c r="A37" s="113">
        <v>29</v>
      </c>
      <c r="B37" s="113" t="s">
        <v>497</v>
      </c>
      <c r="C37" s="113" t="s">
        <v>440</v>
      </c>
      <c r="D37" s="113" t="s">
        <v>476</v>
      </c>
      <c r="E37" s="113" t="s">
        <v>430</v>
      </c>
      <c r="F37" s="113" t="s">
        <v>443</v>
      </c>
      <c r="G37" s="113" t="s">
        <v>498</v>
      </c>
      <c r="H37" s="113">
        <v>640</v>
      </c>
      <c r="I37" s="113">
        <v>2025</v>
      </c>
      <c r="J37" s="113">
        <v>1</v>
      </c>
      <c r="K37" s="123">
        <v>56.18</v>
      </c>
    </row>
    <row r="38" spans="1:11">
      <c r="A38" s="113">
        <v>30</v>
      </c>
      <c r="B38" s="113" t="s">
        <v>499</v>
      </c>
      <c r="C38" s="113" t="s">
        <v>434</v>
      </c>
      <c r="D38" s="113" t="s">
        <v>435</v>
      </c>
      <c r="E38" s="113" t="s">
        <v>270</v>
      </c>
      <c r="F38" s="113" t="s">
        <v>431</v>
      </c>
      <c r="G38" s="113" t="s">
        <v>498</v>
      </c>
      <c r="H38" s="113">
        <v>3040</v>
      </c>
      <c r="I38" s="113">
        <v>2625</v>
      </c>
      <c r="J38" s="113">
        <v>1</v>
      </c>
      <c r="K38" s="123">
        <v>600.6</v>
      </c>
    </row>
    <row r="39" spans="1:11" ht="20.100000000000001" customHeight="1">
      <c r="A39" s="113">
        <v>31</v>
      </c>
      <c r="B39" s="113" t="s">
        <v>500</v>
      </c>
      <c r="C39" s="113" t="s">
        <v>434</v>
      </c>
      <c r="D39" s="113" t="s">
        <v>435</v>
      </c>
      <c r="E39" s="113" t="s">
        <v>430</v>
      </c>
      <c r="F39" s="113" t="s">
        <v>431</v>
      </c>
      <c r="G39" s="113" t="s">
        <v>498</v>
      </c>
      <c r="H39" s="113">
        <v>1093</v>
      </c>
      <c r="I39" s="113">
        <v>2025</v>
      </c>
      <c r="J39" s="113">
        <v>1</v>
      </c>
      <c r="K39" s="123">
        <v>395.75</v>
      </c>
    </row>
    <row r="40" spans="1:11" ht="20.100000000000001" customHeight="1">
      <c r="A40" s="113">
        <v>32</v>
      </c>
      <c r="B40" s="113" t="s">
        <v>501</v>
      </c>
      <c r="C40" s="113" t="s">
        <v>440</v>
      </c>
      <c r="D40" s="113" t="s">
        <v>451</v>
      </c>
      <c r="E40" s="113" t="s">
        <v>442</v>
      </c>
      <c r="F40" s="113" t="s">
        <v>443</v>
      </c>
      <c r="G40" s="113" t="s">
        <v>502</v>
      </c>
      <c r="H40" s="113">
        <v>900</v>
      </c>
      <c r="I40" s="113">
        <v>2550</v>
      </c>
      <c r="J40" s="113">
        <v>1</v>
      </c>
      <c r="K40" s="123">
        <v>202.15</v>
      </c>
    </row>
    <row r="41" spans="1:11" ht="20.100000000000001" customHeight="1">
      <c r="A41" s="113">
        <v>33</v>
      </c>
      <c r="B41" s="113" t="s">
        <v>503</v>
      </c>
      <c r="C41" s="113" t="s">
        <v>440</v>
      </c>
      <c r="D41" s="113" t="s">
        <v>451</v>
      </c>
      <c r="E41" s="113" t="s">
        <v>442</v>
      </c>
      <c r="F41" s="113" t="s">
        <v>443</v>
      </c>
      <c r="G41" s="113" t="s">
        <v>504</v>
      </c>
      <c r="H41" s="113">
        <v>640</v>
      </c>
      <c r="I41" s="113">
        <v>2550</v>
      </c>
      <c r="J41" s="113">
        <v>1</v>
      </c>
      <c r="K41" s="123">
        <v>185.37</v>
      </c>
    </row>
    <row r="42" spans="1:11">
      <c r="A42" s="113">
        <v>34</v>
      </c>
      <c r="B42" s="113" t="s">
        <v>505</v>
      </c>
      <c r="C42" s="113" t="s">
        <v>447</v>
      </c>
      <c r="D42" s="113" t="s">
        <v>448</v>
      </c>
      <c r="E42" s="113" t="s">
        <v>270</v>
      </c>
      <c r="F42" s="113" t="s">
        <v>449</v>
      </c>
      <c r="G42" s="113" t="s">
        <v>506</v>
      </c>
      <c r="H42" s="113">
        <v>4160</v>
      </c>
      <c r="I42" s="113">
        <v>2440</v>
      </c>
      <c r="J42" s="113">
        <v>1</v>
      </c>
      <c r="K42" s="123">
        <v>922.12</v>
      </c>
    </row>
    <row r="43" spans="1:11" ht="20.100000000000001" customHeight="1">
      <c r="A43" s="113">
        <v>35</v>
      </c>
      <c r="B43" s="113" t="s">
        <v>507</v>
      </c>
      <c r="C43" s="113" t="s">
        <v>434</v>
      </c>
      <c r="D43" s="113" t="s">
        <v>435</v>
      </c>
      <c r="E43" s="113" t="s">
        <v>430</v>
      </c>
      <c r="F43" s="113" t="s">
        <v>431</v>
      </c>
      <c r="G43" s="113" t="s">
        <v>508</v>
      </c>
      <c r="H43" s="113">
        <v>1960</v>
      </c>
      <c r="I43" s="113">
        <v>2551</v>
      </c>
      <c r="J43" s="113">
        <v>1</v>
      </c>
      <c r="K43" s="123">
        <v>516.38</v>
      </c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113" sqref="P1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W02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SERVANT ROOM</v>
      </c>
      <c r="G4" s="118">
        <f>'BD Team'!H9</f>
        <v>1325</v>
      </c>
      <c r="H4" s="118">
        <f>'BD Team'!I9</f>
        <v>1035</v>
      </c>
      <c r="I4" s="118">
        <f>'BD Team'!J9</f>
        <v>1</v>
      </c>
      <c r="J4" s="103">
        <f t="shared" ref="J4:J53" si="0">G4*H4*I4*10.764/1000000</f>
        <v>14.761480499999999</v>
      </c>
      <c r="K4" s="172">
        <f>'BD Team'!K9</f>
        <v>178.32</v>
      </c>
      <c r="L4" s="171">
        <f>K4*I4</f>
        <v>178.32</v>
      </c>
      <c r="M4" s="170">
        <f>L4*'Changable Values'!$D$4</f>
        <v>14800.56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15.733333333333333</v>
      </c>
      <c r="U4" s="313">
        <f>SUM(G4:H4)*I4*2*4/1000</f>
        <v>18.88</v>
      </c>
      <c r="V4" s="313">
        <f>SUM(G4:H4)*I4*5*5*4/(1000*240)</f>
        <v>0.98333333333333328</v>
      </c>
      <c r="W4" s="313">
        <f>T4</f>
        <v>15.733333333333333</v>
      </c>
      <c r="X4" s="313">
        <f>W4*2</f>
        <v>31.466666666666665</v>
      </c>
      <c r="Y4" s="313">
        <f>SUM(G4:H4)*I4*4/1000</f>
        <v>9.44</v>
      </c>
    </row>
    <row r="5" spans="1:25">
      <c r="A5" s="118">
        <f>'BD Team'!A10</f>
        <v>2</v>
      </c>
      <c r="B5" s="118" t="str">
        <f>'BD Team'!B10</f>
        <v>W03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GF - MUSIC ROOM</v>
      </c>
      <c r="G5" s="118">
        <f>'BD Team'!H10</f>
        <v>2185</v>
      </c>
      <c r="H5" s="118">
        <f>'BD Team'!I10</f>
        <v>2325</v>
      </c>
      <c r="I5" s="118">
        <f>'BD Team'!J10</f>
        <v>1</v>
      </c>
      <c r="J5" s="103">
        <f t="shared" si="0"/>
        <v>54.682465499999999</v>
      </c>
      <c r="K5" s="172">
        <f>'BD Team'!K10</f>
        <v>477.01</v>
      </c>
      <c r="L5" s="171">
        <f t="shared" ref="L5:L53" si="1">K5*I5</f>
        <v>477.01</v>
      </c>
      <c r="M5" s="170">
        <f>L5*'Changable Values'!$D$4</f>
        <v>39591.83</v>
      </c>
      <c r="N5" s="170" t="str">
        <f>'BD Team'!E10</f>
        <v>24MM</v>
      </c>
      <c r="O5" s="172">
        <v>2938</v>
      </c>
      <c r="P5" s="241"/>
      <c r="Q5" s="173">
        <f t="shared" ref="Q5:Q6" si="2">50*10.764</f>
        <v>538.19999999999993</v>
      </c>
      <c r="R5" s="185"/>
      <c r="S5" s="312"/>
      <c r="T5" s="313">
        <f t="shared" ref="T5:T68" si="3">(G5+H5)*I5*2/300</f>
        <v>30.066666666666666</v>
      </c>
      <c r="U5" s="313">
        <f t="shared" ref="U5:U68" si="4">SUM(G5:H5)*I5*2*4/1000</f>
        <v>36.08</v>
      </c>
      <c r="V5" s="313">
        <f t="shared" ref="V5:V68" si="5">SUM(G5:H5)*I5*5*5*4/(1000*240)</f>
        <v>1.8791666666666667</v>
      </c>
      <c r="W5" s="313">
        <f t="shared" ref="W5:W68" si="6">T5</f>
        <v>30.066666666666666</v>
      </c>
      <c r="X5" s="313">
        <f t="shared" ref="X5:X68" si="7">W5*2</f>
        <v>60.133333333333333</v>
      </c>
      <c r="Y5" s="313">
        <f t="shared" ref="Y5:Y68" si="8">SUM(G5:H5)*I5*4/1000</f>
        <v>18.04</v>
      </c>
    </row>
    <row r="6" spans="1:25" ht="28.5">
      <c r="A6" s="118">
        <f>'BD Team'!A11</f>
        <v>3</v>
      </c>
      <c r="B6" s="118" t="str">
        <f>'BD Team'!B11</f>
        <v>W4S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MULTI PURPOSE ROOM</v>
      </c>
      <c r="G6" s="118">
        <f>'BD Team'!H11</f>
        <v>1385</v>
      </c>
      <c r="H6" s="118">
        <f>'BD Team'!I11</f>
        <v>1575</v>
      </c>
      <c r="I6" s="118">
        <f>'BD Team'!J11</f>
        <v>1</v>
      </c>
      <c r="J6" s="103">
        <f t="shared" si="0"/>
        <v>23.480320500000001</v>
      </c>
      <c r="K6" s="172">
        <f>'BD Team'!K11</f>
        <v>225.15</v>
      </c>
      <c r="L6" s="171">
        <f t="shared" si="1"/>
        <v>225.15</v>
      </c>
      <c r="M6" s="170">
        <f>L6*'Changable Values'!$D$4</f>
        <v>18687.45</v>
      </c>
      <c r="N6" s="170" t="str">
        <f>'BD Team'!E11</f>
        <v>6MM</v>
      </c>
      <c r="O6" s="172">
        <v>1002</v>
      </c>
      <c r="P6" s="241"/>
      <c r="Q6" s="173">
        <f t="shared" si="2"/>
        <v>538.19999999999993</v>
      </c>
      <c r="R6" s="185"/>
      <c r="S6" s="312"/>
      <c r="T6" s="313">
        <f t="shared" si="3"/>
        <v>19.733333333333334</v>
      </c>
      <c r="U6" s="313">
        <f t="shared" si="4"/>
        <v>23.68</v>
      </c>
      <c r="V6" s="313">
        <f t="shared" si="5"/>
        <v>1.2333333333333334</v>
      </c>
      <c r="W6" s="313">
        <f t="shared" si="6"/>
        <v>19.733333333333334</v>
      </c>
      <c r="X6" s="313">
        <f t="shared" si="7"/>
        <v>39.466666666666669</v>
      </c>
      <c r="Y6" s="313">
        <f t="shared" si="8"/>
        <v>11.84</v>
      </c>
    </row>
    <row r="7" spans="1:25" ht="28.5">
      <c r="A7" s="118">
        <f>'BD Team'!A12</f>
        <v>4</v>
      </c>
      <c r="B7" s="118" t="str">
        <f>'BD Team'!B12</f>
        <v>V1</v>
      </c>
      <c r="C7" s="118" t="str">
        <f>'BD Team'!C12</f>
        <v>M940</v>
      </c>
      <c r="D7" s="118" t="str">
        <f>'BD Team'!D12</f>
        <v>TOP HUNG WINDOW WITH TOP FIXED</v>
      </c>
      <c r="E7" s="118" t="str">
        <f>'BD Team'!F12</f>
        <v>NO</v>
      </c>
      <c r="F7" s="121" t="str">
        <f>'BD Team'!G12</f>
        <v>GF - SERVANT ROOM TOILET</v>
      </c>
      <c r="G7" s="118">
        <f>'BD Team'!H12</f>
        <v>875</v>
      </c>
      <c r="H7" s="118">
        <f>'BD Team'!I12</f>
        <v>2100</v>
      </c>
      <c r="I7" s="118">
        <f>'BD Team'!J12</f>
        <v>1</v>
      </c>
      <c r="J7" s="103">
        <f t="shared" si="0"/>
        <v>19.778849999999998</v>
      </c>
      <c r="K7" s="172">
        <f>'BD Team'!K12</f>
        <v>193.43</v>
      </c>
      <c r="L7" s="171">
        <f t="shared" si="1"/>
        <v>193.43</v>
      </c>
      <c r="M7" s="170">
        <f>L7*'Changable Values'!$D$4</f>
        <v>16054.69</v>
      </c>
      <c r="N7" s="170" t="str">
        <f>'BD Team'!E12</f>
        <v>6MM (F)</v>
      </c>
      <c r="O7" s="172">
        <v>2003</v>
      </c>
      <c r="P7" s="241"/>
      <c r="Q7" s="173"/>
      <c r="R7" s="185"/>
      <c r="S7" s="312"/>
      <c r="T7" s="313">
        <f t="shared" si="3"/>
        <v>19.833333333333332</v>
      </c>
      <c r="U7" s="313">
        <f t="shared" si="4"/>
        <v>23.8</v>
      </c>
      <c r="V7" s="313">
        <f t="shared" si="5"/>
        <v>1.2395833333333333</v>
      </c>
      <c r="W7" s="313">
        <f t="shared" si="6"/>
        <v>19.833333333333332</v>
      </c>
      <c r="X7" s="313">
        <f t="shared" si="7"/>
        <v>39.666666666666664</v>
      </c>
      <c r="Y7" s="313">
        <f t="shared" si="8"/>
        <v>11.9</v>
      </c>
    </row>
    <row r="8" spans="1:25">
      <c r="A8" s="118">
        <f>'BD Team'!A13</f>
        <v>5</v>
      </c>
      <c r="B8" s="118" t="str">
        <f>'BD Team'!B13</f>
        <v>W4</v>
      </c>
      <c r="C8" s="118" t="str">
        <f>'BD Team'!C13</f>
        <v>M14600</v>
      </c>
      <c r="D8" s="118" t="str">
        <f>'BD Team'!D13</f>
        <v>3 TRACK 2 SHUTTER SLIDING DOOR</v>
      </c>
      <c r="E8" s="118" t="str">
        <f>'BD Team'!F13</f>
        <v>SS</v>
      </c>
      <c r="F8" s="121" t="str">
        <f>'BD Team'!G13</f>
        <v>1F - LIVING ROOM</v>
      </c>
      <c r="G8" s="118">
        <f>'BD Team'!H13</f>
        <v>1280</v>
      </c>
      <c r="H8" s="118">
        <f>'BD Team'!I13</f>
        <v>2025</v>
      </c>
      <c r="I8" s="118">
        <f>'BD Team'!J13</f>
        <v>1</v>
      </c>
      <c r="J8" s="103">
        <f t="shared" si="0"/>
        <v>27.900288</v>
      </c>
      <c r="K8" s="172">
        <f>'BD Team'!K13</f>
        <v>409.8</v>
      </c>
      <c r="L8" s="171">
        <f t="shared" si="1"/>
        <v>409.8</v>
      </c>
      <c r="M8" s="170">
        <f>L8*'Changable Values'!$D$4</f>
        <v>34013.4</v>
      </c>
      <c r="N8" s="170" t="str">
        <f>'BD Team'!E13</f>
        <v>6MM</v>
      </c>
      <c r="O8" s="172">
        <v>1002</v>
      </c>
      <c r="P8" s="241"/>
      <c r="Q8" s="173">
        <f>50*10.764</f>
        <v>538.19999999999993</v>
      </c>
      <c r="R8" s="185"/>
      <c r="S8" s="312"/>
      <c r="T8" s="313">
        <f t="shared" si="3"/>
        <v>22.033333333333335</v>
      </c>
      <c r="U8" s="313">
        <f t="shared" si="4"/>
        <v>26.44</v>
      </c>
      <c r="V8" s="313">
        <f t="shared" si="5"/>
        <v>1.3770833333333334</v>
      </c>
      <c r="W8" s="313">
        <f t="shared" si="6"/>
        <v>22.033333333333335</v>
      </c>
      <c r="X8" s="313">
        <f t="shared" si="7"/>
        <v>44.06666666666667</v>
      </c>
      <c r="Y8" s="313">
        <f t="shared" si="8"/>
        <v>13.22</v>
      </c>
    </row>
    <row r="9" spans="1:25">
      <c r="A9" s="118">
        <f>'BD Team'!A14</f>
        <v>6</v>
      </c>
      <c r="B9" s="118" t="str">
        <f>'BD Team'!B14</f>
        <v>SDW1</v>
      </c>
      <c r="C9" s="118" t="str">
        <f>'BD Team'!C14</f>
        <v>M12500</v>
      </c>
      <c r="D9" s="118" t="str">
        <f>'BD Team'!D14</f>
        <v>2 TRACK 2 SHUTTER SLIDING DOOR</v>
      </c>
      <c r="E9" s="118" t="str">
        <f>'BD Team'!F14</f>
        <v>RETRACTABLE</v>
      </c>
      <c r="F9" s="121" t="str">
        <f>'BD Team'!G14</f>
        <v>1F - LIVING ROOM</v>
      </c>
      <c r="G9" s="118">
        <f>'BD Team'!H14</f>
        <v>3640</v>
      </c>
      <c r="H9" s="118">
        <f>'BD Team'!I14</f>
        <v>2625</v>
      </c>
      <c r="I9" s="118">
        <f>'BD Team'!J14</f>
        <v>1</v>
      </c>
      <c r="J9" s="103">
        <f t="shared" si="0"/>
        <v>102.85002</v>
      </c>
      <c r="K9" s="172">
        <f>'BD Team'!K14</f>
        <v>924.88</v>
      </c>
      <c r="L9" s="171">
        <f t="shared" si="1"/>
        <v>924.88</v>
      </c>
      <c r="M9" s="170">
        <f>L9*'Changable Values'!$D$4</f>
        <v>76765.039999999994</v>
      </c>
      <c r="N9" s="170" t="str">
        <f>'BD Team'!E14</f>
        <v>10MM</v>
      </c>
      <c r="O9" s="172">
        <v>1589</v>
      </c>
      <c r="P9" s="241"/>
      <c r="Q9" s="173"/>
      <c r="R9" s="185">
        <f>900*10.764</f>
        <v>9687.5999999999985</v>
      </c>
      <c r="S9" s="312">
        <v>5000</v>
      </c>
      <c r="T9" s="313">
        <f t="shared" si="3"/>
        <v>41.766666666666666</v>
      </c>
      <c r="U9" s="313">
        <f t="shared" si="4"/>
        <v>50.12</v>
      </c>
      <c r="V9" s="313">
        <f t="shared" si="5"/>
        <v>2.6104166666666666</v>
      </c>
      <c r="W9" s="313">
        <f t="shared" si="6"/>
        <v>41.766666666666666</v>
      </c>
      <c r="X9" s="313">
        <f t="shared" si="7"/>
        <v>83.533333333333331</v>
      </c>
      <c r="Y9" s="313">
        <f t="shared" si="8"/>
        <v>25.06</v>
      </c>
    </row>
    <row r="10" spans="1:25" ht="28.5">
      <c r="A10" s="118">
        <f>'BD Team'!A15</f>
        <v>7</v>
      </c>
      <c r="B10" s="118" t="str">
        <f>'BD Team'!B15</f>
        <v>V3</v>
      </c>
      <c r="C10" s="118" t="str">
        <f>'BD Team'!C15</f>
        <v>M940</v>
      </c>
      <c r="D10" s="118" t="str">
        <f>'BD Team'!D15</f>
        <v>TOP HUNG WINDOW WITH BOTTOM FIXED</v>
      </c>
      <c r="E10" s="118" t="str">
        <f>'BD Team'!F15</f>
        <v>NO</v>
      </c>
      <c r="F10" s="121" t="str">
        <f>'BD Team'!G15</f>
        <v>1F &amp; 2F - DINING ROOM TOILET</v>
      </c>
      <c r="G10" s="118">
        <f>'BD Team'!H15</f>
        <v>625</v>
      </c>
      <c r="H10" s="118">
        <f>'BD Team'!I15</f>
        <v>2325</v>
      </c>
      <c r="I10" s="118">
        <f>'BD Team'!J15</f>
        <v>2</v>
      </c>
      <c r="J10" s="103">
        <f t="shared" si="0"/>
        <v>31.282874999999997</v>
      </c>
      <c r="K10" s="172">
        <f>'BD Team'!K15</f>
        <v>172.36</v>
      </c>
      <c r="L10" s="171">
        <f t="shared" si="1"/>
        <v>344.72</v>
      </c>
      <c r="M10" s="170">
        <f>L10*'Changable Values'!$D$4</f>
        <v>28611.760000000002</v>
      </c>
      <c r="N10" s="170" t="str">
        <f>'BD Team'!E15</f>
        <v>6MM (F)</v>
      </c>
      <c r="O10" s="172">
        <v>2003</v>
      </c>
      <c r="P10" s="241"/>
      <c r="Q10" s="173"/>
      <c r="R10" s="185"/>
      <c r="S10" s="312"/>
      <c r="T10" s="313">
        <f t="shared" si="3"/>
        <v>39.333333333333336</v>
      </c>
      <c r="U10" s="313">
        <f t="shared" si="4"/>
        <v>47.2</v>
      </c>
      <c r="V10" s="313">
        <f t="shared" si="5"/>
        <v>2.4583333333333335</v>
      </c>
      <c r="W10" s="313">
        <f t="shared" si="6"/>
        <v>39.333333333333336</v>
      </c>
      <c r="X10" s="313">
        <f t="shared" si="7"/>
        <v>78.666666666666671</v>
      </c>
      <c r="Y10" s="313">
        <f t="shared" si="8"/>
        <v>23.6</v>
      </c>
    </row>
    <row r="11" spans="1:25">
      <c r="A11" s="118">
        <f>'BD Team'!A16</f>
        <v>8</v>
      </c>
      <c r="B11" s="118" t="str">
        <f>'BD Team'!B16</f>
        <v>SFW1</v>
      </c>
      <c r="C11" s="118" t="str">
        <f>'BD Team'!C16</f>
        <v>M9800</v>
      </c>
      <c r="D11" s="118" t="str">
        <f>'BD Team'!D16</f>
        <v>5 LEAF SLIDE &amp; FOLD DOOR</v>
      </c>
      <c r="E11" s="118" t="str">
        <f>'BD Team'!F16</f>
        <v>NO</v>
      </c>
      <c r="F11" s="121" t="str">
        <f>'BD Team'!G16</f>
        <v>1F - BEDROOM</v>
      </c>
      <c r="G11" s="118">
        <f>'BD Team'!H16</f>
        <v>4880</v>
      </c>
      <c r="H11" s="118">
        <f>'BD Team'!I16</f>
        <v>2931</v>
      </c>
      <c r="I11" s="118">
        <f>'BD Team'!J16</f>
        <v>1</v>
      </c>
      <c r="J11" s="103">
        <f t="shared" si="0"/>
        <v>153.96050591999997</v>
      </c>
      <c r="K11" s="172">
        <f>'BD Team'!K16</f>
        <v>1144.95</v>
      </c>
      <c r="L11" s="171">
        <f t="shared" si="1"/>
        <v>1144.95</v>
      </c>
      <c r="M11" s="170">
        <f>L11*'Changable Values'!$D$4</f>
        <v>95030.85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3"/>
        <v>52.073333333333331</v>
      </c>
      <c r="U11" s="313">
        <f t="shared" si="4"/>
        <v>62.488</v>
      </c>
      <c r="V11" s="313">
        <f t="shared" si="5"/>
        <v>3.2545833333333332</v>
      </c>
      <c r="W11" s="313">
        <f t="shared" si="6"/>
        <v>52.073333333333331</v>
      </c>
      <c r="X11" s="313">
        <f t="shared" si="7"/>
        <v>104.14666666666666</v>
      </c>
      <c r="Y11" s="313">
        <f t="shared" si="8"/>
        <v>31.244</v>
      </c>
    </row>
    <row r="12" spans="1:25">
      <c r="A12" s="118">
        <f>'BD Team'!A17</f>
        <v>9</v>
      </c>
      <c r="B12" s="118" t="str">
        <f>'BD Team'!B17</f>
        <v>W6</v>
      </c>
      <c r="C12" s="118" t="str">
        <f>'BD Team'!C17</f>
        <v>M940</v>
      </c>
      <c r="D12" s="118" t="str">
        <f>'BD Team'!D17</f>
        <v>SIDE HUNG WINDOW</v>
      </c>
      <c r="E12" s="118" t="str">
        <f>'BD Team'!F17</f>
        <v>RETRACTABLE</v>
      </c>
      <c r="F12" s="121" t="str">
        <f>'BD Team'!G17</f>
        <v>1F - BEDROOM DRESS</v>
      </c>
      <c r="G12" s="118">
        <f>'BD Team'!H17</f>
        <v>900</v>
      </c>
      <c r="H12" s="118">
        <f>'BD Team'!I17</f>
        <v>1875</v>
      </c>
      <c r="I12" s="118">
        <f>'BD Team'!J17</f>
        <v>1</v>
      </c>
      <c r="J12" s="103">
        <f t="shared" si="0"/>
        <v>18.164249999999999</v>
      </c>
      <c r="K12" s="172">
        <f>'BD Team'!K17</f>
        <v>198.69</v>
      </c>
      <c r="L12" s="171">
        <f t="shared" si="1"/>
        <v>198.69</v>
      </c>
      <c r="M12" s="170">
        <f>L12*'Changable Values'!$D$4</f>
        <v>16491.27</v>
      </c>
      <c r="N12" s="170" t="str">
        <f>'BD Team'!E17</f>
        <v>6MM</v>
      </c>
      <c r="O12" s="172">
        <v>1002</v>
      </c>
      <c r="P12" s="241"/>
      <c r="Q12" s="173"/>
      <c r="R12" s="185">
        <f>900*10.764</f>
        <v>9687.5999999999985</v>
      </c>
      <c r="S12" s="312"/>
      <c r="T12" s="313">
        <f t="shared" si="3"/>
        <v>18.5</v>
      </c>
      <c r="U12" s="313">
        <f t="shared" si="4"/>
        <v>22.2</v>
      </c>
      <c r="V12" s="313">
        <f t="shared" si="5"/>
        <v>1.15625</v>
      </c>
      <c r="W12" s="313">
        <f t="shared" si="6"/>
        <v>18.5</v>
      </c>
      <c r="X12" s="313">
        <f t="shared" si="7"/>
        <v>37</v>
      </c>
      <c r="Y12" s="313">
        <f t="shared" si="8"/>
        <v>11.1</v>
      </c>
    </row>
    <row r="13" spans="1:25">
      <c r="A13" s="118">
        <f>'BD Team'!A18</f>
        <v>10</v>
      </c>
      <c r="B13" s="118" t="str">
        <f>'BD Team'!B18</f>
        <v>W5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1F - BEDROOM</v>
      </c>
      <c r="G13" s="118">
        <f>'BD Team'!H18</f>
        <v>750</v>
      </c>
      <c r="H13" s="118">
        <f>'BD Team'!I18</f>
        <v>1875</v>
      </c>
      <c r="I13" s="118">
        <f>'BD Team'!J18</f>
        <v>1</v>
      </c>
      <c r="J13" s="103">
        <f t="shared" si="0"/>
        <v>15.136875</v>
      </c>
      <c r="K13" s="172">
        <f>'BD Team'!K18</f>
        <v>42.33</v>
      </c>
      <c r="L13" s="171">
        <f t="shared" si="1"/>
        <v>42.33</v>
      </c>
      <c r="M13" s="170">
        <f>L13*'Changable Values'!$D$4</f>
        <v>3513.39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3"/>
        <v>17.5</v>
      </c>
      <c r="U13" s="313">
        <f t="shared" si="4"/>
        <v>21</v>
      </c>
      <c r="V13" s="313">
        <f t="shared" si="5"/>
        <v>1.09375</v>
      </c>
      <c r="W13" s="313">
        <f t="shared" si="6"/>
        <v>17.5</v>
      </c>
      <c r="X13" s="313">
        <f t="shared" si="7"/>
        <v>35</v>
      </c>
      <c r="Y13" s="313">
        <f t="shared" si="8"/>
        <v>10.5</v>
      </c>
    </row>
    <row r="14" spans="1:25">
      <c r="A14" s="118">
        <f>'BD Team'!A19</f>
        <v>11</v>
      </c>
      <c r="B14" s="118" t="str">
        <f>'BD Team'!B19</f>
        <v>V2</v>
      </c>
      <c r="C14" s="118" t="str">
        <f>'BD Team'!C19</f>
        <v>M940</v>
      </c>
      <c r="D14" s="118" t="str">
        <f>'BD Team'!D19</f>
        <v>TOP HUNG WINDOW WITH BOTTOM FIXED</v>
      </c>
      <c r="E14" s="118" t="str">
        <f>'BD Team'!F19</f>
        <v>NO</v>
      </c>
      <c r="F14" s="121" t="str">
        <f>'BD Team'!G19</f>
        <v>1F &amp; 3F - BEDROOM TOILET</v>
      </c>
      <c r="G14" s="118">
        <f>'BD Team'!H19</f>
        <v>640</v>
      </c>
      <c r="H14" s="118">
        <f>'BD Team'!I19</f>
        <v>2325</v>
      </c>
      <c r="I14" s="118">
        <f>'BD Team'!J19</f>
        <v>2</v>
      </c>
      <c r="J14" s="103">
        <f t="shared" si="0"/>
        <v>32.033663999999995</v>
      </c>
      <c r="K14" s="172">
        <f>'BD Team'!K19</f>
        <v>167.06</v>
      </c>
      <c r="L14" s="171">
        <f t="shared" si="1"/>
        <v>334.12</v>
      </c>
      <c r="M14" s="170">
        <f>L14*'Changable Values'!$D$4</f>
        <v>27731.96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3"/>
        <v>39.533333333333331</v>
      </c>
      <c r="U14" s="313">
        <f t="shared" si="4"/>
        <v>47.44</v>
      </c>
      <c r="V14" s="313">
        <f t="shared" si="5"/>
        <v>2.4708333333333332</v>
      </c>
      <c r="W14" s="313">
        <f t="shared" si="6"/>
        <v>39.533333333333331</v>
      </c>
      <c r="X14" s="313">
        <f t="shared" si="7"/>
        <v>79.066666666666663</v>
      </c>
      <c r="Y14" s="313">
        <f t="shared" si="8"/>
        <v>23.72</v>
      </c>
    </row>
    <row r="15" spans="1:25">
      <c r="A15" s="118">
        <f>'BD Team'!A20</f>
        <v>12</v>
      </c>
      <c r="B15" s="118" t="str">
        <f>'BD Team'!B20</f>
        <v>W7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1F - FOYER</v>
      </c>
      <c r="G15" s="118">
        <f>'BD Team'!H20</f>
        <v>2115</v>
      </c>
      <c r="H15" s="118">
        <f>'BD Team'!I20</f>
        <v>2400</v>
      </c>
      <c r="I15" s="118">
        <f>'BD Team'!J20</f>
        <v>1</v>
      </c>
      <c r="J15" s="103">
        <f t="shared" si="0"/>
        <v>54.638064</v>
      </c>
      <c r="K15" s="172">
        <f>'BD Team'!K20</f>
        <v>512.1</v>
      </c>
      <c r="L15" s="171">
        <f t="shared" si="1"/>
        <v>512.1</v>
      </c>
      <c r="M15" s="170">
        <f>L15*'Changable Values'!$D$4</f>
        <v>42504.3</v>
      </c>
      <c r="N15" s="170" t="str">
        <f>'BD Team'!E20</f>
        <v>6MM</v>
      </c>
      <c r="O15" s="172">
        <v>1002</v>
      </c>
      <c r="P15" s="241"/>
      <c r="Q15" s="173">
        <f t="shared" ref="Q15:Q16" si="9">50*10.764</f>
        <v>538.19999999999993</v>
      </c>
      <c r="R15" s="185"/>
      <c r="S15" s="312"/>
      <c r="T15" s="313">
        <f t="shared" si="3"/>
        <v>30.1</v>
      </c>
      <c r="U15" s="313">
        <f t="shared" si="4"/>
        <v>36.119999999999997</v>
      </c>
      <c r="V15" s="313">
        <f t="shared" si="5"/>
        <v>1.8812500000000001</v>
      </c>
      <c r="W15" s="313">
        <f t="shared" si="6"/>
        <v>30.1</v>
      </c>
      <c r="X15" s="313">
        <f t="shared" si="7"/>
        <v>60.2</v>
      </c>
      <c r="Y15" s="313">
        <f t="shared" si="8"/>
        <v>18.059999999999999</v>
      </c>
    </row>
    <row r="16" spans="1:25">
      <c r="A16" s="118">
        <f>'BD Team'!A21</f>
        <v>13</v>
      </c>
      <c r="B16" s="118" t="str">
        <f>'BD Team'!B21</f>
        <v>W8</v>
      </c>
      <c r="C16" s="118" t="str">
        <f>'BD Team'!C21</f>
        <v>M14600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1F - DINING</v>
      </c>
      <c r="G16" s="118">
        <f>'BD Team'!H21</f>
        <v>2575</v>
      </c>
      <c r="H16" s="118">
        <f>'BD Team'!I21</f>
        <v>1500</v>
      </c>
      <c r="I16" s="118">
        <f>'BD Team'!J21</f>
        <v>1</v>
      </c>
      <c r="J16" s="103">
        <f t="shared" si="0"/>
        <v>41.575949999999999</v>
      </c>
      <c r="K16" s="172">
        <f>'BD Team'!K21</f>
        <v>437.68</v>
      </c>
      <c r="L16" s="171">
        <f t="shared" si="1"/>
        <v>437.68</v>
      </c>
      <c r="M16" s="170">
        <f>L16*'Changable Values'!$D$4</f>
        <v>36327.440000000002</v>
      </c>
      <c r="N16" s="170" t="str">
        <f>'BD Team'!E21</f>
        <v>6MM</v>
      </c>
      <c r="O16" s="172">
        <v>1002</v>
      </c>
      <c r="P16" s="241"/>
      <c r="Q16" s="173">
        <f t="shared" si="9"/>
        <v>538.19999999999993</v>
      </c>
      <c r="R16" s="185"/>
      <c r="S16" s="312"/>
      <c r="T16" s="313">
        <f t="shared" si="3"/>
        <v>27.166666666666668</v>
      </c>
      <c r="U16" s="313">
        <f t="shared" si="4"/>
        <v>32.6</v>
      </c>
      <c r="V16" s="313">
        <f t="shared" si="5"/>
        <v>1.6979166666666667</v>
      </c>
      <c r="W16" s="313">
        <f t="shared" si="6"/>
        <v>27.166666666666668</v>
      </c>
      <c r="X16" s="313">
        <f t="shared" si="7"/>
        <v>54.333333333333336</v>
      </c>
      <c r="Y16" s="313">
        <f t="shared" si="8"/>
        <v>16.3</v>
      </c>
    </row>
    <row r="17" spans="1:25">
      <c r="A17" s="118">
        <f>'BD Team'!A22</f>
        <v>14</v>
      </c>
      <c r="B17" s="118" t="str">
        <f>'BD Team'!B22</f>
        <v>SFD1</v>
      </c>
      <c r="C17" s="118" t="str">
        <f>'BD Team'!C22</f>
        <v>M9800</v>
      </c>
      <c r="D17" s="118" t="str">
        <f>'BD Team'!D22</f>
        <v>3 LEAF SLIDE &amp; FOLD DOOR</v>
      </c>
      <c r="E17" s="118" t="str">
        <f>'BD Team'!F22</f>
        <v>NO</v>
      </c>
      <c r="F17" s="121" t="str">
        <f>'BD Team'!G22</f>
        <v>1F - DINING</v>
      </c>
      <c r="G17" s="118">
        <f>'BD Team'!H22</f>
        <v>2700</v>
      </c>
      <c r="H17" s="118">
        <f>'BD Team'!I22</f>
        <v>2400</v>
      </c>
      <c r="I17" s="118">
        <f>'BD Team'!J22</f>
        <v>1</v>
      </c>
      <c r="J17" s="103">
        <f t="shared" si="0"/>
        <v>69.750720000000001</v>
      </c>
      <c r="K17" s="172">
        <f>'BD Team'!K22</f>
        <v>651.41999999999996</v>
      </c>
      <c r="L17" s="171">
        <f t="shared" si="1"/>
        <v>651.41999999999996</v>
      </c>
      <c r="M17" s="170">
        <f>L17*'Changable Values'!$D$4</f>
        <v>54067.859999999993</v>
      </c>
      <c r="N17" s="170" t="str">
        <f>'BD Team'!E22</f>
        <v>10MM</v>
      </c>
      <c r="O17" s="172">
        <v>1589</v>
      </c>
      <c r="P17" s="241"/>
      <c r="Q17" s="173"/>
      <c r="R17" s="185"/>
      <c r="S17" s="312"/>
      <c r="T17" s="313">
        <f t="shared" si="3"/>
        <v>34</v>
      </c>
      <c r="U17" s="313">
        <f t="shared" si="4"/>
        <v>40.799999999999997</v>
      </c>
      <c r="V17" s="313">
        <f t="shared" si="5"/>
        <v>2.125</v>
      </c>
      <c r="W17" s="313">
        <f t="shared" si="6"/>
        <v>34</v>
      </c>
      <c r="X17" s="313">
        <f t="shared" si="7"/>
        <v>68</v>
      </c>
      <c r="Y17" s="313">
        <f t="shared" si="8"/>
        <v>20.399999999999999</v>
      </c>
    </row>
    <row r="18" spans="1:25">
      <c r="A18" s="118">
        <f>'BD Team'!A23</f>
        <v>15</v>
      </c>
      <c r="B18" s="118" t="str">
        <f>'BD Team'!B23</f>
        <v>KW</v>
      </c>
      <c r="C18" s="118" t="str">
        <f>'BD Team'!C23</f>
        <v>M900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1F &amp; 2F - KITCHEN</v>
      </c>
      <c r="G18" s="118">
        <f>'BD Team'!H23</f>
        <v>1000</v>
      </c>
      <c r="H18" s="118">
        <f>'BD Team'!I23</f>
        <v>1050</v>
      </c>
      <c r="I18" s="118">
        <f>'BD Team'!J23</f>
        <v>2</v>
      </c>
      <c r="J18" s="103">
        <f t="shared" si="0"/>
        <v>22.604399999999998</v>
      </c>
      <c r="K18" s="172">
        <f>'BD Team'!K23</f>
        <v>152.94</v>
      </c>
      <c r="L18" s="171">
        <f t="shared" si="1"/>
        <v>305.88</v>
      </c>
      <c r="M18" s="170">
        <f>L18*'Changable Values'!$D$4</f>
        <v>25388.04</v>
      </c>
      <c r="N18" s="170" t="str">
        <f>'BD Team'!E23</f>
        <v>6MM</v>
      </c>
      <c r="O18" s="172">
        <v>1002</v>
      </c>
      <c r="P18" s="241"/>
      <c r="Q18" s="173">
        <f t="shared" ref="Q18:Q19" si="10">50*10.764</f>
        <v>538.19999999999993</v>
      </c>
      <c r="R18" s="185"/>
      <c r="S18" s="312"/>
      <c r="T18" s="313">
        <f t="shared" si="3"/>
        <v>27.333333333333332</v>
      </c>
      <c r="U18" s="313">
        <f t="shared" si="4"/>
        <v>32.799999999999997</v>
      </c>
      <c r="V18" s="313">
        <f t="shared" si="5"/>
        <v>1.7083333333333333</v>
      </c>
      <c r="W18" s="313">
        <f t="shared" si="6"/>
        <v>27.333333333333332</v>
      </c>
      <c r="X18" s="313">
        <f t="shared" si="7"/>
        <v>54.666666666666664</v>
      </c>
      <c r="Y18" s="313">
        <f t="shared" si="8"/>
        <v>16.399999999999999</v>
      </c>
    </row>
    <row r="19" spans="1:25">
      <c r="A19" s="118">
        <f>'BD Team'!A24</f>
        <v>16</v>
      </c>
      <c r="B19" s="118" t="str">
        <f>'BD Team'!B24</f>
        <v>W9</v>
      </c>
      <c r="C19" s="118" t="str">
        <f>'BD Team'!C24</f>
        <v>M14600</v>
      </c>
      <c r="D19" s="118" t="str">
        <f>'BD Team'!D24</f>
        <v>3 TRACK 2 SHUTTER SLIDING WINDOW WITH CENTER FIXED</v>
      </c>
      <c r="E19" s="118" t="str">
        <f>'BD Team'!F24</f>
        <v>SS</v>
      </c>
      <c r="F19" s="121" t="str">
        <f>'BD Team'!G24</f>
        <v>2F - LIVING</v>
      </c>
      <c r="G19" s="118">
        <f>'BD Team'!H24</f>
        <v>4880</v>
      </c>
      <c r="H19" s="118">
        <f>'BD Team'!I24</f>
        <v>1425</v>
      </c>
      <c r="I19" s="118">
        <f>'BD Team'!J24</f>
        <v>1</v>
      </c>
      <c r="J19" s="103">
        <f t="shared" si="0"/>
        <v>74.852856000000003</v>
      </c>
      <c r="K19" s="172">
        <f>'BD Team'!K24</f>
        <v>722.58</v>
      </c>
      <c r="L19" s="171">
        <f t="shared" si="1"/>
        <v>722.58</v>
      </c>
      <c r="M19" s="170">
        <f>L19*'Changable Values'!$D$4</f>
        <v>59974.140000000007</v>
      </c>
      <c r="N19" s="170" t="str">
        <f>'BD Team'!E24</f>
        <v>10MM</v>
      </c>
      <c r="O19" s="172">
        <v>1589</v>
      </c>
      <c r="P19" s="241"/>
      <c r="Q19" s="173">
        <f t="shared" si="10"/>
        <v>538.19999999999993</v>
      </c>
      <c r="R19" s="185"/>
      <c r="S19" s="312"/>
      <c r="T19" s="313">
        <f t="shared" si="3"/>
        <v>42.033333333333331</v>
      </c>
      <c r="U19" s="313">
        <f t="shared" si="4"/>
        <v>50.44</v>
      </c>
      <c r="V19" s="313">
        <f t="shared" si="5"/>
        <v>2.6270833333333332</v>
      </c>
      <c r="W19" s="313">
        <f t="shared" si="6"/>
        <v>42.033333333333331</v>
      </c>
      <c r="X19" s="313">
        <f t="shared" si="7"/>
        <v>84.066666666666663</v>
      </c>
      <c r="Y19" s="313">
        <f t="shared" si="8"/>
        <v>25.22</v>
      </c>
    </row>
    <row r="20" spans="1:25">
      <c r="A20" s="118">
        <f>'BD Team'!A25</f>
        <v>17</v>
      </c>
      <c r="B20" s="118" t="str">
        <f>'BD Team'!B25</f>
        <v>W10</v>
      </c>
      <c r="C20" s="118" t="str">
        <f>'BD Team'!C25</f>
        <v>M940</v>
      </c>
      <c r="D20" s="118" t="str">
        <f>'BD Team'!D25</f>
        <v>FIXED GLASS 2 NO'S</v>
      </c>
      <c r="E20" s="118" t="str">
        <f>'BD Team'!F25</f>
        <v>NO</v>
      </c>
      <c r="F20" s="121" t="str">
        <f>'BD Team'!G25</f>
        <v>2F - LIVING</v>
      </c>
      <c r="G20" s="118">
        <f>'BD Team'!H25</f>
        <v>640</v>
      </c>
      <c r="H20" s="118">
        <f>'BD Team'!I25</f>
        <v>2575</v>
      </c>
      <c r="I20" s="118">
        <f>'BD Team'!J25</f>
        <v>1</v>
      </c>
      <c r="J20" s="103">
        <f t="shared" si="0"/>
        <v>17.739072</v>
      </c>
      <c r="K20" s="172">
        <f>'BD Team'!K25</f>
        <v>64.86</v>
      </c>
      <c r="L20" s="171">
        <f t="shared" si="1"/>
        <v>64.86</v>
      </c>
      <c r="M20" s="170">
        <f>L20*'Changable Values'!$D$4</f>
        <v>5383.38</v>
      </c>
      <c r="N20" s="170" t="str">
        <f>'BD Team'!E25</f>
        <v>6MM</v>
      </c>
      <c r="O20" s="172">
        <v>1002</v>
      </c>
      <c r="P20" s="241"/>
      <c r="Q20" s="173"/>
      <c r="R20" s="185"/>
      <c r="S20" s="312"/>
      <c r="T20" s="313">
        <f t="shared" si="3"/>
        <v>21.433333333333334</v>
      </c>
      <c r="U20" s="313">
        <f t="shared" si="4"/>
        <v>25.72</v>
      </c>
      <c r="V20" s="313">
        <f t="shared" si="5"/>
        <v>1.3395833333333333</v>
      </c>
      <c r="W20" s="313">
        <f t="shared" si="6"/>
        <v>21.433333333333334</v>
      </c>
      <c r="X20" s="313">
        <f t="shared" si="7"/>
        <v>42.866666666666667</v>
      </c>
      <c r="Y20" s="313">
        <f t="shared" si="8"/>
        <v>12.86</v>
      </c>
    </row>
    <row r="21" spans="1:25">
      <c r="A21" s="118">
        <f>'BD Team'!A26</f>
        <v>18</v>
      </c>
      <c r="B21" s="118" t="str">
        <f>'BD Team'!B26</f>
        <v>W11</v>
      </c>
      <c r="C21" s="118" t="str">
        <f>'BD Team'!C26</f>
        <v>M14600</v>
      </c>
      <c r="D21" s="118" t="str">
        <f>'BD Team'!D26</f>
        <v>3 TRACK 2 SHUTTER SLIDING WINDOW</v>
      </c>
      <c r="E21" s="118" t="str">
        <f>'BD Team'!F26</f>
        <v>SS</v>
      </c>
      <c r="F21" s="121" t="str">
        <f>'BD Team'!G26</f>
        <v>2F - DINING</v>
      </c>
      <c r="G21" s="118">
        <f>'BD Team'!H26</f>
        <v>2695</v>
      </c>
      <c r="H21" s="118">
        <f>'BD Team'!I26</f>
        <v>1425</v>
      </c>
      <c r="I21" s="118">
        <f>'BD Team'!J26</f>
        <v>1</v>
      </c>
      <c r="J21" s="103">
        <f t="shared" si="0"/>
        <v>41.337796500000003</v>
      </c>
      <c r="K21" s="172">
        <f>'BD Team'!K26</f>
        <v>438.79</v>
      </c>
      <c r="L21" s="171">
        <f t="shared" si="1"/>
        <v>438.79</v>
      </c>
      <c r="M21" s="170">
        <f>L21*'Changable Values'!$D$4</f>
        <v>36419.57</v>
      </c>
      <c r="N21" s="170" t="str">
        <f>'BD Team'!E26</f>
        <v>6MM</v>
      </c>
      <c r="O21" s="172">
        <v>1002</v>
      </c>
      <c r="P21" s="241"/>
      <c r="Q21" s="173">
        <f>50*10.764</f>
        <v>538.19999999999993</v>
      </c>
      <c r="R21" s="185"/>
      <c r="S21" s="312"/>
      <c r="T21" s="313">
        <f t="shared" si="3"/>
        <v>27.466666666666665</v>
      </c>
      <c r="U21" s="313">
        <f t="shared" si="4"/>
        <v>32.96</v>
      </c>
      <c r="V21" s="313">
        <f t="shared" si="5"/>
        <v>1.7166666666666666</v>
      </c>
      <c r="W21" s="313">
        <f t="shared" si="6"/>
        <v>27.466666666666665</v>
      </c>
      <c r="X21" s="313">
        <f t="shared" si="7"/>
        <v>54.93333333333333</v>
      </c>
      <c r="Y21" s="313">
        <f t="shared" si="8"/>
        <v>16.48</v>
      </c>
    </row>
    <row r="22" spans="1:25">
      <c r="A22" s="118">
        <f>'BD Team'!A27</f>
        <v>19</v>
      </c>
      <c r="B22" s="118" t="str">
        <f>'BD Team'!B27</f>
        <v>SFD2</v>
      </c>
      <c r="C22" s="118" t="str">
        <f>'BD Team'!C27</f>
        <v>M9800</v>
      </c>
      <c r="D22" s="118" t="str">
        <f>'BD Team'!D27</f>
        <v>3 LEAF SLIDE &amp; FOLD DOOR</v>
      </c>
      <c r="E22" s="118" t="str">
        <f>'BD Team'!F27</f>
        <v>NO</v>
      </c>
      <c r="F22" s="121" t="str">
        <f>'BD Team'!G27</f>
        <v>2F - DINING</v>
      </c>
      <c r="G22" s="118">
        <f>'BD Team'!H27</f>
        <v>2700</v>
      </c>
      <c r="H22" s="118">
        <f>'BD Team'!I27</f>
        <v>2625</v>
      </c>
      <c r="I22" s="118">
        <f>'BD Team'!J27</f>
        <v>1</v>
      </c>
      <c r="J22" s="103">
        <f t="shared" si="0"/>
        <v>76.289850000000001</v>
      </c>
      <c r="K22" s="172">
        <f>'BD Team'!K27</f>
        <v>673.44</v>
      </c>
      <c r="L22" s="171">
        <f t="shared" si="1"/>
        <v>673.44</v>
      </c>
      <c r="M22" s="170">
        <f>L22*'Changable Values'!$D$4</f>
        <v>55895.520000000004</v>
      </c>
      <c r="N22" s="170" t="str">
        <f>'BD Team'!E27</f>
        <v>10MM</v>
      </c>
      <c r="O22" s="172">
        <v>1589</v>
      </c>
      <c r="P22" s="241"/>
      <c r="Q22" s="173"/>
      <c r="R22" s="185"/>
      <c r="S22" s="312"/>
      <c r="T22" s="313">
        <f t="shared" si="3"/>
        <v>35.5</v>
      </c>
      <c r="U22" s="313">
        <f t="shared" si="4"/>
        <v>42.6</v>
      </c>
      <c r="V22" s="313">
        <f t="shared" si="5"/>
        <v>2.21875</v>
      </c>
      <c r="W22" s="313">
        <f t="shared" si="6"/>
        <v>35.5</v>
      </c>
      <c r="X22" s="313">
        <f t="shared" si="7"/>
        <v>71</v>
      </c>
      <c r="Y22" s="313">
        <f t="shared" si="8"/>
        <v>21.3</v>
      </c>
    </row>
    <row r="23" spans="1:25">
      <c r="A23" s="118">
        <f>'BD Team'!A28</f>
        <v>20</v>
      </c>
      <c r="B23" s="118" t="str">
        <f>'BD Team'!B28</f>
        <v>SD</v>
      </c>
      <c r="C23" s="118" t="str">
        <f>'BD Team'!C28</f>
        <v>M14600</v>
      </c>
      <c r="D23" s="118" t="str">
        <f>'BD Team'!D28</f>
        <v>3 TRACK 2 SHUTTER SLIDING DOOR WITH 2 FIXED</v>
      </c>
      <c r="E23" s="118" t="str">
        <f>'BD Team'!F28</f>
        <v>SS</v>
      </c>
      <c r="F23" s="121" t="str">
        <f>'BD Team'!G28</f>
        <v>2F - LIVING</v>
      </c>
      <c r="G23" s="118">
        <f>'BD Team'!H28</f>
        <v>7165</v>
      </c>
      <c r="H23" s="118">
        <f>'BD Team'!I28</f>
        <v>2900</v>
      </c>
      <c r="I23" s="118">
        <f>'BD Team'!J28</f>
        <v>1</v>
      </c>
      <c r="J23" s="103">
        <f t="shared" si="0"/>
        <v>223.659774</v>
      </c>
      <c r="K23" s="172">
        <f>'BD Team'!K28</f>
        <v>1618.99</v>
      </c>
      <c r="L23" s="171">
        <f t="shared" si="1"/>
        <v>1618.99</v>
      </c>
      <c r="M23" s="170">
        <f>L23*'Changable Values'!$D$4</f>
        <v>134376.17000000001</v>
      </c>
      <c r="N23" s="170" t="str">
        <f>'BD Team'!E28</f>
        <v>10MM</v>
      </c>
      <c r="O23" s="172">
        <v>1589</v>
      </c>
      <c r="P23" s="241"/>
      <c r="Q23" s="173">
        <f>50*10.764</f>
        <v>538.19999999999993</v>
      </c>
      <c r="R23" s="185"/>
      <c r="S23" s="312">
        <v>5000</v>
      </c>
      <c r="T23" s="313">
        <f t="shared" si="3"/>
        <v>67.099999999999994</v>
      </c>
      <c r="U23" s="313">
        <f t="shared" si="4"/>
        <v>80.52</v>
      </c>
      <c r="V23" s="313">
        <f t="shared" si="5"/>
        <v>4.1937499999999996</v>
      </c>
      <c r="W23" s="313">
        <f t="shared" si="6"/>
        <v>67.099999999999994</v>
      </c>
      <c r="X23" s="313">
        <f t="shared" si="7"/>
        <v>134.19999999999999</v>
      </c>
      <c r="Y23" s="313">
        <f t="shared" si="8"/>
        <v>40.26</v>
      </c>
    </row>
    <row r="24" spans="1:25">
      <c r="A24" s="118">
        <f>'BD Team'!A29</f>
        <v>21</v>
      </c>
      <c r="B24" s="118" t="str">
        <f>'BD Team'!B29</f>
        <v>W12</v>
      </c>
      <c r="C24" s="118" t="str">
        <f>'BD Team'!C29</f>
        <v>M12500</v>
      </c>
      <c r="D24" s="118" t="str">
        <f>'BD Team'!D29</f>
        <v>2 TRACK 2 SHUTTER SLIDING DOOR</v>
      </c>
      <c r="E24" s="118" t="str">
        <f>'BD Team'!F29</f>
        <v>RETRACTABLE</v>
      </c>
      <c r="F24" s="121" t="str">
        <f>'BD Team'!G29</f>
        <v>3F - KIDS BEDROOM - 2</v>
      </c>
      <c r="G24" s="118">
        <f>'BD Team'!H29</f>
        <v>4050</v>
      </c>
      <c r="H24" s="118">
        <f>'BD Team'!I29</f>
        <v>2425</v>
      </c>
      <c r="I24" s="118">
        <f>'BD Team'!J29</f>
        <v>1</v>
      </c>
      <c r="J24" s="103">
        <f t="shared" si="0"/>
        <v>105.715935</v>
      </c>
      <c r="K24" s="172">
        <f>'BD Team'!K29</f>
        <v>928.9</v>
      </c>
      <c r="L24" s="171">
        <f t="shared" si="1"/>
        <v>928.9</v>
      </c>
      <c r="M24" s="170">
        <f>L24*'Changable Values'!$D$4</f>
        <v>77098.7</v>
      </c>
      <c r="N24" s="170" t="str">
        <f>'BD Team'!E29</f>
        <v>10MM</v>
      </c>
      <c r="O24" s="172">
        <v>1589</v>
      </c>
      <c r="P24" s="241"/>
      <c r="Q24" s="173"/>
      <c r="R24" s="185">
        <f>900*10.764</f>
        <v>9687.5999999999985</v>
      </c>
      <c r="S24" s="312">
        <v>5000</v>
      </c>
      <c r="T24" s="313">
        <f t="shared" si="3"/>
        <v>43.166666666666664</v>
      </c>
      <c r="U24" s="313">
        <f t="shared" si="4"/>
        <v>51.8</v>
      </c>
      <c r="V24" s="313">
        <f t="shared" si="5"/>
        <v>2.6979166666666665</v>
      </c>
      <c r="W24" s="313">
        <f t="shared" si="6"/>
        <v>43.166666666666664</v>
      </c>
      <c r="X24" s="313">
        <f t="shared" si="7"/>
        <v>86.333333333333329</v>
      </c>
      <c r="Y24" s="313">
        <f t="shared" si="8"/>
        <v>25.9</v>
      </c>
    </row>
    <row r="25" spans="1:25">
      <c r="A25" s="118">
        <f>'BD Team'!A30</f>
        <v>22</v>
      </c>
      <c r="B25" s="118" t="str">
        <f>'BD Team'!B30</f>
        <v>W13</v>
      </c>
      <c r="C25" s="118" t="str">
        <f>'BD Team'!C30</f>
        <v>M940</v>
      </c>
      <c r="D25" s="118" t="str">
        <f>'BD Team'!D30</f>
        <v>FIXED GLASS 4 NO'S</v>
      </c>
      <c r="E25" s="118" t="str">
        <f>'BD Team'!F30</f>
        <v>NO</v>
      </c>
      <c r="F25" s="121" t="str">
        <f>'BD Team'!G30</f>
        <v>3F - KIDS BEDROOM - 2</v>
      </c>
      <c r="G25" s="118">
        <f>'BD Team'!H30</f>
        <v>4987</v>
      </c>
      <c r="H25" s="118">
        <f>'BD Team'!I30</f>
        <v>1275</v>
      </c>
      <c r="I25" s="118">
        <f>'BD Team'!J30</f>
        <v>1</v>
      </c>
      <c r="J25" s="103">
        <f t="shared" si="0"/>
        <v>68.442086700000004</v>
      </c>
      <c r="K25" s="172">
        <f>'BD Team'!K30</f>
        <v>170.57</v>
      </c>
      <c r="L25" s="171">
        <f t="shared" si="1"/>
        <v>170.57</v>
      </c>
      <c r="M25" s="170">
        <f>L25*'Changable Values'!$D$4</f>
        <v>14157.31</v>
      </c>
      <c r="N25" s="170" t="str">
        <f>'BD Team'!E30</f>
        <v>6MM</v>
      </c>
      <c r="O25" s="172">
        <v>1002</v>
      </c>
      <c r="P25" s="241"/>
      <c r="Q25" s="173"/>
      <c r="R25" s="185"/>
      <c r="S25" s="312"/>
      <c r="T25" s="313">
        <f t="shared" si="3"/>
        <v>41.74666666666667</v>
      </c>
      <c r="U25" s="313">
        <f t="shared" si="4"/>
        <v>50.095999999999997</v>
      </c>
      <c r="V25" s="313">
        <f t="shared" si="5"/>
        <v>2.6091666666666669</v>
      </c>
      <c r="W25" s="313">
        <f t="shared" si="6"/>
        <v>41.74666666666667</v>
      </c>
      <c r="X25" s="313">
        <f t="shared" si="7"/>
        <v>83.493333333333339</v>
      </c>
      <c r="Y25" s="313">
        <f t="shared" si="8"/>
        <v>25.047999999999998</v>
      </c>
    </row>
    <row r="26" spans="1:25" ht="28.5">
      <c r="A26" s="118">
        <f>'BD Team'!A31</f>
        <v>23</v>
      </c>
      <c r="B26" s="118" t="str">
        <f>'BD Team'!B31</f>
        <v>V4</v>
      </c>
      <c r="C26" s="118" t="str">
        <f>'BD Team'!C31</f>
        <v>M940</v>
      </c>
      <c r="D26" s="118" t="str">
        <f>'BD Team'!D31</f>
        <v>TOP HUNG WINDOW WITH BOTTOM FIXED</v>
      </c>
      <c r="E26" s="118" t="str">
        <f>'BD Team'!F31</f>
        <v>NO</v>
      </c>
      <c r="F26" s="121" t="str">
        <f>'BD Team'!G31</f>
        <v>3F - KIDS BEDROOM - 1 TOILET</v>
      </c>
      <c r="G26" s="118">
        <f>'BD Team'!H31</f>
        <v>1080</v>
      </c>
      <c r="H26" s="118">
        <f>'BD Team'!I31</f>
        <v>2325</v>
      </c>
      <c r="I26" s="118">
        <f>'BD Team'!J31</f>
        <v>1</v>
      </c>
      <c r="J26" s="103">
        <f t="shared" si="0"/>
        <v>27.028403999999998</v>
      </c>
      <c r="K26" s="172">
        <f>'BD Team'!K31</f>
        <v>210.21</v>
      </c>
      <c r="L26" s="171">
        <f t="shared" si="1"/>
        <v>210.21</v>
      </c>
      <c r="M26" s="170">
        <f>L26*'Changable Values'!$D$4</f>
        <v>17447.43</v>
      </c>
      <c r="N26" s="170" t="str">
        <f>'BD Team'!E31</f>
        <v>6MM (F)</v>
      </c>
      <c r="O26" s="172">
        <v>2003</v>
      </c>
      <c r="P26" s="241"/>
      <c r="Q26" s="173"/>
      <c r="R26" s="185"/>
      <c r="S26" s="312"/>
      <c r="T26" s="313">
        <f t="shared" si="3"/>
        <v>22.7</v>
      </c>
      <c r="U26" s="313">
        <f t="shared" si="4"/>
        <v>27.24</v>
      </c>
      <c r="V26" s="313">
        <f t="shared" si="5"/>
        <v>1.41875</v>
      </c>
      <c r="W26" s="313">
        <f t="shared" si="6"/>
        <v>22.7</v>
      </c>
      <c r="X26" s="313">
        <f t="shared" si="7"/>
        <v>45.4</v>
      </c>
      <c r="Y26" s="313">
        <f t="shared" si="8"/>
        <v>13.62</v>
      </c>
    </row>
    <row r="27" spans="1:25">
      <c r="A27" s="118">
        <f>'BD Team'!A32</f>
        <v>24</v>
      </c>
      <c r="B27" s="118" t="str">
        <f>'BD Team'!B32</f>
        <v>W14</v>
      </c>
      <c r="C27" s="118" t="str">
        <f>'BD Team'!C32</f>
        <v>M14600</v>
      </c>
      <c r="D27" s="118" t="str">
        <f>'BD Team'!D32</f>
        <v>3 TRACK 2 SHUTTER SLIDING WINDOW</v>
      </c>
      <c r="E27" s="118" t="str">
        <f>'BD Team'!F32</f>
        <v>SS</v>
      </c>
      <c r="F27" s="121" t="str">
        <f>'BD Team'!G32</f>
        <v>3F - KIDS BEDROOM - 1</v>
      </c>
      <c r="G27" s="118">
        <f>'BD Team'!H32</f>
        <v>2000</v>
      </c>
      <c r="H27" s="118">
        <f>'BD Team'!I32</f>
        <v>1875</v>
      </c>
      <c r="I27" s="118">
        <f>'BD Team'!J32</f>
        <v>1</v>
      </c>
      <c r="J27" s="103">
        <f t="shared" si="0"/>
        <v>40.365000000000002</v>
      </c>
      <c r="K27" s="172">
        <f>'BD Team'!K32</f>
        <v>434.03</v>
      </c>
      <c r="L27" s="171">
        <f t="shared" si="1"/>
        <v>434.03</v>
      </c>
      <c r="M27" s="170">
        <f>L27*'Changable Values'!$D$4</f>
        <v>36024.49</v>
      </c>
      <c r="N27" s="170" t="str">
        <f>'BD Team'!E32</f>
        <v>6MM</v>
      </c>
      <c r="O27" s="172">
        <v>1002</v>
      </c>
      <c r="P27" s="241"/>
      <c r="Q27" s="173">
        <f t="shared" ref="Q27:Q29" si="11">50*10.764</f>
        <v>538.19999999999993</v>
      </c>
      <c r="R27" s="185"/>
      <c r="S27" s="312"/>
      <c r="T27" s="313">
        <f t="shared" si="3"/>
        <v>25.833333333333332</v>
      </c>
      <c r="U27" s="313">
        <f t="shared" si="4"/>
        <v>31</v>
      </c>
      <c r="V27" s="313">
        <f t="shared" si="5"/>
        <v>1.6145833333333333</v>
      </c>
      <c r="W27" s="313">
        <f t="shared" si="6"/>
        <v>25.833333333333332</v>
      </c>
      <c r="X27" s="313">
        <f t="shared" si="7"/>
        <v>51.666666666666664</v>
      </c>
      <c r="Y27" s="313">
        <f t="shared" si="8"/>
        <v>15.5</v>
      </c>
    </row>
    <row r="28" spans="1:25">
      <c r="A28" s="118">
        <f>'BD Team'!A33</f>
        <v>25</v>
      </c>
      <c r="B28" s="118" t="str">
        <f>'BD Team'!B33</f>
        <v>W15</v>
      </c>
      <c r="C28" s="118" t="str">
        <f>'BD Team'!C33</f>
        <v>M14600</v>
      </c>
      <c r="D28" s="118" t="str">
        <f>'BD Team'!D33</f>
        <v>3 TRACK 2 SHUTTER SLIDING DOOR</v>
      </c>
      <c r="E28" s="118" t="str">
        <f>'BD Team'!F33</f>
        <v>SS</v>
      </c>
      <c r="F28" s="121" t="str">
        <f>'BD Team'!G33</f>
        <v>3F - KIDS BEDROOM - 1</v>
      </c>
      <c r="G28" s="118">
        <f>'BD Team'!H33</f>
        <v>1735</v>
      </c>
      <c r="H28" s="118">
        <f>'BD Team'!I33</f>
        <v>2625</v>
      </c>
      <c r="I28" s="118">
        <f>'BD Team'!J33</f>
        <v>1</v>
      </c>
      <c r="J28" s="103">
        <f t="shared" si="0"/>
        <v>49.023292499999997</v>
      </c>
      <c r="K28" s="172">
        <f>'BD Team'!K33</f>
        <v>507.28</v>
      </c>
      <c r="L28" s="171">
        <f t="shared" si="1"/>
        <v>507.28</v>
      </c>
      <c r="M28" s="170">
        <f>L28*'Changable Values'!$D$4</f>
        <v>42104.24</v>
      </c>
      <c r="N28" s="170" t="str">
        <f>'BD Team'!E33</f>
        <v>6MM</v>
      </c>
      <c r="O28" s="172">
        <v>1002</v>
      </c>
      <c r="P28" s="241"/>
      <c r="Q28" s="173">
        <f t="shared" si="11"/>
        <v>538.19999999999993</v>
      </c>
      <c r="R28" s="185"/>
      <c r="S28" s="312"/>
      <c r="T28" s="313">
        <f t="shared" si="3"/>
        <v>29.066666666666666</v>
      </c>
      <c r="U28" s="313">
        <f t="shared" si="4"/>
        <v>34.880000000000003</v>
      </c>
      <c r="V28" s="313">
        <f t="shared" si="5"/>
        <v>1.8166666666666667</v>
      </c>
      <c r="W28" s="313">
        <f t="shared" si="6"/>
        <v>29.066666666666666</v>
      </c>
      <c r="X28" s="313">
        <f t="shared" si="7"/>
        <v>58.133333333333333</v>
      </c>
      <c r="Y28" s="313">
        <f t="shared" si="8"/>
        <v>17.440000000000001</v>
      </c>
    </row>
    <row r="29" spans="1:25">
      <c r="A29" s="118">
        <f>'BD Team'!A34</f>
        <v>26</v>
      </c>
      <c r="B29" s="118" t="str">
        <f>'BD Team'!B34</f>
        <v>SFD3</v>
      </c>
      <c r="C29" s="118" t="str">
        <f>'BD Team'!C34</f>
        <v>M14600</v>
      </c>
      <c r="D29" s="118" t="str">
        <f>'BD Team'!D34</f>
        <v>3 TRACK 2 SHUTTER SLIDING DOOR</v>
      </c>
      <c r="E29" s="118" t="str">
        <f>'BD Team'!F34</f>
        <v>SS</v>
      </c>
      <c r="F29" s="121" t="str">
        <f>'BD Team'!G34</f>
        <v>3F - STUDY ROOM</v>
      </c>
      <c r="G29" s="118">
        <f>'BD Team'!H34</f>
        <v>2865</v>
      </c>
      <c r="H29" s="118">
        <f>'BD Team'!I34</f>
        <v>2625</v>
      </c>
      <c r="I29" s="118">
        <f>'BD Team'!J34</f>
        <v>1</v>
      </c>
      <c r="J29" s="103">
        <f t="shared" si="0"/>
        <v>80.952007499999993</v>
      </c>
      <c r="K29" s="172">
        <f>'BD Team'!K34</f>
        <v>582.4</v>
      </c>
      <c r="L29" s="171">
        <f t="shared" si="1"/>
        <v>582.4</v>
      </c>
      <c r="M29" s="170">
        <f>L29*'Changable Values'!$D$4</f>
        <v>48339.199999999997</v>
      </c>
      <c r="N29" s="170" t="str">
        <f>'BD Team'!E34</f>
        <v>10MM</v>
      </c>
      <c r="O29" s="172">
        <v>1589</v>
      </c>
      <c r="P29" s="241"/>
      <c r="Q29" s="173">
        <f t="shared" si="11"/>
        <v>538.19999999999993</v>
      </c>
      <c r="R29" s="185"/>
      <c r="S29" s="312"/>
      <c r="T29" s="313">
        <f t="shared" si="3"/>
        <v>36.6</v>
      </c>
      <c r="U29" s="313">
        <f t="shared" si="4"/>
        <v>43.92</v>
      </c>
      <c r="V29" s="313">
        <f t="shared" si="5"/>
        <v>2.2875000000000001</v>
      </c>
      <c r="W29" s="313">
        <f t="shared" si="6"/>
        <v>36.6</v>
      </c>
      <c r="X29" s="313">
        <f t="shared" si="7"/>
        <v>73.2</v>
      </c>
      <c r="Y29" s="313">
        <f t="shared" si="8"/>
        <v>21.96</v>
      </c>
    </row>
    <row r="30" spans="1:25">
      <c r="A30" s="118">
        <f>'BD Team'!A35</f>
        <v>27</v>
      </c>
      <c r="B30" s="118" t="str">
        <f>'BD Team'!B35</f>
        <v>V5</v>
      </c>
      <c r="C30" s="118" t="str">
        <f>'BD Team'!C35</f>
        <v>M940</v>
      </c>
      <c r="D30" s="118" t="str">
        <f>'BD Team'!D35</f>
        <v>TOP HUNG WINDOW WITH BOTTOM FIXED</v>
      </c>
      <c r="E30" s="118" t="str">
        <f>'BD Team'!F35</f>
        <v>NO</v>
      </c>
      <c r="F30" s="121" t="str">
        <f>'BD Team'!G35</f>
        <v>4F - MBR 2 TOILET</v>
      </c>
      <c r="G30" s="118">
        <f>'BD Team'!H35</f>
        <v>1145</v>
      </c>
      <c r="H30" s="118">
        <f>'BD Team'!I35</f>
        <v>2550</v>
      </c>
      <c r="I30" s="118">
        <f>'BD Team'!J35</f>
        <v>2</v>
      </c>
      <c r="J30" s="103">
        <f t="shared" si="0"/>
        <v>62.856377999999992</v>
      </c>
      <c r="K30" s="172">
        <f>'BD Team'!K35</f>
        <v>222.27</v>
      </c>
      <c r="L30" s="171">
        <f t="shared" si="1"/>
        <v>444.54</v>
      </c>
      <c r="M30" s="170">
        <f>L30*'Changable Values'!$D$4</f>
        <v>36896.82</v>
      </c>
      <c r="N30" s="170" t="str">
        <f>'BD Team'!E35</f>
        <v>6MM (F)</v>
      </c>
      <c r="O30" s="172">
        <v>2003</v>
      </c>
      <c r="P30" s="241"/>
      <c r="Q30" s="173"/>
      <c r="R30" s="185"/>
      <c r="S30" s="312"/>
      <c r="T30" s="313">
        <f t="shared" si="3"/>
        <v>49.266666666666666</v>
      </c>
      <c r="U30" s="313">
        <f t="shared" si="4"/>
        <v>59.12</v>
      </c>
      <c r="V30" s="313">
        <f t="shared" si="5"/>
        <v>3.0791666666666666</v>
      </c>
      <c r="W30" s="313">
        <f t="shared" si="6"/>
        <v>49.266666666666666</v>
      </c>
      <c r="X30" s="313">
        <f t="shared" si="7"/>
        <v>98.533333333333331</v>
      </c>
      <c r="Y30" s="313">
        <f t="shared" si="8"/>
        <v>29.56</v>
      </c>
    </row>
    <row r="31" spans="1:25">
      <c r="A31" s="118">
        <f>'BD Team'!A36</f>
        <v>28</v>
      </c>
      <c r="B31" s="118" t="str">
        <f>'BD Team'!B36</f>
        <v>SD1</v>
      </c>
      <c r="C31" s="118" t="str">
        <f>'BD Team'!C36</f>
        <v>M14600</v>
      </c>
      <c r="D31" s="118" t="str">
        <f>'BD Team'!D36</f>
        <v>3 TRACK 2 SHUTTER SLIDING DOOR</v>
      </c>
      <c r="E31" s="118" t="str">
        <f>'BD Team'!F36</f>
        <v>SS</v>
      </c>
      <c r="F31" s="121" t="str">
        <f>'BD Team'!G36</f>
        <v>4F - NEAR LIFT</v>
      </c>
      <c r="G31" s="118">
        <f>'BD Team'!H36</f>
        <v>1200</v>
      </c>
      <c r="H31" s="118">
        <f>'BD Team'!I36</f>
        <v>2625</v>
      </c>
      <c r="I31" s="118">
        <f>'BD Team'!J36</f>
        <v>1</v>
      </c>
      <c r="J31" s="103">
        <f t="shared" si="0"/>
        <v>33.906599999999997</v>
      </c>
      <c r="K31" s="172">
        <f>'BD Team'!K36</f>
        <v>467.08</v>
      </c>
      <c r="L31" s="171">
        <f t="shared" si="1"/>
        <v>467.08</v>
      </c>
      <c r="M31" s="170">
        <f>L31*'Changable Values'!$D$4</f>
        <v>38767.64</v>
      </c>
      <c r="N31" s="170" t="str">
        <f>'BD Team'!E36</f>
        <v>6MM</v>
      </c>
      <c r="O31" s="172">
        <v>1002</v>
      </c>
      <c r="P31" s="241"/>
      <c r="Q31" s="173">
        <f>50*10.764</f>
        <v>538.19999999999993</v>
      </c>
      <c r="R31" s="185"/>
      <c r="S31" s="312"/>
      <c r="T31" s="313">
        <f t="shared" si="3"/>
        <v>25.5</v>
      </c>
      <c r="U31" s="313">
        <f t="shared" si="4"/>
        <v>30.6</v>
      </c>
      <c r="V31" s="313">
        <f t="shared" si="5"/>
        <v>1.59375</v>
      </c>
      <c r="W31" s="313">
        <f t="shared" si="6"/>
        <v>25.5</v>
      </c>
      <c r="X31" s="313">
        <f t="shared" si="7"/>
        <v>51</v>
      </c>
      <c r="Y31" s="313">
        <f t="shared" si="8"/>
        <v>15.3</v>
      </c>
    </row>
    <row r="32" spans="1:25">
      <c r="A32" s="118">
        <f>'BD Team'!A37</f>
        <v>29</v>
      </c>
      <c r="B32" s="118" t="str">
        <f>'BD Team'!B37</f>
        <v>W17</v>
      </c>
      <c r="C32" s="118" t="str">
        <f>'BD Team'!C37</f>
        <v>M940</v>
      </c>
      <c r="D32" s="118" t="str">
        <f>'BD Team'!D37</f>
        <v>FIXED GLASS 2 NO'S</v>
      </c>
      <c r="E32" s="118" t="str">
        <f>'BD Team'!F37</f>
        <v>NO</v>
      </c>
      <c r="F32" s="121" t="str">
        <f>'BD Team'!G37</f>
        <v>4F - MBR 2</v>
      </c>
      <c r="G32" s="118">
        <f>'BD Team'!H37</f>
        <v>640</v>
      </c>
      <c r="H32" s="118">
        <f>'BD Team'!I37</f>
        <v>2025</v>
      </c>
      <c r="I32" s="118">
        <f>'BD Team'!J37</f>
        <v>1</v>
      </c>
      <c r="J32" s="103">
        <f t="shared" si="0"/>
        <v>13.950144</v>
      </c>
      <c r="K32" s="172">
        <f>'BD Team'!K37</f>
        <v>56.18</v>
      </c>
      <c r="L32" s="171">
        <f t="shared" si="1"/>
        <v>56.18</v>
      </c>
      <c r="M32" s="170">
        <f>L32*'Changable Values'!$D$4</f>
        <v>4662.9399999999996</v>
      </c>
      <c r="N32" s="170" t="str">
        <f>'BD Team'!E37</f>
        <v>6MM</v>
      </c>
      <c r="O32" s="172">
        <v>1002</v>
      </c>
      <c r="P32" s="241"/>
      <c r="Q32" s="173"/>
      <c r="R32" s="185"/>
      <c r="S32" s="312"/>
      <c r="T32" s="313">
        <f t="shared" si="3"/>
        <v>17.766666666666666</v>
      </c>
      <c r="U32" s="313">
        <f t="shared" si="4"/>
        <v>21.32</v>
      </c>
      <c r="V32" s="313">
        <f t="shared" si="5"/>
        <v>1.1104166666666666</v>
      </c>
      <c r="W32" s="313">
        <f t="shared" si="6"/>
        <v>17.766666666666666</v>
      </c>
      <c r="X32" s="313">
        <f t="shared" si="7"/>
        <v>35.533333333333331</v>
      </c>
      <c r="Y32" s="313">
        <f t="shared" si="8"/>
        <v>10.66</v>
      </c>
    </row>
    <row r="33" spans="1:25">
      <c r="A33" s="118">
        <f>'BD Team'!A38</f>
        <v>30</v>
      </c>
      <c r="B33" s="118" t="str">
        <f>'BD Team'!B38</f>
        <v>SDW2</v>
      </c>
      <c r="C33" s="118" t="str">
        <f>'BD Team'!C38</f>
        <v>M14600</v>
      </c>
      <c r="D33" s="118" t="str">
        <f>'BD Team'!D38</f>
        <v>3 TRACK 2 SHUTTER SLIDING DOOR</v>
      </c>
      <c r="E33" s="118" t="str">
        <f>'BD Team'!F38</f>
        <v>SS</v>
      </c>
      <c r="F33" s="121" t="str">
        <f>'BD Team'!G38</f>
        <v>4F - MBR 2</v>
      </c>
      <c r="G33" s="118">
        <f>'BD Team'!H38</f>
        <v>3040</v>
      </c>
      <c r="H33" s="118">
        <f>'BD Team'!I38</f>
        <v>2625</v>
      </c>
      <c r="I33" s="118">
        <f>'BD Team'!J38</f>
        <v>1</v>
      </c>
      <c r="J33" s="103">
        <f t="shared" si="0"/>
        <v>85.896720000000002</v>
      </c>
      <c r="K33" s="172">
        <f>'BD Team'!K38</f>
        <v>600.6</v>
      </c>
      <c r="L33" s="171">
        <f t="shared" si="1"/>
        <v>600.6</v>
      </c>
      <c r="M33" s="170">
        <f>L33*'Changable Values'!$D$4</f>
        <v>49849.8</v>
      </c>
      <c r="N33" s="170" t="str">
        <f>'BD Team'!E38</f>
        <v>10MM</v>
      </c>
      <c r="O33" s="172">
        <v>1589</v>
      </c>
      <c r="P33" s="241"/>
      <c r="Q33" s="173">
        <f t="shared" ref="Q33:Q34" si="12">50*10.764</f>
        <v>538.19999999999993</v>
      </c>
      <c r="R33" s="185"/>
      <c r="S33" s="312"/>
      <c r="T33" s="313">
        <f t="shared" si="3"/>
        <v>37.766666666666666</v>
      </c>
      <c r="U33" s="313">
        <f t="shared" si="4"/>
        <v>45.32</v>
      </c>
      <c r="V33" s="313">
        <f t="shared" si="5"/>
        <v>2.3604166666666666</v>
      </c>
      <c r="W33" s="313">
        <f t="shared" si="6"/>
        <v>37.766666666666666</v>
      </c>
      <c r="X33" s="313">
        <f t="shared" si="7"/>
        <v>75.533333333333331</v>
      </c>
      <c r="Y33" s="313">
        <f t="shared" si="8"/>
        <v>22.66</v>
      </c>
    </row>
    <row r="34" spans="1:25">
      <c r="A34" s="118">
        <f>'BD Team'!A39</f>
        <v>31</v>
      </c>
      <c r="B34" s="118" t="str">
        <f>'BD Team'!B39</f>
        <v>W18</v>
      </c>
      <c r="C34" s="118" t="str">
        <f>'BD Team'!C39</f>
        <v>M14600</v>
      </c>
      <c r="D34" s="118" t="str">
        <f>'BD Team'!D39</f>
        <v>3 TRACK 2 SHUTTER SLIDING DOOR</v>
      </c>
      <c r="E34" s="118" t="str">
        <f>'BD Team'!F39</f>
        <v>SS</v>
      </c>
      <c r="F34" s="121" t="str">
        <f>'BD Team'!G39</f>
        <v>4F - MBR 2</v>
      </c>
      <c r="G34" s="118">
        <f>'BD Team'!H39</f>
        <v>1093</v>
      </c>
      <c r="H34" s="118">
        <f>'BD Team'!I39</f>
        <v>2025</v>
      </c>
      <c r="I34" s="118">
        <f>'BD Team'!J39</f>
        <v>1</v>
      </c>
      <c r="J34" s="103">
        <f t="shared" si="0"/>
        <v>23.824230299999996</v>
      </c>
      <c r="K34" s="172">
        <f>'BD Team'!K39</f>
        <v>395.75</v>
      </c>
      <c r="L34" s="171">
        <f t="shared" si="1"/>
        <v>395.75</v>
      </c>
      <c r="M34" s="170">
        <f>L34*'Changable Values'!$D$4</f>
        <v>32847.25</v>
      </c>
      <c r="N34" s="170" t="str">
        <f>'BD Team'!E39</f>
        <v>6MM</v>
      </c>
      <c r="O34" s="172">
        <v>1002</v>
      </c>
      <c r="P34" s="241"/>
      <c r="Q34" s="173">
        <f t="shared" si="12"/>
        <v>538.19999999999993</v>
      </c>
      <c r="R34" s="185"/>
      <c r="S34" s="312"/>
      <c r="T34" s="313">
        <f t="shared" si="3"/>
        <v>20.786666666666665</v>
      </c>
      <c r="U34" s="313">
        <f t="shared" si="4"/>
        <v>24.943999999999999</v>
      </c>
      <c r="V34" s="313">
        <f t="shared" si="5"/>
        <v>1.2991666666666666</v>
      </c>
      <c r="W34" s="313">
        <f t="shared" si="6"/>
        <v>20.786666666666665</v>
      </c>
      <c r="X34" s="313">
        <f t="shared" si="7"/>
        <v>41.573333333333331</v>
      </c>
      <c r="Y34" s="313">
        <f t="shared" si="8"/>
        <v>12.472</v>
      </c>
    </row>
    <row r="35" spans="1:25">
      <c r="A35" s="118">
        <f>'BD Team'!A40</f>
        <v>32</v>
      </c>
      <c r="B35" s="118" t="str">
        <f>'BD Team'!B40</f>
        <v>V6</v>
      </c>
      <c r="C35" s="118" t="str">
        <f>'BD Team'!C40</f>
        <v>M940</v>
      </c>
      <c r="D35" s="118" t="str">
        <f>'BD Team'!D40</f>
        <v>TOP HUNG WINDOW WITH BOTTOM FIXED</v>
      </c>
      <c r="E35" s="118" t="str">
        <f>'BD Team'!F40</f>
        <v>NO</v>
      </c>
      <c r="F35" s="121" t="str">
        <f>'BD Team'!G40</f>
        <v>5F - POWDER ROOM</v>
      </c>
      <c r="G35" s="118">
        <f>'BD Team'!H40</f>
        <v>900</v>
      </c>
      <c r="H35" s="118">
        <f>'BD Team'!I40</f>
        <v>2550</v>
      </c>
      <c r="I35" s="118">
        <f>'BD Team'!J40</f>
        <v>1</v>
      </c>
      <c r="J35" s="103">
        <f t="shared" si="0"/>
        <v>24.703379999999999</v>
      </c>
      <c r="K35" s="172">
        <f>'BD Team'!K40</f>
        <v>202.15</v>
      </c>
      <c r="L35" s="171">
        <f t="shared" si="1"/>
        <v>202.15</v>
      </c>
      <c r="M35" s="170">
        <f>L35*'Changable Values'!$D$4</f>
        <v>16778.45</v>
      </c>
      <c r="N35" s="170" t="str">
        <f>'BD Team'!E40</f>
        <v>6MM (F)</v>
      </c>
      <c r="O35" s="172">
        <v>2003</v>
      </c>
      <c r="P35" s="241"/>
      <c r="Q35" s="173"/>
      <c r="R35" s="185"/>
      <c r="S35" s="312"/>
      <c r="T35" s="313">
        <f t="shared" si="3"/>
        <v>23</v>
      </c>
      <c r="U35" s="313">
        <f t="shared" si="4"/>
        <v>27.6</v>
      </c>
      <c r="V35" s="313">
        <f t="shared" si="5"/>
        <v>1.4375</v>
      </c>
      <c r="W35" s="313">
        <f t="shared" si="6"/>
        <v>23</v>
      </c>
      <c r="X35" s="313">
        <f t="shared" si="7"/>
        <v>46</v>
      </c>
      <c r="Y35" s="313">
        <f t="shared" si="8"/>
        <v>13.8</v>
      </c>
    </row>
    <row r="36" spans="1:25">
      <c r="A36" s="118">
        <f>'BD Team'!A41</f>
        <v>33</v>
      </c>
      <c r="B36" s="118" t="str">
        <f>'BD Team'!B41</f>
        <v>V7</v>
      </c>
      <c r="C36" s="118" t="str">
        <f>'BD Team'!C41</f>
        <v>M940</v>
      </c>
      <c r="D36" s="118" t="str">
        <f>'BD Team'!D41</f>
        <v>TOP HUNG WINDOW WITH BOTTOM FIXED</v>
      </c>
      <c r="E36" s="118" t="str">
        <f>'BD Team'!F41</f>
        <v>NO</v>
      </c>
      <c r="F36" s="121" t="str">
        <f>'BD Team'!G41</f>
        <v>5F - UTILITY</v>
      </c>
      <c r="G36" s="118">
        <f>'BD Team'!H41</f>
        <v>640</v>
      </c>
      <c r="H36" s="118">
        <f>'BD Team'!I41</f>
        <v>2550</v>
      </c>
      <c r="I36" s="118">
        <f>'BD Team'!J41</f>
        <v>1</v>
      </c>
      <c r="J36" s="103">
        <f t="shared" si="0"/>
        <v>17.566848</v>
      </c>
      <c r="K36" s="172">
        <f>'BD Team'!K41</f>
        <v>185.37</v>
      </c>
      <c r="L36" s="171">
        <f t="shared" si="1"/>
        <v>185.37</v>
      </c>
      <c r="M36" s="170">
        <f>L36*'Changable Values'!$D$4</f>
        <v>15385.710000000001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3"/>
        <v>21.266666666666666</v>
      </c>
      <c r="U36" s="313">
        <f t="shared" si="4"/>
        <v>25.52</v>
      </c>
      <c r="V36" s="313">
        <f t="shared" si="5"/>
        <v>1.3291666666666666</v>
      </c>
      <c r="W36" s="313">
        <f t="shared" si="6"/>
        <v>21.266666666666666</v>
      </c>
      <c r="X36" s="313">
        <f t="shared" si="7"/>
        <v>42.533333333333331</v>
      </c>
      <c r="Y36" s="313">
        <f t="shared" si="8"/>
        <v>12.76</v>
      </c>
    </row>
    <row r="37" spans="1:25">
      <c r="A37" s="118">
        <f>'BD Team'!A42</f>
        <v>34</v>
      </c>
      <c r="B37" s="118" t="str">
        <f>'BD Team'!B42</f>
        <v>SDW4</v>
      </c>
      <c r="C37" s="118" t="str">
        <f>'BD Team'!C42</f>
        <v>M12500</v>
      </c>
      <c r="D37" s="118" t="str">
        <f>'BD Team'!D42</f>
        <v>2 TRACK 2 SHUTTER SLIDING DOOR</v>
      </c>
      <c r="E37" s="118" t="str">
        <f>'BD Team'!F42</f>
        <v>RETRACTABLE</v>
      </c>
      <c r="F37" s="121" t="str">
        <f>'BD Team'!G42</f>
        <v>5F - SEATER</v>
      </c>
      <c r="G37" s="118">
        <f>'BD Team'!H42</f>
        <v>4160</v>
      </c>
      <c r="H37" s="118">
        <f>'BD Team'!I42</f>
        <v>2440</v>
      </c>
      <c r="I37" s="118">
        <f>'BD Team'!J42</f>
        <v>1</v>
      </c>
      <c r="J37" s="103">
        <f t="shared" si="0"/>
        <v>109.25890559999999</v>
      </c>
      <c r="K37" s="172">
        <f>'BD Team'!K42</f>
        <v>922.12</v>
      </c>
      <c r="L37" s="171">
        <f t="shared" si="1"/>
        <v>922.12</v>
      </c>
      <c r="M37" s="170">
        <f>L37*'Changable Values'!$D$4</f>
        <v>76535.960000000006</v>
      </c>
      <c r="N37" s="170" t="str">
        <f>'BD Team'!E42</f>
        <v>10MM</v>
      </c>
      <c r="O37" s="172">
        <v>1589</v>
      </c>
      <c r="P37" s="241"/>
      <c r="Q37" s="173"/>
      <c r="R37" s="185">
        <f>900*10.764</f>
        <v>9687.5999999999985</v>
      </c>
      <c r="S37" s="312">
        <v>5000</v>
      </c>
      <c r="T37" s="313">
        <f t="shared" si="3"/>
        <v>44</v>
      </c>
      <c r="U37" s="313">
        <f t="shared" si="4"/>
        <v>52.8</v>
      </c>
      <c r="V37" s="313">
        <f t="shared" si="5"/>
        <v>2.75</v>
      </c>
      <c r="W37" s="313">
        <f t="shared" si="6"/>
        <v>44</v>
      </c>
      <c r="X37" s="313">
        <f t="shared" si="7"/>
        <v>88</v>
      </c>
      <c r="Y37" s="313">
        <f t="shared" si="8"/>
        <v>26.4</v>
      </c>
    </row>
    <row r="38" spans="1:25">
      <c r="A38" s="118">
        <f>'BD Team'!A43</f>
        <v>35</v>
      </c>
      <c r="B38" s="118" t="str">
        <f>'BD Team'!B43</f>
        <v>SD2</v>
      </c>
      <c r="C38" s="118" t="str">
        <f>'BD Team'!C43</f>
        <v>M14600</v>
      </c>
      <c r="D38" s="118" t="str">
        <f>'BD Team'!D43</f>
        <v>3 TRACK 2 SHUTTER SLIDING DOOR</v>
      </c>
      <c r="E38" s="118" t="str">
        <f>'BD Team'!F43</f>
        <v>SS</v>
      </c>
      <c r="F38" s="121" t="str">
        <f>'BD Team'!G43</f>
        <v>5F - NEAR LIFT</v>
      </c>
      <c r="G38" s="118">
        <f>'BD Team'!H43</f>
        <v>1960</v>
      </c>
      <c r="H38" s="118">
        <f>'BD Team'!I43</f>
        <v>2551</v>
      </c>
      <c r="I38" s="118">
        <f>'BD Team'!J43</f>
        <v>1</v>
      </c>
      <c r="J38" s="103">
        <f t="shared" si="0"/>
        <v>53.819569439999995</v>
      </c>
      <c r="K38" s="172">
        <f>'BD Team'!K43</f>
        <v>516.38</v>
      </c>
      <c r="L38" s="171">
        <f t="shared" si="1"/>
        <v>516.38</v>
      </c>
      <c r="M38" s="170">
        <f>L38*'Changable Values'!$D$4</f>
        <v>42859.54</v>
      </c>
      <c r="N38" s="170" t="str">
        <f>'BD Team'!E43</f>
        <v>6MM</v>
      </c>
      <c r="O38" s="172">
        <v>1002</v>
      </c>
      <c r="P38" s="241"/>
      <c r="Q38" s="173">
        <f>50*10.764</f>
        <v>538.19999999999993</v>
      </c>
      <c r="R38" s="185"/>
      <c r="S38" s="312"/>
      <c r="T38" s="313">
        <f t="shared" si="3"/>
        <v>30.073333333333334</v>
      </c>
      <c r="U38" s="313">
        <f t="shared" si="4"/>
        <v>36.088000000000001</v>
      </c>
      <c r="V38" s="313">
        <f t="shared" si="5"/>
        <v>1.8795833333333334</v>
      </c>
      <c r="W38" s="313">
        <f t="shared" si="6"/>
        <v>30.073333333333334</v>
      </c>
      <c r="X38" s="313">
        <f t="shared" si="7"/>
        <v>60.146666666666668</v>
      </c>
      <c r="Y38" s="313">
        <f t="shared" si="8"/>
        <v>18.044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3"/>
        <v>0</v>
      </c>
      <c r="K55" s="172">
        <f>'BD Team'!K60</f>
        <v>0</v>
      </c>
      <c r="L55" s="171">
        <f t="shared" ref="L55:L103" si="14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3"/>
        <v>0</v>
      </c>
      <c r="K56" s="172">
        <f>'BD Team'!K61</f>
        <v>0</v>
      </c>
      <c r="L56" s="171">
        <f t="shared" si="14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3"/>
        <v>0</v>
      </c>
      <c r="K57" s="172">
        <f>'BD Team'!K62</f>
        <v>0</v>
      </c>
      <c r="L57" s="171">
        <f t="shared" si="14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3"/>
        <v>0</v>
      </c>
      <c r="K58" s="172">
        <f>'BD Team'!K63</f>
        <v>0</v>
      </c>
      <c r="L58" s="171">
        <f t="shared" si="14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3"/>
        <v>0</v>
      </c>
      <c r="K59" s="172">
        <f>'BD Team'!K64</f>
        <v>0</v>
      </c>
      <c r="L59" s="171">
        <f t="shared" si="14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3"/>
        <v>0</v>
      </c>
      <c r="K60" s="172">
        <f>'BD Team'!K65</f>
        <v>0</v>
      </c>
      <c r="L60" s="171">
        <f t="shared" si="14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3"/>
        <v>0</v>
      </c>
      <c r="K61" s="172">
        <f>'BD Team'!K66</f>
        <v>0</v>
      </c>
      <c r="L61" s="171">
        <f t="shared" si="14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3"/>
        <v>0</v>
      </c>
      <c r="K62" s="172">
        <f>'BD Team'!K67</f>
        <v>0</v>
      </c>
      <c r="L62" s="171">
        <f t="shared" si="14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3"/>
        <v>0</v>
      </c>
      <c r="K63" s="172">
        <f>'BD Team'!K68</f>
        <v>0</v>
      </c>
      <c r="L63" s="171">
        <f t="shared" si="14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3"/>
        <v>0</v>
      </c>
      <c r="K64" s="172">
        <f>'BD Team'!K69</f>
        <v>0</v>
      </c>
      <c r="L64" s="171">
        <f t="shared" si="14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3"/>
        <v>0</v>
      </c>
      <c r="K65" s="172">
        <f>'BD Team'!K70</f>
        <v>0</v>
      </c>
      <c r="L65" s="171">
        <f t="shared" si="14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3"/>
        <v>0</v>
      </c>
      <c r="K66" s="172">
        <f>'BD Team'!K71</f>
        <v>0</v>
      </c>
      <c r="L66" s="171">
        <f t="shared" si="14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3"/>
        <v>0</v>
      </c>
      <c r="K67" s="172">
        <f>'BD Team'!K72</f>
        <v>0</v>
      </c>
      <c r="L67" s="171">
        <f t="shared" si="14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3"/>
        <v>0</v>
      </c>
      <c r="K68" s="172">
        <f>'BD Team'!K73</f>
        <v>0</v>
      </c>
      <c r="L68" s="171">
        <f t="shared" si="14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3"/>
        <v>0</v>
      </c>
      <c r="K69" s="172">
        <f>'BD Team'!K74</f>
        <v>0</v>
      </c>
      <c r="L69" s="171">
        <f t="shared" si="14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5">(G69+H69)*I69*2/300</f>
        <v>0</v>
      </c>
      <c r="U69" s="313">
        <f t="shared" ref="U69:U103" si="16">SUM(G69:H69)*I69*2*4/1000</f>
        <v>0</v>
      </c>
      <c r="V69" s="313">
        <f t="shared" ref="V69:V103" si="17">SUM(G69:H69)*I69*5*5*4/(1000*240)</f>
        <v>0</v>
      </c>
      <c r="W69" s="313">
        <f t="shared" ref="W69:W103" si="18">T69</f>
        <v>0</v>
      </c>
      <c r="X69" s="313">
        <f t="shared" ref="X69:X103" si="19">W69*2</f>
        <v>0</v>
      </c>
      <c r="Y69" s="313">
        <f t="shared" ref="Y69:Y103" si="20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3"/>
        <v>0</v>
      </c>
      <c r="K70" s="172">
        <f>'BD Team'!K75</f>
        <v>0</v>
      </c>
      <c r="L70" s="171">
        <f t="shared" si="14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5"/>
        <v>0</v>
      </c>
      <c r="U70" s="313">
        <f t="shared" si="16"/>
        <v>0</v>
      </c>
      <c r="V70" s="313">
        <f t="shared" si="17"/>
        <v>0</v>
      </c>
      <c r="W70" s="313">
        <f t="shared" si="18"/>
        <v>0</v>
      </c>
      <c r="X70" s="313">
        <f t="shared" si="19"/>
        <v>0</v>
      </c>
      <c r="Y70" s="313">
        <f t="shared" si="20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3"/>
        <v>0</v>
      </c>
      <c r="K71" s="172">
        <f>'BD Team'!K76</f>
        <v>0</v>
      </c>
      <c r="L71" s="171">
        <f t="shared" si="14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5"/>
        <v>0</v>
      </c>
      <c r="U71" s="313">
        <f t="shared" si="16"/>
        <v>0</v>
      </c>
      <c r="V71" s="313">
        <f t="shared" si="17"/>
        <v>0</v>
      </c>
      <c r="W71" s="313">
        <f t="shared" si="18"/>
        <v>0</v>
      </c>
      <c r="X71" s="313">
        <f t="shared" si="19"/>
        <v>0</v>
      </c>
      <c r="Y71" s="313">
        <f t="shared" si="20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3"/>
        <v>0</v>
      </c>
      <c r="K72" s="172">
        <f>'BD Team'!K77</f>
        <v>0</v>
      </c>
      <c r="L72" s="171">
        <f t="shared" si="14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5"/>
        <v>0</v>
      </c>
      <c r="U72" s="313">
        <f t="shared" si="16"/>
        <v>0</v>
      </c>
      <c r="V72" s="313">
        <f t="shared" si="17"/>
        <v>0</v>
      </c>
      <c r="W72" s="313">
        <f t="shared" si="18"/>
        <v>0</v>
      </c>
      <c r="X72" s="313">
        <f t="shared" si="19"/>
        <v>0</v>
      </c>
      <c r="Y72" s="313">
        <f t="shared" si="20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3"/>
        <v>0</v>
      </c>
      <c r="K73" s="172">
        <f>'BD Team'!K78</f>
        <v>0</v>
      </c>
      <c r="L73" s="171">
        <f t="shared" si="14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5"/>
        <v>0</v>
      </c>
      <c r="U73" s="313">
        <f t="shared" si="16"/>
        <v>0</v>
      </c>
      <c r="V73" s="313">
        <f t="shared" si="17"/>
        <v>0</v>
      </c>
      <c r="W73" s="313">
        <f t="shared" si="18"/>
        <v>0</v>
      </c>
      <c r="X73" s="313">
        <f t="shared" si="19"/>
        <v>0</v>
      </c>
      <c r="Y73" s="313">
        <f t="shared" si="20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3"/>
        <v>0</v>
      </c>
      <c r="K74" s="172">
        <f>'BD Team'!K79</f>
        <v>0</v>
      </c>
      <c r="L74" s="171">
        <f t="shared" si="14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5"/>
        <v>0</v>
      </c>
      <c r="U74" s="313">
        <f t="shared" si="16"/>
        <v>0</v>
      </c>
      <c r="V74" s="313">
        <f t="shared" si="17"/>
        <v>0</v>
      </c>
      <c r="W74" s="313">
        <f t="shared" si="18"/>
        <v>0</v>
      </c>
      <c r="X74" s="313">
        <f t="shared" si="19"/>
        <v>0</v>
      </c>
      <c r="Y74" s="313">
        <f t="shared" si="20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3"/>
        <v>0</v>
      </c>
      <c r="K75" s="172">
        <f>'BD Team'!K80</f>
        <v>0</v>
      </c>
      <c r="L75" s="171">
        <f t="shared" si="14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5"/>
        <v>0</v>
      </c>
      <c r="U75" s="313">
        <f t="shared" si="16"/>
        <v>0</v>
      </c>
      <c r="V75" s="313">
        <f t="shared" si="17"/>
        <v>0</v>
      </c>
      <c r="W75" s="313">
        <f t="shared" si="18"/>
        <v>0</v>
      </c>
      <c r="X75" s="313">
        <f t="shared" si="19"/>
        <v>0</v>
      </c>
      <c r="Y75" s="313">
        <f t="shared" si="20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3"/>
        <v>0</v>
      </c>
      <c r="K76" s="172">
        <f>'BD Team'!K81</f>
        <v>0</v>
      </c>
      <c r="L76" s="171">
        <f t="shared" si="14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5"/>
        <v>0</v>
      </c>
      <c r="U76" s="313">
        <f t="shared" si="16"/>
        <v>0</v>
      </c>
      <c r="V76" s="313">
        <f t="shared" si="17"/>
        <v>0</v>
      </c>
      <c r="W76" s="313">
        <f t="shared" si="18"/>
        <v>0</v>
      </c>
      <c r="X76" s="313">
        <f t="shared" si="19"/>
        <v>0</v>
      </c>
      <c r="Y76" s="313">
        <f t="shared" si="20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3"/>
        <v>0</v>
      </c>
      <c r="K77" s="172">
        <f>'BD Team'!K82</f>
        <v>0</v>
      </c>
      <c r="L77" s="171">
        <f t="shared" si="14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5"/>
        <v>0</v>
      </c>
      <c r="U77" s="313">
        <f t="shared" si="16"/>
        <v>0</v>
      </c>
      <c r="V77" s="313">
        <f t="shared" si="17"/>
        <v>0</v>
      </c>
      <c r="W77" s="313">
        <f t="shared" si="18"/>
        <v>0</v>
      </c>
      <c r="X77" s="313">
        <f t="shared" si="19"/>
        <v>0</v>
      </c>
      <c r="Y77" s="313">
        <f t="shared" si="20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3"/>
        <v>0</v>
      </c>
      <c r="K78" s="172">
        <f>'BD Team'!K83</f>
        <v>0</v>
      </c>
      <c r="L78" s="171">
        <f t="shared" si="14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5"/>
        <v>0</v>
      </c>
      <c r="U78" s="313">
        <f t="shared" si="16"/>
        <v>0</v>
      </c>
      <c r="V78" s="313">
        <f t="shared" si="17"/>
        <v>0</v>
      </c>
      <c r="W78" s="313">
        <f t="shared" si="18"/>
        <v>0</v>
      </c>
      <c r="X78" s="313">
        <f t="shared" si="19"/>
        <v>0</v>
      </c>
      <c r="Y78" s="313">
        <f t="shared" si="20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3"/>
        <v>0</v>
      </c>
      <c r="K79" s="172">
        <f>'BD Team'!K84</f>
        <v>0</v>
      </c>
      <c r="L79" s="171">
        <f t="shared" si="14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5"/>
        <v>0</v>
      </c>
      <c r="U79" s="313">
        <f t="shared" si="16"/>
        <v>0</v>
      </c>
      <c r="V79" s="313">
        <f t="shared" si="17"/>
        <v>0</v>
      </c>
      <c r="W79" s="313">
        <f t="shared" si="18"/>
        <v>0</v>
      </c>
      <c r="X79" s="313">
        <f t="shared" si="19"/>
        <v>0</v>
      </c>
      <c r="Y79" s="313">
        <f t="shared" si="20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3"/>
        <v>0</v>
      </c>
      <c r="K80" s="172">
        <f>'BD Team'!K85</f>
        <v>0</v>
      </c>
      <c r="L80" s="171">
        <f t="shared" si="14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5"/>
        <v>0</v>
      </c>
      <c r="U80" s="313">
        <f t="shared" si="16"/>
        <v>0</v>
      </c>
      <c r="V80" s="313">
        <f t="shared" si="17"/>
        <v>0</v>
      </c>
      <c r="W80" s="313">
        <f t="shared" si="18"/>
        <v>0</v>
      </c>
      <c r="X80" s="313">
        <f t="shared" si="19"/>
        <v>0</v>
      </c>
      <c r="Y80" s="313">
        <f t="shared" si="20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3"/>
        <v>0</v>
      </c>
      <c r="K81" s="172">
        <f>'BD Team'!K86</f>
        <v>0</v>
      </c>
      <c r="L81" s="171">
        <f t="shared" si="14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5"/>
        <v>0</v>
      </c>
      <c r="U81" s="313">
        <f t="shared" si="16"/>
        <v>0</v>
      </c>
      <c r="V81" s="313">
        <f t="shared" si="17"/>
        <v>0</v>
      </c>
      <c r="W81" s="313">
        <f t="shared" si="18"/>
        <v>0</v>
      </c>
      <c r="X81" s="313">
        <f t="shared" si="19"/>
        <v>0</v>
      </c>
      <c r="Y81" s="313">
        <f t="shared" si="20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3"/>
        <v>0</v>
      </c>
      <c r="K82" s="172">
        <f>'BD Team'!K87</f>
        <v>0</v>
      </c>
      <c r="L82" s="171">
        <f t="shared" si="14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5"/>
        <v>0</v>
      </c>
      <c r="U82" s="313">
        <f t="shared" si="16"/>
        <v>0</v>
      </c>
      <c r="V82" s="313">
        <f t="shared" si="17"/>
        <v>0</v>
      </c>
      <c r="W82" s="313">
        <f t="shared" si="18"/>
        <v>0</v>
      </c>
      <c r="X82" s="313">
        <f t="shared" si="19"/>
        <v>0</v>
      </c>
      <c r="Y82" s="313">
        <f t="shared" si="20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3"/>
        <v>0</v>
      </c>
      <c r="K83" s="172">
        <f>'BD Team'!K88</f>
        <v>0</v>
      </c>
      <c r="L83" s="171">
        <f t="shared" si="14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5"/>
        <v>0</v>
      </c>
      <c r="U83" s="313">
        <f t="shared" si="16"/>
        <v>0</v>
      </c>
      <c r="V83" s="313">
        <f t="shared" si="17"/>
        <v>0</v>
      </c>
      <c r="W83" s="313">
        <f t="shared" si="18"/>
        <v>0</v>
      </c>
      <c r="X83" s="313">
        <f t="shared" si="19"/>
        <v>0</v>
      </c>
      <c r="Y83" s="313">
        <f t="shared" si="20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3"/>
        <v>0</v>
      </c>
      <c r="K84" s="172">
        <f>'BD Team'!K89</f>
        <v>0</v>
      </c>
      <c r="L84" s="171">
        <f t="shared" si="14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5"/>
        <v>0</v>
      </c>
      <c r="U84" s="313">
        <f t="shared" si="16"/>
        <v>0</v>
      </c>
      <c r="V84" s="313">
        <f t="shared" si="17"/>
        <v>0</v>
      </c>
      <c r="W84" s="313">
        <f t="shared" si="18"/>
        <v>0</v>
      </c>
      <c r="X84" s="313">
        <f t="shared" si="19"/>
        <v>0</v>
      </c>
      <c r="Y84" s="313">
        <f t="shared" si="20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3"/>
        <v>0</v>
      </c>
      <c r="K85" s="172">
        <f>'BD Team'!K90</f>
        <v>0</v>
      </c>
      <c r="L85" s="171">
        <f t="shared" si="14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5"/>
        <v>0</v>
      </c>
      <c r="U85" s="313">
        <f t="shared" si="16"/>
        <v>0</v>
      </c>
      <c r="V85" s="313">
        <f t="shared" si="17"/>
        <v>0</v>
      </c>
      <c r="W85" s="313">
        <f t="shared" si="18"/>
        <v>0</v>
      </c>
      <c r="X85" s="313">
        <f t="shared" si="19"/>
        <v>0</v>
      </c>
      <c r="Y85" s="313">
        <f t="shared" si="20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3"/>
        <v>0</v>
      </c>
      <c r="K86" s="172">
        <f>'BD Team'!K91</f>
        <v>0</v>
      </c>
      <c r="L86" s="171">
        <f t="shared" si="14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5"/>
        <v>0</v>
      </c>
      <c r="U86" s="313">
        <f t="shared" si="16"/>
        <v>0</v>
      </c>
      <c r="V86" s="313">
        <f t="shared" si="17"/>
        <v>0</v>
      </c>
      <c r="W86" s="313">
        <f t="shared" si="18"/>
        <v>0</v>
      </c>
      <c r="X86" s="313">
        <f t="shared" si="19"/>
        <v>0</v>
      </c>
      <c r="Y86" s="313">
        <f t="shared" si="20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3"/>
        <v>0</v>
      </c>
      <c r="K87" s="172">
        <f>'BD Team'!K92</f>
        <v>0</v>
      </c>
      <c r="L87" s="171">
        <f t="shared" si="14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5"/>
        <v>0</v>
      </c>
      <c r="U87" s="313">
        <f t="shared" si="16"/>
        <v>0</v>
      </c>
      <c r="V87" s="313">
        <f t="shared" si="17"/>
        <v>0</v>
      </c>
      <c r="W87" s="313">
        <f t="shared" si="18"/>
        <v>0</v>
      </c>
      <c r="X87" s="313">
        <f t="shared" si="19"/>
        <v>0</v>
      </c>
      <c r="Y87" s="313">
        <f t="shared" si="20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3"/>
        <v>0</v>
      </c>
      <c r="K88" s="172">
        <f>'BD Team'!K93</f>
        <v>0</v>
      </c>
      <c r="L88" s="171">
        <f t="shared" si="14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5"/>
        <v>0</v>
      </c>
      <c r="U88" s="313">
        <f t="shared" si="16"/>
        <v>0</v>
      </c>
      <c r="V88" s="313">
        <f t="shared" si="17"/>
        <v>0</v>
      </c>
      <c r="W88" s="313">
        <f t="shared" si="18"/>
        <v>0</v>
      </c>
      <c r="X88" s="313">
        <f t="shared" si="19"/>
        <v>0</v>
      </c>
      <c r="Y88" s="313">
        <f t="shared" si="20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3"/>
        <v>0</v>
      </c>
      <c r="K89" s="172">
        <f>'BD Team'!K94</f>
        <v>0</v>
      </c>
      <c r="L89" s="171">
        <f t="shared" si="14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5"/>
        <v>0</v>
      </c>
      <c r="U89" s="313">
        <f t="shared" si="16"/>
        <v>0</v>
      </c>
      <c r="V89" s="313">
        <f t="shared" si="17"/>
        <v>0</v>
      </c>
      <c r="W89" s="313">
        <f t="shared" si="18"/>
        <v>0</v>
      </c>
      <c r="X89" s="313">
        <f t="shared" si="19"/>
        <v>0</v>
      </c>
      <c r="Y89" s="313">
        <f t="shared" si="20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3"/>
        <v>0</v>
      </c>
      <c r="K90" s="172">
        <f>'BD Team'!K95</f>
        <v>0</v>
      </c>
      <c r="L90" s="171">
        <f t="shared" si="14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5"/>
        <v>0</v>
      </c>
      <c r="U90" s="313">
        <f t="shared" si="16"/>
        <v>0</v>
      </c>
      <c r="V90" s="313">
        <f t="shared" si="17"/>
        <v>0</v>
      </c>
      <c r="W90" s="313">
        <f t="shared" si="18"/>
        <v>0</v>
      </c>
      <c r="X90" s="313">
        <f t="shared" si="19"/>
        <v>0</v>
      </c>
      <c r="Y90" s="313">
        <f t="shared" si="20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3"/>
        <v>0</v>
      </c>
      <c r="K91" s="172">
        <f>'BD Team'!K96</f>
        <v>0</v>
      </c>
      <c r="L91" s="171">
        <f t="shared" si="14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5"/>
        <v>0</v>
      </c>
      <c r="U91" s="313">
        <f t="shared" si="16"/>
        <v>0</v>
      </c>
      <c r="V91" s="313">
        <f t="shared" si="17"/>
        <v>0</v>
      </c>
      <c r="W91" s="313">
        <f t="shared" si="18"/>
        <v>0</v>
      </c>
      <c r="X91" s="313">
        <f t="shared" si="19"/>
        <v>0</v>
      </c>
      <c r="Y91" s="313">
        <f t="shared" si="20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3"/>
        <v>0</v>
      </c>
      <c r="K92" s="172">
        <f>'BD Team'!K97</f>
        <v>0</v>
      </c>
      <c r="L92" s="171">
        <f t="shared" si="14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5"/>
        <v>0</v>
      </c>
      <c r="U92" s="313">
        <f t="shared" si="16"/>
        <v>0</v>
      </c>
      <c r="V92" s="313">
        <f t="shared" si="17"/>
        <v>0</v>
      </c>
      <c r="W92" s="313">
        <f t="shared" si="18"/>
        <v>0</v>
      </c>
      <c r="X92" s="313">
        <f t="shared" si="19"/>
        <v>0</v>
      </c>
      <c r="Y92" s="313">
        <f t="shared" si="20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3"/>
        <v>0</v>
      </c>
      <c r="K93" s="172">
        <f>'BD Team'!K98</f>
        <v>0</v>
      </c>
      <c r="L93" s="171">
        <f t="shared" si="14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5"/>
        <v>0</v>
      </c>
      <c r="U93" s="313">
        <f t="shared" si="16"/>
        <v>0</v>
      </c>
      <c r="V93" s="313">
        <f t="shared" si="17"/>
        <v>0</v>
      </c>
      <c r="W93" s="313">
        <f t="shared" si="18"/>
        <v>0</v>
      </c>
      <c r="X93" s="313">
        <f t="shared" si="19"/>
        <v>0</v>
      </c>
      <c r="Y93" s="313">
        <f t="shared" si="20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3"/>
        <v>0</v>
      </c>
      <c r="K94" s="172">
        <f>'BD Team'!K99</f>
        <v>0</v>
      </c>
      <c r="L94" s="171">
        <f t="shared" si="14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5"/>
        <v>0</v>
      </c>
      <c r="U94" s="313">
        <f t="shared" si="16"/>
        <v>0</v>
      </c>
      <c r="V94" s="313">
        <f t="shared" si="17"/>
        <v>0</v>
      </c>
      <c r="W94" s="313">
        <f t="shared" si="18"/>
        <v>0</v>
      </c>
      <c r="X94" s="313">
        <f t="shared" si="19"/>
        <v>0</v>
      </c>
      <c r="Y94" s="313">
        <f t="shared" si="20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3"/>
        <v>0</v>
      </c>
      <c r="K95" s="172">
        <f>'BD Team'!K100</f>
        <v>0</v>
      </c>
      <c r="L95" s="171">
        <f t="shared" si="14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5"/>
        <v>0</v>
      </c>
      <c r="U95" s="313">
        <f t="shared" si="16"/>
        <v>0</v>
      </c>
      <c r="V95" s="313">
        <f t="shared" si="17"/>
        <v>0</v>
      </c>
      <c r="W95" s="313">
        <f t="shared" si="18"/>
        <v>0</v>
      </c>
      <c r="X95" s="313">
        <f t="shared" si="19"/>
        <v>0</v>
      </c>
      <c r="Y95" s="313">
        <f t="shared" si="20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3"/>
        <v>0</v>
      </c>
      <c r="K96" s="172">
        <f>'BD Team'!K101</f>
        <v>0</v>
      </c>
      <c r="L96" s="171">
        <f t="shared" si="14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5"/>
        <v>0</v>
      </c>
      <c r="U96" s="313">
        <f t="shared" si="16"/>
        <v>0</v>
      </c>
      <c r="V96" s="313">
        <f t="shared" si="17"/>
        <v>0</v>
      </c>
      <c r="W96" s="313">
        <f t="shared" si="18"/>
        <v>0</v>
      </c>
      <c r="X96" s="313">
        <f t="shared" si="19"/>
        <v>0</v>
      </c>
      <c r="Y96" s="313">
        <f t="shared" si="20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3"/>
        <v>0</v>
      </c>
      <c r="K97" s="172">
        <f>'BD Team'!K102</f>
        <v>0</v>
      </c>
      <c r="L97" s="171">
        <f t="shared" si="14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5"/>
        <v>0</v>
      </c>
      <c r="U97" s="313">
        <f t="shared" si="16"/>
        <v>0</v>
      </c>
      <c r="V97" s="313">
        <f t="shared" si="17"/>
        <v>0</v>
      </c>
      <c r="W97" s="313">
        <f t="shared" si="18"/>
        <v>0</v>
      </c>
      <c r="X97" s="313">
        <f t="shared" si="19"/>
        <v>0</v>
      </c>
      <c r="Y97" s="313">
        <f t="shared" si="20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3"/>
        <v>0</v>
      </c>
      <c r="K98" s="172">
        <f>'BD Team'!K103</f>
        <v>0</v>
      </c>
      <c r="L98" s="171">
        <f t="shared" si="14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5"/>
        <v>0</v>
      </c>
      <c r="U98" s="313">
        <f t="shared" si="16"/>
        <v>0</v>
      </c>
      <c r="V98" s="313">
        <f t="shared" si="17"/>
        <v>0</v>
      </c>
      <c r="W98" s="313">
        <f t="shared" si="18"/>
        <v>0</v>
      </c>
      <c r="X98" s="313">
        <f t="shared" si="19"/>
        <v>0</v>
      </c>
      <c r="Y98" s="313">
        <f t="shared" si="20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3"/>
        <v>0</v>
      </c>
      <c r="K99" s="172">
        <f>'BD Team'!K104</f>
        <v>0</v>
      </c>
      <c r="L99" s="171">
        <f t="shared" si="14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5"/>
        <v>0</v>
      </c>
      <c r="U99" s="313">
        <f t="shared" si="16"/>
        <v>0</v>
      </c>
      <c r="V99" s="313">
        <f t="shared" si="17"/>
        <v>0</v>
      </c>
      <c r="W99" s="313">
        <f t="shared" si="18"/>
        <v>0</v>
      </c>
      <c r="X99" s="313">
        <f t="shared" si="19"/>
        <v>0</v>
      </c>
      <c r="Y99" s="313">
        <f t="shared" si="20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3"/>
        <v>0</v>
      </c>
      <c r="K100" s="172">
        <f>'BD Team'!K105</f>
        <v>0</v>
      </c>
      <c r="L100" s="171">
        <f t="shared" si="14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5"/>
        <v>0</v>
      </c>
      <c r="U100" s="313">
        <f t="shared" si="16"/>
        <v>0</v>
      </c>
      <c r="V100" s="313">
        <f t="shared" si="17"/>
        <v>0</v>
      </c>
      <c r="W100" s="313">
        <f t="shared" si="18"/>
        <v>0</v>
      </c>
      <c r="X100" s="313">
        <f t="shared" si="19"/>
        <v>0</v>
      </c>
      <c r="Y100" s="313">
        <f t="shared" si="20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3"/>
        <v>0</v>
      </c>
      <c r="K101" s="172">
        <f>'BD Team'!K106</f>
        <v>0</v>
      </c>
      <c r="L101" s="171">
        <f t="shared" si="14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5"/>
        <v>0</v>
      </c>
      <c r="U101" s="313">
        <f t="shared" si="16"/>
        <v>0</v>
      </c>
      <c r="V101" s="313">
        <f t="shared" si="17"/>
        <v>0</v>
      </c>
      <c r="W101" s="313">
        <f t="shared" si="18"/>
        <v>0</v>
      </c>
      <c r="X101" s="313">
        <f t="shared" si="19"/>
        <v>0</v>
      </c>
      <c r="Y101" s="313">
        <f t="shared" si="20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3"/>
        <v>0</v>
      </c>
      <c r="K102" s="172">
        <f>'BD Team'!K107</f>
        <v>0</v>
      </c>
      <c r="L102" s="171">
        <f t="shared" si="14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5"/>
        <v>0</v>
      </c>
      <c r="U102" s="313">
        <f t="shared" si="16"/>
        <v>0</v>
      </c>
      <c r="V102" s="313">
        <f t="shared" si="17"/>
        <v>0</v>
      </c>
      <c r="W102" s="313">
        <f t="shared" si="18"/>
        <v>0</v>
      </c>
      <c r="X102" s="313">
        <f t="shared" si="19"/>
        <v>0</v>
      </c>
      <c r="Y102" s="313">
        <f t="shared" si="20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3"/>
        <v>0</v>
      </c>
      <c r="K103" s="172">
        <f>'BD Team'!K108</f>
        <v>0</v>
      </c>
      <c r="L103" s="171">
        <f t="shared" si="14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5"/>
        <v>0</v>
      </c>
      <c r="U103" s="313">
        <f t="shared" si="16"/>
        <v>0</v>
      </c>
      <c r="V103" s="313">
        <f t="shared" si="17"/>
        <v>0</v>
      </c>
      <c r="W103" s="313">
        <f t="shared" si="18"/>
        <v>0</v>
      </c>
      <c r="X103" s="313">
        <f t="shared" si="19"/>
        <v>0</v>
      </c>
      <c r="Y103" s="313">
        <f t="shared" si="20"/>
        <v>0</v>
      </c>
    </row>
    <row r="104" spans="1:25">
      <c r="K104" s="168">
        <f>SUM(K4:K103)</f>
        <v>15808.07</v>
      </c>
      <c r="L104" s="168">
        <f>SUM(L4:L103)</f>
        <v>16522.7</v>
      </c>
      <c r="M104" s="168">
        <f>SUM(M4:M103)</f>
        <v>1371384.0999999999</v>
      </c>
      <c r="T104" s="314">
        <f t="shared" ref="T104:Y104" si="21">SUM(T4:T103)</f>
        <v>1096.78</v>
      </c>
      <c r="U104" s="314">
        <f t="shared" si="21"/>
        <v>1316.1359999999995</v>
      </c>
      <c r="V104" s="314">
        <f t="shared" si="21"/>
        <v>68.548749999999998</v>
      </c>
      <c r="W104" s="314">
        <f t="shared" si="21"/>
        <v>1096.78</v>
      </c>
      <c r="X104" s="314">
        <f t="shared" si="21"/>
        <v>2193.56</v>
      </c>
      <c r="Y104" s="314">
        <f t="shared" si="21"/>
        <v>658.06799999999976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W02</v>
      </c>
      <c r="E8" s="132" t="str">
        <f>Pricing!N4</f>
        <v>6MM</v>
      </c>
      <c r="F8" s="68">
        <f>Pricing!G4</f>
        <v>1325</v>
      </c>
      <c r="G8" s="68">
        <f>Pricing!H4</f>
        <v>1035</v>
      </c>
      <c r="H8" s="100">
        <f t="shared" ref="H8:H57" si="0">(F8*G8)/1000000</f>
        <v>1.371375</v>
      </c>
      <c r="I8" s="70">
        <f>Pricing!I4</f>
        <v>1</v>
      </c>
      <c r="J8" s="69">
        <f t="shared" ref="J8" si="1">H8*I8</f>
        <v>1.371375</v>
      </c>
      <c r="K8" s="71">
        <f t="shared" ref="K8" si="2">J8*10.764</f>
        <v>14.761480499999999</v>
      </c>
      <c r="L8" s="69"/>
      <c r="M8" s="72"/>
      <c r="N8" s="72"/>
      <c r="O8" s="72">
        <f t="shared" ref="O8:O35" si="3">N8*M8*L8/1000000</f>
        <v>0</v>
      </c>
      <c r="P8" s="73">
        <f>Pricing!M4</f>
        <v>14800.56</v>
      </c>
      <c r="Q8" s="74">
        <f t="shared" ref="Q8:Q56" si="4">P8*$Q$6</f>
        <v>1480.056</v>
      </c>
      <c r="R8" s="74">
        <f t="shared" ref="R8:R56" si="5">(P8+Q8)*$R$6</f>
        <v>1790.8677600000001</v>
      </c>
      <c r="S8" s="74">
        <f t="shared" ref="S8:S56" si="6">(P8+Q8+R8)*$S$6</f>
        <v>90.357418799999991</v>
      </c>
      <c r="T8" s="74">
        <f t="shared" ref="T8:T56" si="7">(P8+Q8+R8+S8)*$T$6</f>
        <v>181.61841178799997</v>
      </c>
      <c r="U8" s="72">
        <f t="shared" ref="U8:U56" si="8">SUM(P8:T8)</f>
        <v>18343.459590587998</v>
      </c>
      <c r="V8" s="74">
        <f t="shared" ref="V8:V56" si="9">U8*$V$6</f>
        <v>275.15189385881996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1374.1177500000001</v>
      </c>
      <c r="AE8" s="76">
        <f>((((F8+G8)*2)/305)*I8*$AE$7)</f>
        <v>386.88524590163934</v>
      </c>
      <c r="AF8" s="346">
        <f>(((((F8*4)+(G8*4))/1000)*$AF$6*$AG$6)/300)*I8*$AF$7</f>
        <v>396.48</v>
      </c>
      <c r="AG8" s="347"/>
      <c r="AH8" s="76">
        <f>(((F8+G8))*I8/1000)*8*$AH$7</f>
        <v>14.16</v>
      </c>
      <c r="AI8" s="76">
        <f t="shared" ref="AI8:AI57" si="15">(((F8+G8)*2*I8)/1000)*2*$AI$7</f>
        <v>47.199999999999996</v>
      </c>
      <c r="AJ8" s="76">
        <f>J8*Pricing!Q4</f>
        <v>738.07402499999989</v>
      </c>
      <c r="AK8" s="76">
        <f>J8*Pricing!R4</f>
        <v>0</v>
      </c>
      <c r="AL8" s="76">
        <f t="shared" ref="AL8:AL39" si="16">J8*$AL$6</f>
        <v>1476.1480499999998</v>
      </c>
      <c r="AM8" s="77">
        <f t="shared" ref="AM8:AM39" si="17">$AM$6*J8</f>
        <v>0</v>
      </c>
      <c r="AN8" s="76">
        <f t="shared" ref="AN8:AN39" si="18">$AN$6*J8</f>
        <v>1476.1480499999998</v>
      </c>
      <c r="AO8" s="72">
        <f t="shared" ref="AO8:AO39" si="19">SUM(U8:V8)+SUM(AC8:AI8)-AD8</f>
        <v>19463.336730348456</v>
      </c>
      <c r="AP8" s="74">
        <f t="shared" ref="AP8:AP39" si="20">AO8*$AP$6</f>
        <v>24329.17091293557</v>
      </c>
      <c r="AQ8" s="74">
        <f t="shared" ref="AQ8:AQ56" si="21">(AO8+AP8)*$AQ$6</f>
        <v>0</v>
      </c>
      <c r="AR8" s="74">
        <f t="shared" ref="AR8:AR39" si="22">SUM(AO8:AQ8)/J8</f>
        <v>31933.284217142671</v>
      </c>
      <c r="AS8" s="72">
        <f t="shared" ref="AS8:AS39" si="23">SUM(AJ8:AQ8)+AD8+AB8</f>
        <v>48856.995518284028</v>
      </c>
      <c r="AT8" s="72">
        <f t="shared" ref="AT8:AT39" si="24">AS8/J8</f>
        <v>35626.284217142667</v>
      </c>
      <c r="AU8" s="78">
        <f t="shared" ref="AU8:AU56" si="25">AT8/10.764</f>
        <v>3309.7625619790665</v>
      </c>
      <c r="AV8" s="79">
        <f t="shared" ref="AV8:AV39" si="26">K8/$K$109</f>
        <v>7.7132202359127561E-3</v>
      </c>
      <c r="AW8" s="80">
        <f t="shared" ref="AW8:AW39" si="27">(U8+V8)/(J8*10.764)</f>
        <v>1261.2970280621118</v>
      </c>
      <c r="AX8" s="81">
        <f t="shared" ref="AX8:AX39" si="28">SUM(W8:AN8,AP8)/(J8*10.764)</f>
        <v>2048.4655339169544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W03</v>
      </c>
      <c r="E9" s="132" t="str">
        <f>Pricing!N5</f>
        <v>24MM</v>
      </c>
      <c r="F9" s="68">
        <f>Pricing!G5</f>
        <v>2185</v>
      </c>
      <c r="G9" s="68">
        <f>Pricing!H5</f>
        <v>2325</v>
      </c>
      <c r="H9" s="100">
        <f t="shared" si="0"/>
        <v>5.0801249999999998</v>
      </c>
      <c r="I9" s="70">
        <f>Pricing!I5</f>
        <v>1</v>
      </c>
      <c r="J9" s="69">
        <f t="shared" ref="J9:J58" si="30">H9*I9</f>
        <v>5.0801249999999998</v>
      </c>
      <c r="K9" s="71">
        <f t="shared" ref="K9:K58" si="31">J9*10.764</f>
        <v>54.682465499999992</v>
      </c>
      <c r="L9" s="69"/>
      <c r="M9" s="72"/>
      <c r="N9" s="72"/>
      <c r="O9" s="72">
        <f t="shared" si="3"/>
        <v>0</v>
      </c>
      <c r="P9" s="73">
        <f>Pricing!M5</f>
        <v>39591.83</v>
      </c>
      <c r="Q9" s="74">
        <f t="shared" ref="Q9:Q14" si="32">P9*$Q$6</f>
        <v>3959.1830000000004</v>
      </c>
      <c r="R9" s="74">
        <f t="shared" ref="R9:R14" si="33">(P9+Q9)*$R$6</f>
        <v>4790.6114299999999</v>
      </c>
      <c r="S9" s="74">
        <f t="shared" ref="S9:S14" si="34">(P9+Q9+R9)*$S$6</f>
        <v>241.70812214999998</v>
      </c>
      <c r="T9" s="74">
        <f t="shared" ref="T9:T14" si="35">(P9+Q9+R9+S9)*$T$6</f>
        <v>485.83332552149994</v>
      </c>
      <c r="U9" s="72">
        <f t="shared" ref="U9:U14" si="36">SUM(P9:T9)</f>
        <v>49069.16587767149</v>
      </c>
      <c r="V9" s="74">
        <f t="shared" ref="V9:V14" si="37">U9*$V$6</f>
        <v>736.03748816507232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14925.40725</v>
      </c>
      <c r="AE9" s="76">
        <f t="shared" ref="AE9:AE57" si="43">((((F9+G9)*2)/305)*I9*$AE$7)</f>
        <v>739.34426229508199</v>
      </c>
      <c r="AF9" s="346">
        <f t="shared" ref="AF9:AF57" si="44">(((((F9*4)+(G9*4))/1000)*$AF$6*$AG$6)/300)*I9*$AF$7</f>
        <v>757.67999999999984</v>
      </c>
      <c r="AG9" s="347"/>
      <c r="AH9" s="76">
        <f t="shared" ref="AH9:AH72" si="45">(((F9+G9))*I9/1000)*8*$AH$7</f>
        <v>27.06</v>
      </c>
      <c r="AI9" s="76">
        <f t="shared" si="15"/>
        <v>90.199999999999989</v>
      </c>
      <c r="AJ9" s="76">
        <f>J9*Pricing!Q5</f>
        <v>2734.1232749999995</v>
      </c>
      <c r="AK9" s="76">
        <f>J9*Pricing!R5</f>
        <v>0</v>
      </c>
      <c r="AL9" s="76">
        <f t="shared" si="16"/>
        <v>5468.2465499999989</v>
      </c>
      <c r="AM9" s="77">
        <f t="shared" si="17"/>
        <v>0</v>
      </c>
      <c r="AN9" s="76">
        <f t="shared" si="18"/>
        <v>5468.2465499999989</v>
      </c>
      <c r="AO9" s="72">
        <f t="shared" si="19"/>
        <v>51419.487628131639</v>
      </c>
      <c r="AP9" s="74">
        <f t="shared" si="20"/>
        <v>64274.359535164549</v>
      </c>
      <c r="AQ9" s="74">
        <f t="shared" ref="AQ9:AQ14" si="46">(AO9+AP9)*$AQ$6</f>
        <v>0</v>
      </c>
      <c r="AR9" s="74">
        <f t="shared" si="22"/>
        <v>22773.818983449462</v>
      </c>
      <c r="AS9" s="72">
        <f t="shared" si="23"/>
        <v>144289.87078829619</v>
      </c>
      <c r="AT9" s="72">
        <f t="shared" si="24"/>
        <v>28402.818983449462</v>
      </c>
      <c r="AU9" s="78">
        <f t="shared" ref="AU9:AU14" si="47">AT9/10.764</f>
        <v>2638.6862675073826</v>
      </c>
      <c r="AV9" s="79">
        <f t="shared" si="26"/>
        <v>2.8572872446242851E-2</v>
      </c>
      <c r="AW9" s="80">
        <f t="shared" si="27"/>
        <v>910.80756711375</v>
      </c>
      <c r="AX9" s="81">
        <f t="shared" si="28"/>
        <v>1727.8787003936325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W4S</v>
      </c>
      <c r="E10" s="132" t="str">
        <f>Pricing!N6</f>
        <v>6MM</v>
      </c>
      <c r="F10" s="68">
        <f>Pricing!G6</f>
        <v>1385</v>
      </c>
      <c r="G10" s="68">
        <f>Pricing!H6</f>
        <v>1575</v>
      </c>
      <c r="H10" s="100">
        <f t="shared" si="0"/>
        <v>2.1813750000000001</v>
      </c>
      <c r="I10" s="70">
        <f>Pricing!I6</f>
        <v>1</v>
      </c>
      <c r="J10" s="69">
        <f t="shared" si="30"/>
        <v>2.1813750000000001</v>
      </c>
      <c r="K10" s="71">
        <f t="shared" si="31"/>
        <v>23.480320499999998</v>
      </c>
      <c r="L10" s="69"/>
      <c r="M10" s="72"/>
      <c r="N10" s="72"/>
      <c r="O10" s="72">
        <f t="shared" si="3"/>
        <v>0</v>
      </c>
      <c r="P10" s="73">
        <f>Pricing!M6</f>
        <v>18687.45</v>
      </c>
      <c r="Q10" s="74">
        <f t="shared" si="32"/>
        <v>1868.7450000000001</v>
      </c>
      <c r="R10" s="74">
        <f t="shared" si="33"/>
        <v>2261.18145</v>
      </c>
      <c r="S10" s="74">
        <f t="shared" si="34"/>
        <v>114.08688225</v>
      </c>
      <c r="T10" s="74">
        <f t="shared" si="35"/>
        <v>229.31463332250001</v>
      </c>
      <c r="U10" s="72">
        <f t="shared" si="36"/>
        <v>23160.777965572503</v>
      </c>
      <c r="V10" s="74">
        <f t="shared" si="37"/>
        <v>347.4116694835875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2185.7377500000002</v>
      </c>
      <c r="AE10" s="76">
        <f t="shared" si="43"/>
        <v>485.24590163934425</v>
      </c>
      <c r="AF10" s="346">
        <f t="shared" si="44"/>
        <v>497.28</v>
      </c>
      <c r="AG10" s="347"/>
      <c r="AH10" s="76">
        <f t="shared" si="45"/>
        <v>17.759999999999998</v>
      </c>
      <c r="AI10" s="76">
        <f t="shared" si="15"/>
        <v>59.2</v>
      </c>
      <c r="AJ10" s="76">
        <f>J10*Pricing!Q6</f>
        <v>1174.0160249999999</v>
      </c>
      <c r="AK10" s="76">
        <f>J10*Pricing!R6</f>
        <v>0</v>
      </c>
      <c r="AL10" s="76">
        <f t="shared" si="16"/>
        <v>2348.0320499999998</v>
      </c>
      <c r="AM10" s="77">
        <f t="shared" si="17"/>
        <v>0</v>
      </c>
      <c r="AN10" s="76">
        <f t="shared" si="18"/>
        <v>2348.0320499999998</v>
      </c>
      <c r="AO10" s="72">
        <f t="shared" si="19"/>
        <v>24567.675536695431</v>
      </c>
      <c r="AP10" s="74">
        <f t="shared" si="20"/>
        <v>30709.594420869289</v>
      </c>
      <c r="AQ10" s="74">
        <f t="shared" si="46"/>
        <v>0</v>
      </c>
      <c r="AR10" s="74">
        <f t="shared" si="22"/>
        <v>25340.562699015401</v>
      </c>
      <c r="AS10" s="72">
        <f t="shared" si="23"/>
        <v>63333.087832564721</v>
      </c>
      <c r="AT10" s="72">
        <f t="shared" si="24"/>
        <v>29033.562699015401</v>
      </c>
      <c r="AU10" s="78">
        <f t="shared" si="47"/>
        <v>2697.2837884629694</v>
      </c>
      <c r="AV10" s="79">
        <f t="shared" si="26"/>
        <v>1.226901889863399E-2</v>
      </c>
      <c r="AW10" s="80">
        <f t="shared" si="27"/>
        <v>1001.1869145932693</v>
      </c>
      <c r="AX10" s="81">
        <f t="shared" si="28"/>
        <v>1696.0968738697004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TOP HUNG WINDOW WITH TOP FIXED</v>
      </c>
      <c r="D11" s="131" t="str">
        <f>Pricing!B7</f>
        <v>V1</v>
      </c>
      <c r="E11" s="132" t="str">
        <f>Pricing!N7</f>
        <v>6MM (F)</v>
      </c>
      <c r="F11" s="68">
        <f>Pricing!G7</f>
        <v>875</v>
      </c>
      <c r="G11" s="68">
        <f>Pricing!H7</f>
        <v>2100</v>
      </c>
      <c r="H11" s="100">
        <f t="shared" si="0"/>
        <v>1.8374999999999999</v>
      </c>
      <c r="I11" s="70">
        <f>Pricing!I7</f>
        <v>1</v>
      </c>
      <c r="J11" s="69">
        <f t="shared" si="30"/>
        <v>1.8374999999999999</v>
      </c>
      <c r="K11" s="71">
        <f t="shared" si="31"/>
        <v>19.778849999999998</v>
      </c>
      <c r="L11" s="69"/>
      <c r="M11" s="72"/>
      <c r="N11" s="72"/>
      <c r="O11" s="72">
        <f t="shared" si="3"/>
        <v>0</v>
      </c>
      <c r="P11" s="73">
        <f>Pricing!M7</f>
        <v>16054.69</v>
      </c>
      <c r="Q11" s="74">
        <f t="shared" si="32"/>
        <v>1605.4690000000001</v>
      </c>
      <c r="R11" s="74">
        <f t="shared" si="33"/>
        <v>1942.6174899999999</v>
      </c>
      <c r="S11" s="74">
        <f t="shared" si="34"/>
        <v>98.013882449999997</v>
      </c>
      <c r="T11" s="74">
        <f t="shared" si="35"/>
        <v>197.00790372450001</v>
      </c>
      <c r="U11" s="72">
        <f t="shared" si="36"/>
        <v>19897.798276174501</v>
      </c>
      <c r="V11" s="74">
        <f t="shared" si="37"/>
        <v>298.46697414261752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3680.5124999999998</v>
      </c>
      <c r="AE11" s="76">
        <f t="shared" si="43"/>
        <v>487.70491803278685</v>
      </c>
      <c r="AF11" s="346">
        <f t="shared" si="44"/>
        <v>499.80000000000007</v>
      </c>
      <c r="AG11" s="347"/>
      <c r="AH11" s="76">
        <f t="shared" si="45"/>
        <v>17.850000000000001</v>
      </c>
      <c r="AI11" s="76">
        <f t="shared" si="15"/>
        <v>59.5</v>
      </c>
      <c r="AJ11" s="76">
        <f>J11*Pricing!Q7</f>
        <v>0</v>
      </c>
      <c r="AK11" s="76">
        <f>J11*Pricing!R7</f>
        <v>0</v>
      </c>
      <c r="AL11" s="76">
        <f t="shared" si="16"/>
        <v>1977.8849999999998</v>
      </c>
      <c r="AM11" s="77">
        <f t="shared" si="17"/>
        <v>0</v>
      </c>
      <c r="AN11" s="76">
        <f t="shared" si="18"/>
        <v>1977.8849999999998</v>
      </c>
      <c r="AO11" s="72">
        <f t="shared" si="19"/>
        <v>21261.120168349906</v>
      </c>
      <c r="AP11" s="74">
        <f t="shared" si="20"/>
        <v>26576.400210437383</v>
      </c>
      <c r="AQ11" s="74">
        <f t="shared" si="46"/>
        <v>0</v>
      </c>
      <c r="AR11" s="74">
        <f t="shared" si="22"/>
        <v>26034.02469593866</v>
      </c>
      <c r="AS11" s="72">
        <f t="shared" si="23"/>
        <v>55473.80287878729</v>
      </c>
      <c r="AT11" s="72">
        <f t="shared" si="24"/>
        <v>30189.824695938663</v>
      </c>
      <c r="AU11" s="78">
        <f t="shared" si="47"/>
        <v>2804.7031490095378</v>
      </c>
      <c r="AV11" s="79">
        <f t="shared" si="26"/>
        <v>1.0334913633025022E-2</v>
      </c>
      <c r="AW11" s="80">
        <f t="shared" si="27"/>
        <v>1021.104121337546</v>
      </c>
      <c r="AX11" s="81">
        <f t="shared" si="28"/>
        <v>1783.5990276719917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DOOR</v>
      </c>
      <c r="D12" s="131" t="str">
        <f>Pricing!B8</f>
        <v>W4</v>
      </c>
      <c r="E12" s="132" t="str">
        <f>Pricing!N8</f>
        <v>6MM</v>
      </c>
      <c r="F12" s="68">
        <f>Pricing!G8</f>
        <v>1280</v>
      </c>
      <c r="G12" s="68">
        <f>Pricing!H8</f>
        <v>2025</v>
      </c>
      <c r="H12" s="100">
        <f t="shared" si="0"/>
        <v>2.5920000000000001</v>
      </c>
      <c r="I12" s="70">
        <f>Pricing!I8</f>
        <v>1</v>
      </c>
      <c r="J12" s="69">
        <f t="shared" si="30"/>
        <v>2.5920000000000001</v>
      </c>
      <c r="K12" s="71">
        <f t="shared" si="31"/>
        <v>27.900288</v>
      </c>
      <c r="L12" s="69"/>
      <c r="M12" s="72"/>
      <c r="N12" s="72"/>
      <c r="O12" s="72">
        <f t="shared" si="3"/>
        <v>0</v>
      </c>
      <c r="P12" s="73">
        <f>Pricing!M8</f>
        <v>34013.4</v>
      </c>
      <c r="Q12" s="74">
        <f t="shared" si="32"/>
        <v>3401.34</v>
      </c>
      <c r="R12" s="74">
        <f t="shared" si="33"/>
        <v>4115.6214000000009</v>
      </c>
      <c r="S12" s="74">
        <f t="shared" si="34"/>
        <v>207.65180700000005</v>
      </c>
      <c r="T12" s="74">
        <f t="shared" si="35"/>
        <v>417.38013207000012</v>
      </c>
      <c r="U12" s="72">
        <f t="shared" si="36"/>
        <v>42155.393339070011</v>
      </c>
      <c r="V12" s="74">
        <f t="shared" si="37"/>
        <v>632.33090008605018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2597.1840000000002</v>
      </c>
      <c r="AE12" s="76">
        <f t="shared" si="43"/>
        <v>541.80327868852464</v>
      </c>
      <c r="AF12" s="346">
        <f t="shared" si="44"/>
        <v>555.24000000000012</v>
      </c>
      <c r="AG12" s="347"/>
      <c r="AH12" s="76">
        <f t="shared" si="45"/>
        <v>19.830000000000002</v>
      </c>
      <c r="AI12" s="76">
        <f t="shared" si="15"/>
        <v>66.100000000000009</v>
      </c>
      <c r="AJ12" s="76">
        <f>J12*Pricing!Q8</f>
        <v>1395.0143999999998</v>
      </c>
      <c r="AK12" s="76">
        <f>J12*Pricing!R8</f>
        <v>0</v>
      </c>
      <c r="AL12" s="76">
        <f t="shared" si="16"/>
        <v>2790.0287999999996</v>
      </c>
      <c r="AM12" s="77">
        <f t="shared" si="17"/>
        <v>0</v>
      </c>
      <c r="AN12" s="76">
        <f t="shared" si="18"/>
        <v>2790.0287999999996</v>
      </c>
      <c r="AO12" s="72">
        <f t="shared" si="19"/>
        <v>43970.697517844586</v>
      </c>
      <c r="AP12" s="74">
        <f t="shared" si="20"/>
        <v>54963.371897305733</v>
      </c>
      <c r="AQ12" s="74">
        <f t="shared" si="46"/>
        <v>0</v>
      </c>
      <c r="AR12" s="74">
        <f t="shared" si="22"/>
        <v>38169.008262017873</v>
      </c>
      <c r="AS12" s="72">
        <f t="shared" si="23"/>
        <v>108506.32541515031</v>
      </c>
      <c r="AT12" s="72">
        <f t="shared" si="24"/>
        <v>41862.008262017865</v>
      </c>
      <c r="AU12" s="78">
        <f t="shared" si="47"/>
        <v>3889.0754609827081</v>
      </c>
      <c r="AV12" s="79">
        <f t="shared" si="26"/>
        <v>1.457855572070795E-2</v>
      </c>
      <c r="AW12" s="80">
        <f t="shared" si="27"/>
        <v>1533.5943571319431</v>
      </c>
      <c r="AX12" s="81">
        <f t="shared" si="28"/>
        <v>2355.4811038507655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</v>
      </c>
      <c r="D13" s="131" t="str">
        <f>Pricing!B9</f>
        <v>SDW1</v>
      </c>
      <c r="E13" s="132" t="str">
        <f>Pricing!N9</f>
        <v>10MM</v>
      </c>
      <c r="F13" s="68">
        <f>Pricing!G9</f>
        <v>3640</v>
      </c>
      <c r="G13" s="68">
        <f>Pricing!H9</f>
        <v>2625</v>
      </c>
      <c r="H13" s="100">
        <f t="shared" si="0"/>
        <v>9.5549999999999997</v>
      </c>
      <c r="I13" s="70">
        <f>Pricing!I9</f>
        <v>1</v>
      </c>
      <c r="J13" s="69">
        <f t="shared" si="30"/>
        <v>9.5549999999999997</v>
      </c>
      <c r="K13" s="71">
        <f t="shared" si="31"/>
        <v>102.85001999999999</v>
      </c>
      <c r="L13" s="69"/>
      <c r="M13" s="72"/>
      <c r="N13" s="72"/>
      <c r="O13" s="72">
        <f t="shared" si="3"/>
        <v>0</v>
      </c>
      <c r="P13" s="73">
        <f>Pricing!M9</f>
        <v>76765.039999999994</v>
      </c>
      <c r="Q13" s="74">
        <f t="shared" si="32"/>
        <v>7676.5039999999999</v>
      </c>
      <c r="R13" s="74">
        <f t="shared" si="33"/>
        <v>9288.5698400000001</v>
      </c>
      <c r="S13" s="74">
        <f t="shared" si="34"/>
        <v>468.65056919999995</v>
      </c>
      <c r="T13" s="74">
        <f t="shared" si="35"/>
        <v>941.98764409199998</v>
      </c>
      <c r="U13" s="72">
        <f t="shared" si="36"/>
        <v>95140.752053292003</v>
      </c>
      <c r="V13" s="74">
        <f t="shared" si="37"/>
        <v>1427.11128079938</v>
      </c>
      <c r="W13" s="73">
        <f>Pricing!S9*I13</f>
        <v>5000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5000</v>
      </c>
      <c r="AC13" s="75">
        <v>0</v>
      </c>
      <c r="AD13" s="101">
        <f>(J13*Pricing!O9)+(O13*Pricing!P9)</f>
        <v>15182.895</v>
      </c>
      <c r="AE13" s="76">
        <f t="shared" si="43"/>
        <v>1027.0491803278687</v>
      </c>
      <c r="AF13" s="346">
        <f t="shared" si="44"/>
        <v>1052.52</v>
      </c>
      <c r="AG13" s="347"/>
      <c r="AH13" s="76">
        <f t="shared" si="45"/>
        <v>37.589999999999996</v>
      </c>
      <c r="AI13" s="76">
        <f t="shared" si="15"/>
        <v>125.3</v>
      </c>
      <c r="AJ13" s="76">
        <f>J13*Pricing!Q9</f>
        <v>0</v>
      </c>
      <c r="AK13" s="76">
        <f>J13*Pricing!R9</f>
        <v>92565.017999999982</v>
      </c>
      <c r="AL13" s="76">
        <f t="shared" si="16"/>
        <v>10285.001999999999</v>
      </c>
      <c r="AM13" s="77">
        <f t="shared" si="17"/>
        <v>0</v>
      </c>
      <c r="AN13" s="76">
        <f t="shared" si="18"/>
        <v>10285.001999999999</v>
      </c>
      <c r="AO13" s="72">
        <f t="shared" si="19"/>
        <v>98810.32251441924</v>
      </c>
      <c r="AP13" s="74">
        <f t="shared" si="20"/>
        <v>123512.90314302404</v>
      </c>
      <c r="AQ13" s="74">
        <f t="shared" si="46"/>
        <v>0</v>
      </c>
      <c r="AR13" s="74">
        <f t="shared" si="22"/>
        <v>23267.736855828705</v>
      </c>
      <c r="AS13" s="72">
        <f t="shared" si="23"/>
        <v>355641.1426574433</v>
      </c>
      <c r="AT13" s="72">
        <f t="shared" si="24"/>
        <v>37220.423093400663</v>
      </c>
      <c r="AU13" s="78">
        <f t="shared" si="47"/>
        <v>3457.8616772018454</v>
      </c>
      <c r="AV13" s="79">
        <f t="shared" si="26"/>
        <v>5.3741550891730112E-2</v>
      </c>
      <c r="AW13" s="80">
        <f t="shared" si="27"/>
        <v>938.91924701707785</v>
      </c>
      <c r="AX13" s="81">
        <f t="shared" si="28"/>
        <v>2567.5569078484568</v>
      </c>
      <c r="AY13" s="82"/>
      <c r="AZ13" s="83">
        <f t="shared" si="48"/>
        <v>-48.614477663689286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TOP HUNG WINDOW WITH BOTTOM FIXED</v>
      </c>
      <c r="D14" s="131" t="str">
        <f>Pricing!B10</f>
        <v>V3</v>
      </c>
      <c r="E14" s="132" t="str">
        <f>Pricing!N10</f>
        <v>6MM (F)</v>
      </c>
      <c r="F14" s="68">
        <f>Pricing!G10</f>
        <v>625</v>
      </c>
      <c r="G14" s="68">
        <f>Pricing!H10</f>
        <v>2325</v>
      </c>
      <c r="H14" s="100">
        <f t="shared" si="0"/>
        <v>1.453125</v>
      </c>
      <c r="I14" s="70">
        <f>Pricing!I10</f>
        <v>2</v>
      </c>
      <c r="J14" s="69">
        <f t="shared" si="30"/>
        <v>2.90625</v>
      </c>
      <c r="K14" s="71">
        <f t="shared" si="31"/>
        <v>31.282874999999997</v>
      </c>
      <c r="L14" s="69"/>
      <c r="M14" s="72"/>
      <c r="N14" s="72"/>
      <c r="O14" s="72">
        <f t="shared" si="3"/>
        <v>0</v>
      </c>
      <c r="P14" s="73">
        <f>Pricing!M10</f>
        <v>28611.760000000002</v>
      </c>
      <c r="Q14" s="74">
        <f t="shared" si="32"/>
        <v>2861.1760000000004</v>
      </c>
      <c r="R14" s="74">
        <f t="shared" si="33"/>
        <v>3462.0229600000002</v>
      </c>
      <c r="S14" s="74">
        <f t="shared" si="34"/>
        <v>174.67479480000003</v>
      </c>
      <c r="T14" s="74">
        <f t="shared" si="35"/>
        <v>351.09633754800001</v>
      </c>
      <c r="U14" s="72">
        <f t="shared" si="36"/>
        <v>35460.730092348</v>
      </c>
      <c r="V14" s="74">
        <f t="shared" si="37"/>
        <v>531.91095138521996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5821.21875</v>
      </c>
      <c r="AE14" s="76">
        <f t="shared" si="43"/>
        <v>967.21311475409846</v>
      </c>
      <c r="AF14" s="346">
        <f t="shared" si="44"/>
        <v>991.20000000000016</v>
      </c>
      <c r="AG14" s="347"/>
      <c r="AH14" s="76">
        <f t="shared" si="45"/>
        <v>35.400000000000006</v>
      </c>
      <c r="AI14" s="76">
        <f t="shared" si="15"/>
        <v>118</v>
      </c>
      <c r="AJ14" s="76">
        <f>J14*Pricing!Q10</f>
        <v>0</v>
      </c>
      <c r="AK14" s="76">
        <f>J14*Pricing!R10</f>
        <v>0</v>
      </c>
      <c r="AL14" s="76">
        <f t="shared" si="16"/>
        <v>3128.2874999999995</v>
      </c>
      <c r="AM14" s="77">
        <f t="shared" si="17"/>
        <v>0</v>
      </c>
      <c r="AN14" s="76">
        <f t="shared" si="18"/>
        <v>3128.2874999999995</v>
      </c>
      <c r="AO14" s="72">
        <f t="shared" si="19"/>
        <v>38104.454158487322</v>
      </c>
      <c r="AP14" s="74">
        <f t="shared" si="20"/>
        <v>47630.567698109153</v>
      </c>
      <c r="AQ14" s="74">
        <f t="shared" si="46"/>
        <v>0</v>
      </c>
      <c r="AR14" s="74">
        <f t="shared" si="22"/>
        <v>29500.222574312767</v>
      </c>
      <c r="AS14" s="72">
        <f t="shared" si="23"/>
        <v>97812.815606596472</v>
      </c>
      <c r="AT14" s="72">
        <f t="shared" si="24"/>
        <v>33656.022574312767</v>
      </c>
      <c r="AU14" s="78">
        <f t="shared" si="47"/>
        <v>3126.7207891409112</v>
      </c>
      <c r="AV14" s="79">
        <f t="shared" si="26"/>
        <v>1.6346036868559982E-2</v>
      </c>
      <c r="AW14" s="80">
        <f t="shared" si="27"/>
        <v>1150.5541304542255</v>
      </c>
      <c r="AX14" s="81">
        <f t="shared" si="28"/>
        <v>1976.1666586866857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5 LEAF SLIDE &amp; FOLD DOOR</v>
      </c>
      <c r="D15" s="131" t="str">
        <f>Pricing!B11</f>
        <v>SFW1</v>
      </c>
      <c r="E15" s="132" t="str">
        <f>Pricing!N11</f>
        <v>10MM</v>
      </c>
      <c r="F15" s="68">
        <f>Pricing!G11</f>
        <v>4880</v>
      </c>
      <c r="G15" s="68">
        <f>Pricing!H11</f>
        <v>2931</v>
      </c>
      <c r="H15" s="100">
        <f t="shared" si="0"/>
        <v>14.303280000000001</v>
      </c>
      <c r="I15" s="70">
        <f>Pricing!I11</f>
        <v>1</v>
      </c>
      <c r="J15" s="69">
        <f t="shared" si="30"/>
        <v>14.303280000000001</v>
      </c>
      <c r="K15" s="71">
        <f t="shared" si="31"/>
        <v>153.96050592</v>
      </c>
      <c r="L15" s="69"/>
      <c r="M15" s="72"/>
      <c r="N15" s="72"/>
      <c r="O15" s="72">
        <f t="shared" si="3"/>
        <v>0</v>
      </c>
      <c r="P15" s="73">
        <f>Pricing!M11</f>
        <v>95030.85</v>
      </c>
      <c r="Q15" s="74">
        <f t="shared" si="4"/>
        <v>9503.0850000000009</v>
      </c>
      <c r="R15" s="74">
        <f t="shared" si="5"/>
        <v>11498.732850000002</v>
      </c>
      <c r="S15" s="74">
        <f t="shared" si="6"/>
        <v>580.16333925000004</v>
      </c>
      <c r="T15" s="74">
        <f t="shared" si="7"/>
        <v>1166.1283118925001</v>
      </c>
      <c r="U15" s="72">
        <f t="shared" si="8"/>
        <v>117778.95950114251</v>
      </c>
      <c r="V15" s="74">
        <f t="shared" si="9"/>
        <v>1766.6843925171377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22727.911920000002</v>
      </c>
      <c r="AE15" s="76">
        <f t="shared" si="43"/>
        <v>1280.4918032786884</v>
      </c>
      <c r="AF15" s="346">
        <f t="shared" si="44"/>
        <v>1312.248</v>
      </c>
      <c r="AG15" s="347"/>
      <c r="AH15" s="76">
        <f t="shared" si="45"/>
        <v>46.866</v>
      </c>
      <c r="AI15" s="76">
        <f t="shared" ref="AI15:AI20" si="49">(((F15+G15)*2*I15)/1000)*2*$AI$7</f>
        <v>156.22</v>
      </c>
      <c r="AJ15" s="76">
        <f>J15*Pricing!Q11</f>
        <v>0</v>
      </c>
      <c r="AK15" s="76">
        <f>J15*Pricing!R11</f>
        <v>0</v>
      </c>
      <c r="AL15" s="76">
        <f t="shared" si="16"/>
        <v>15396.050592</v>
      </c>
      <c r="AM15" s="77">
        <f t="shared" si="17"/>
        <v>0</v>
      </c>
      <c r="AN15" s="76">
        <f t="shared" si="18"/>
        <v>15396.050592</v>
      </c>
      <c r="AO15" s="72">
        <f t="shared" si="19"/>
        <v>122341.46969693834</v>
      </c>
      <c r="AP15" s="74">
        <f t="shared" si="20"/>
        <v>152926.83712117292</v>
      </c>
      <c r="AQ15" s="74">
        <f t="shared" si="21"/>
        <v>0</v>
      </c>
      <c r="AR15" s="74">
        <f t="shared" si="22"/>
        <v>19245.117680567761</v>
      </c>
      <c r="AS15" s="72">
        <f t="shared" si="23"/>
        <v>328788.31992211123</v>
      </c>
      <c r="AT15" s="72">
        <f t="shared" si="24"/>
        <v>22986.91768056776</v>
      </c>
      <c r="AU15" s="78">
        <f t="shared" si="25"/>
        <v>2135.5367596216797</v>
      </c>
      <c r="AV15" s="79">
        <f t="shared" si="26"/>
        <v>8.0447980119169607E-2</v>
      </c>
      <c r="AW15" s="80">
        <f t="shared" si="27"/>
        <v>776.4695444413336</v>
      </c>
      <c r="AX15" s="81">
        <f t="shared" si="28"/>
        <v>1359.0672151803462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</v>
      </c>
      <c r="D16" s="131" t="str">
        <f>Pricing!B12</f>
        <v>W6</v>
      </c>
      <c r="E16" s="132" t="str">
        <f>Pricing!N12</f>
        <v>6MM</v>
      </c>
      <c r="F16" s="68">
        <f>Pricing!G12</f>
        <v>900</v>
      </c>
      <c r="G16" s="68">
        <f>Pricing!H12</f>
        <v>1875</v>
      </c>
      <c r="H16" s="100">
        <f t="shared" si="0"/>
        <v>1.6875</v>
      </c>
      <c r="I16" s="70">
        <f>Pricing!I12</f>
        <v>1</v>
      </c>
      <c r="J16" s="69">
        <f t="shared" si="30"/>
        <v>1.6875</v>
      </c>
      <c r="K16" s="71">
        <f t="shared" si="31"/>
        <v>18.164249999999999</v>
      </c>
      <c r="L16" s="69"/>
      <c r="M16" s="72"/>
      <c r="N16" s="72"/>
      <c r="O16" s="72">
        <f t="shared" si="3"/>
        <v>0</v>
      </c>
      <c r="P16" s="73">
        <f>Pricing!M12</f>
        <v>16491.27</v>
      </c>
      <c r="Q16" s="74">
        <f t="shared" si="4"/>
        <v>1649.1270000000002</v>
      </c>
      <c r="R16" s="74">
        <f t="shared" si="5"/>
        <v>1995.4436700000001</v>
      </c>
      <c r="S16" s="74">
        <f t="shared" si="6"/>
        <v>100.67920335000001</v>
      </c>
      <c r="T16" s="74">
        <f t="shared" si="7"/>
        <v>202.36519873349999</v>
      </c>
      <c r="U16" s="72">
        <f t="shared" si="8"/>
        <v>20438.8850720835</v>
      </c>
      <c r="V16" s="74">
        <f t="shared" si="9"/>
        <v>306.58327608125251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1690.875</v>
      </c>
      <c r="AE16" s="76">
        <f t="shared" si="43"/>
        <v>454.91803278688525</v>
      </c>
      <c r="AF16" s="346">
        <f t="shared" si="44"/>
        <v>466.19999999999993</v>
      </c>
      <c r="AG16" s="347"/>
      <c r="AH16" s="76">
        <f t="shared" si="45"/>
        <v>16.649999999999999</v>
      </c>
      <c r="AI16" s="76">
        <f t="shared" si="49"/>
        <v>55.5</v>
      </c>
      <c r="AJ16" s="76">
        <f>J16*Pricing!Q12</f>
        <v>0</v>
      </c>
      <c r="AK16" s="76">
        <f>J16*Pricing!R12</f>
        <v>16347.824999999997</v>
      </c>
      <c r="AL16" s="76">
        <f t="shared" si="16"/>
        <v>1816.4249999999997</v>
      </c>
      <c r="AM16" s="77">
        <f t="shared" si="17"/>
        <v>0</v>
      </c>
      <c r="AN16" s="76">
        <f t="shared" si="18"/>
        <v>1816.4249999999997</v>
      </c>
      <c r="AO16" s="72">
        <f t="shared" si="19"/>
        <v>21738.736380951636</v>
      </c>
      <c r="AP16" s="74">
        <f t="shared" si="20"/>
        <v>27173.420476189545</v>
      </c>
      <c r="AQ16" s="74">
        <f t="shared" si="21"/>
        <v>0</v>
      </c>
      <c r="AR16" s="74">
        <f t="shared" si="22"/>
        <v>28984.981841268847</v>
      </c>
      <c r="AS16" s="72">
        <f t="shared" si="23"/>
        <v>70583.706857141166</v>
      </c>
      <c r="AT16" s="72">
        <f t="shared" si="24"/>
        <v>41827.381841268842</v>
      </c>
      <c r="AU16" s="78">
        <f t="shared" si="25"/>
        <v>3885.8585880034229</v>
      </c>
      <c r="AV16" s="79">
        <f t="shared" si="26"/>
        <v>9.4912472140025721E-3</v>
      </c>
      <c r="AW16" s="80">
        <f t="shared" si="27"/>
        <v>1142.1043174457934</v>
      </c>
      <c r="AX16" s="81">
        <f t="shared" si="28"/>
        <v>2743.7542705576302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W5</v>
      </c>
      <c r="E17" s="132" t="str">
        <f>Pricing!N13</f>
        <v>6MM</v>
      </c>
      <c r="F17" s="68">
        <f>Pricing!G13</f>
        <v>750</v>
      </c>
      <c r="G17" s="68">
        <f>Pricing!H13</f>
        <v>1875</v>
      </c>
      <c r="H17" s="100">
        <f t="shared" si="0"/>
        <v>1.40625</v>
      </c>
      <c r="I17" s="70">
        <f>Pricing!I13</f>
        <v>1</v>
      </c>
      <c r="J17" s="69">
        <f t="shared" si="30"/>
        <v>1.40625</v>
      </c>
      <c r="K17" s="71">
        <f t="shared" si="31"/>
        <v>15.136875</v>
      </c>
      <c r="L17" s="69"/>
      <c r="M17" s="72"/>
      <c r="N17" s="72"/>
      <c r="O17" s="72">
        <f t="shared" si="3"/>
        <v>0</v>
      </c>
      <c r="P17" s="73">
        <f>Pricing!M13</f>
        <v>3513.39</v>
      </c>
      <c r="Q17" s="74">
        <f t="shared" si="4"/>
        <v>351.339</v>
      </c>
      <c r="R17" s="74">
        <f t="shared" si="5"/>
        <v>425.12018999999998</v>
      </c>
      <c r="S17" s="74">
        <f t="shared" si="6"/>
        <v>21.449245950000002</v>
      </c>
      <c r="T17" s="74">
        <f t="shared" si="7"/>
        <v>43.112984359499997</v>
      </c>
      <c r="U17" s="72">
        <f t="shared" si="8"/>
        <v>4354.4114203094996</v>
      </c>
      <c r="V17" s="74">
        <f t="shared" si="9"/>
        <v>65.316171304642495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1409.0625</v>
      </c>
      <c r="AE17" s="76">
        <f t="shared" si="43"/>
        <v>430.32786885245901</v>
      </c>
      <c r="AF17" s="346">
        <f t="shared" si="44"/>
        <v>441</v>
      </c>
      <c r="AG17" s="347"/>
      <c r="AH17" s="76">
        <f t="shared" si="45"/>
        <v>15.75</v>
      </c>
      <c r="AI17" s="76">
        <f t="shared" si="49"/>
        <v>52.5</v>
      </c>
      <c r="AJ17" s="76">
        <f>J17*Pricing!Q13</f>
        <v>0</v>
      </c>
      <c r="AK17" s="76">
        <f>J17*Pricing!R13</f>
        <v>0</v>
      </c>
      <c r="AL17" s="76">
        <f t="shared" si="16"/>
        <v>1513.6874999999998</v>
      </c>
      <c r="AM17" s="77">
        <f t="shared" si="17"/>
        <v>0</v>
      </c>
      <c r="AN17" s="76">
        <f t="shared" si="18"/>
        <v>1513.6874999999998</v>
      </c>
      <c r="AO17" s="72">
        <f t="shared" si="19"/>
        <v>5359.3054604666013</v>
      </c>
      <c r="AP17" s="74">
        <f t="shared" si="20"/>
        <v>6699.1318255832521</v>
      </c>
      <c r="AQ17" s="74">
        <f t="shared" si="21"/>
        <v>0</v>
      </c>
      <c r="AR17" s="74">
        <f t="shared" si="22"/>
        <v>8574.8887367465632</v>
      </c>
      <c r="AS17" s="72">
        <f t="shared" si="23"/>
        <v>16494.874786049855</v>
      </c>
      <c r="AT17" s="72">
        <f t="shared" si="24"/>
        <v>11729.688736746564</v>
      </c>
      <c r="AU17" s="78">
        <f t="shared" si="25"/>
        <v>1089.7146726817693</v>
      </c>
      <c r="AV17" s="79">
        <f t="shared" si="26"/>
        <v>7.9093726783354759E-3</v>
      </c>
      <c r="AW17" s="80">
        <f t="shared" si="27"/>
        <v>291.98415073217836</v>
      </c>
      <c r="AX17" s="81">
        <f t="shared" si="28"/>
        <v>797.73052194959075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 WITH BOTTOM FIXED</v>
      </c>
      <c r="D18" s="131" t="str">
        <f>Pricing!B14</f>
        <v>V2</v>
      </c>
      <c r="E18" s="132" t="str">
        <f>Pricing!N14</f>
        <v>6MM (F)</v>
      </c>
      <c r="F18" s="68">
        <f>Pricing!G14</f>
        <v>640</v>
      </c>
      <c r="G18" s="68">
        <f>Pricing!H14</f>
        <v>2325</v>
      </c>
      <c r="H18" s="100">
        <f t="shared" si="0"/>
        <v>1.488</v>
      </c>
      <c r="I18" s="70">
        <f>Pricing!I14</f>
        <v>2</v>
      </c>
      <c r="J18" s="69">
        <f t="shared" si="30"/>
        <v>2.976</v>
      </c>
      <c r="K18" s="71">
        <f t="shared" si="31"/>
        <v>32.033663999999995</v>
      </c>
      <c r="L18" s="69"/>
      <c r="M18" s="72"/>
      <c r="N18" s="72"/>
      <c r="O18" s="72">
        <f t="shared" si="3"/>
        <v>0</v>
      </c>
      <c r="P18" s="73">
        <f>Pricing!M14</f>
        <v>27731.96</v>
      </c>
      <c r="Q18" s="74">
        <f t="shared" si="4"/>
        <v>2773.1959999999999</v>
      </c>
      <c r="R18" s="74">
        <f t="shared" si="5"/>
        <v>3355.5671600000001</v>
      </c>
      <c r="S18" s="74">
        <f t="shared" si="6"/>
        <v>169.30361580000002</v>
      </c>
      <c r="T18" s="74">
        <f t="shared" si="7"/>
        <v>340.30026775800007</v>
      </c>
      <c r="U18" s="72">
        <f t="shared" si="8"/>
        <v>34370.327043558005</v>
      </c>
      <c r="V18" s="74">
        <f t="shared" si="9"/>
        <v>515.55490565337004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5960.9279999999999</v>
      </c>
      <c r="AE18" s="76">
        <f t="shared" si="43"/>
        <v>972.13114754098365</v>
      </c>
      <c r="AF18" s="346">
        <f t="shared" si="44"/>
        <v>996.24</v>
      </c>
      <c r="AG18" s="347"/>
      <c r="AH18" s="76">
        <f t="shared" si="45"/>
        <v>35.58</v>
      </c>
      <c r="AI18" s="76">
        <f t="shared" si="49"/>
        <v>118.6</v>
      </c>
      <c r="AJ18" s="76">
        <f>J18*Pricing!Q14</f>
        <v>0</v>
      </c>
      <c r="AK18" s="76">
        <f>J18*Pricing!R14</f>
        <v>0</v>
      </c>
      <c r="AL18" s="76">
        <f t="shared" si="16"/>
        <v>3203.3663999999994</v>
      </c>
      <c r="AM18" s="77">
        <f t="shared" si="17"/>
        <v>0</v>
      </c>
      <c r="AN18" s="76">
        <f t="shared" si="18"/>
        <v>3203.3663999999994</v>
      </c>
      <c r="AO18" s="72">
        <f t="shared" si="19"/>
        <v>37008.433096752357</v>
      </c>
      <c r="AP18" s="74">
        <f t="shared" si="20"/>
        <v>46260.541370940446</v>
      </c>
      <c r="AQ18" s="74">
        <f t="shared" si="21"/>
        <v>0</v>
      </c>
      <c r="AR18" s="74">
        <f t="shared" si="22"/>
        <v>27980.1661517785</v>
      </c>
      <c r="AS18" s="72">
        <f t="shared" si="23"/>
        <v>95636.635267692807</v>
      </c>
      <c r="AT18" s="72">
        <f t="shared" si="24"/>
        <v>32135.966151778499</v>
      </c>
      <c r="AU18" s="78">
        <f t="shared" si="25"/>
        <v>2985.5041018003067</v>
      </c>
      <c r="AV18" s="79">
        <f t="shared" si="26"/>
        <v>1.6738341753405422E-2</v>
      </c>
      <c r="AW18" s="80">
        <f t="shared" si="27"/>
        <v>1089.0381427866441</v>
      </c>
      <c r="AX18" s="81">
        <f t="shared" si="28"/>
        <v>1896.4659590136625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W7</v>
      </c>
      <c r="E19" s="132" t="str">
        <f>Pricing!N15</f>
        <v>6MM</v>
      </c>
      <c r="F19" s="68">
        <f>Pricing!G15</f>
        <v>2115</v>
      </c>
      <c r="G19" s="68">
        <f>Pricing!H15</f>
        <v>2400</v>
      </c>
      <c r="H19" s="100">
        <f t="shared" si="0"/>
        <v>5.0759999999999996</v>
      </c>
      <c r="I19" s="70">
        <f>Pricing!I15</f>
        <v>1</v>
      </c>
      <c r="J19" s="69">
        <f t="shared" si="30"/>
        <v>5.0759999999999996</v>
      </c>
      <c r="K19" s="71">
        <f t="shared" si="31"/>
        <v>54.638063999999993</v>
      </c>
      <c r="L19" s="69"/>
      <c r="M19" s="72"/>
      <c r="N19" s="72"/>
      <c r="O19" s="72">
        <f t="shared" si="3"/>
        <v>0</v>
      </c>
      <c r="P19" s="73">
        <f>Pricing!M15</f>
        <v>42504.3</v>
      </c>
      <c r="Q19" s="74">
        <f t="shared" si="4"/>
        <v>4250.43</v>
      </c>
      <c r="R19" s="74">
        <f t="shared" si="5"/>
        <v>5143.0203000000001</v>
      </c>
      <c r="S19" s="74">
        <f t="shared" si="6"/>
        <v>259.48875149999998</v>
      </c>
      <c r="T19" s="74">
        <f t="shared" si="7"/>
        <v>521.57239051500005</v>
      </c>
      <c r="U19" s="72">
        <f t="shared" si="8"/>
        <v>52678.811442015001</v>
      </c>
      <c r="V19" s="74">
        <f t="shared" si="9"/>
        <v>790.18217163022496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5086.152</v>
      </c>
      <c r="AE19" s="76">
        <f t="shared" si="43"/>
        <v>740.1639344262295</v>
      </c>
      <c r="AF19" s="346">
        <f t="shared" si="44"/>
        <v>758.51999999999975</v>
      </c>
      <c r="AG19" s="347"/>
      <c r="AH19" s="76">
        <f t="shared" si="45"/>
        <v>27.089999999999996</v>
      </c>
      <c r="AI19" s="76">
        <f t="shared" si="49"/>
        <v>90.3</v>
      </c>
      <c r="AJ19" s="76">
        <f>J19*Pricing!Q15</f>
        <v>2731.9031999999993</v>
      </c>
      <c r="AK19" s="76">
        <f>J19*Pricing!R15</f>
        <v>0</v>
      </c>
      <c r="AL19" s="76">
        <f t="shared" si="16"/>
        <v>5463.8063999999986</v>
      </c>
      <c r="AM19" s="77">
        <f t="shared" si="17"/>
        <v>0</v>
      </c>
      <c r="AN19" s="76">
        <f t="shared" si="18"/>
        <v>5463.8063999999986</v>
      </c>
      <c r="AO19" s="72">
        <f t="shared" si="19"/>
        <v>55085.067548071449</v>
      </c>
      <c r="AP19" s="74">
        <f t="shared" si="20"/>
        <v>68856.334435089317</v>
      </c>
      <c r="AQ19" s="74">
        <f t="shared" si="21"/>
        <v>0</v>
      </c>
      <c r="AR19" s="74">
        <f t="shared" si="22"/>
        <v>24417.139870599047</v>
      </c>
      <c r="AS19" s="72">
        <f t="shared" si="23"/>
        <v>142687.06998316076</v>
      </c>
      <c r="AT19" s="72">
        <f t="shared" si="24"/>
        <v>28110.13987059905</v>
      </c>
      <c r="AU19" s="78">
        <f t="shared" si="25"/>
        <v>2611.4957144740852</v>
      </c>
      <c r="AV19" s="79">
        <f t="shared" si="26"/>
        <v>2.8549671619719733E-2</v>
      </c>
      <c r="AW19" s="80">
        <f t="shared" si="27"/>
        <v>978.60337096946239</v>
      </c>
      <c r="AX19" s="81">
        <f t="shared" si="28"/>
        <v>1632.8923435046224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W8</v>
      </c>
      <c r="E20" s="132" t="str">
        <f>Pricing!N16</f>
        <v>6MM</v>
      </c>
      <c r="F20" s="68">
        <f>Pricing!G16</f>
        <v>2575</v>
      </c>
      <c r="G20" s="68">
        <f>Pricing!H16</f>
        <v>1500</v>
      </c>
      <c r="H20" s="100">
        <f t="shared" si="0"/>
        <v>3.8624999999999998</v>
      </c>
      <c r="I20" s="70">
        <f>Pricing!I16</f>
        <v>1</v>
      </c>
      <c r="J20" s="69">
        <f t="shared" si="30"/>
        <v>3.8624999999999998</v>
      </c>
      <c r="K20" s="71">
        <f t="shared" si="31"/>
        <v>41.575949999999999</v>
      </c>
      <c r="L20" s="69"/>
      <c r="M20" s="72"/>
      <c r="N20" s="72"/>
      <c r="O20" s="72">
        <f t="shared" si="3"/>
        <v>0</v>
      </c>
      <c r="P20" s="73">
        <f>Pricing!M16</f>
        <v>36327.440000000002</v>
      </c>
      <c r="Q20" s="74">
        <f t="shared" si="4"/>
        <v>3632.7440000000006</v>
      </c>
      <c r="R20" s="74">
        <f t="shared" si="5"/>
        <v>4395.6202400000002</v>
      </c>
      <c r="S20" s="74">
        <f t="shared" si="6"/>
        <v>221.77902119999999</v>
      </c>
      <c r="T20" s="74">
        <f t="shared" si="7"/>
        <v>445.77583261199993</v>
      </c>
      <c r="U20" s="72">
        <f t="shared" si="8"/>
        <v>45023.359093811996</v>
      </c>
      <c r="V20" s="74">
        <f t="shared" si="9"/>
        <v>675.35038640717994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3870.2249999999999</v>
      </c>
      <c r="AE20" s="76">
        <f t="shared" si="43"/>
        <v>668.03278688524597</v>
      </c>
      <c r="AF20" s="346">
        <f t="shared" si="44"/>
        <v>684.6</v>
      </c>
      <c r="AG20" s="347"/>
      <c r="AH20" s="76">
        <f t="shared" si="45"/>
        <v>24.450000000000003</v>
      </c>
      <c r="AI20" s="76">
        <f t="shared" si="49"/>
        <v>81.5</v>
      </c>
      <c r="AJ20" s="76">
        <f>J20*Pricing!Q16</f>
        <v>2078.7974999999997</v>
      </c>
      <c r="AK20" s="76">
        <f>J20*Pricing!R16</f>
        <v>0</v>
      </c>
      <c r="AL20" s="76">
        <f t="shared" si="16"/>
        <v>4157.5949999999993</v>
      </c>
      <c r="AM20" s="77">
        <f t="shared" si="17"/>
        <v>0</v>
      </c>
      <c r="AN20" s="76">
        <f t="shared" si="18"/>
        <v>4157.5949999999993</v>
      </c>
      <c r="AO20" s="72">
        <f t="shared" si="19"/>
        <v>47157.292267104429</v>
      </c>
      <c r="AP20" s="74">
        <f t="shared" si="20"/>
        <v>58946.615333880538</v>
      </c>
      <c r="AQ20" s="74">
        <f t="shared" si="21"/>
        <v>0</v>
      </c>
      <c r="AR20" s="74">
        <f t="shared" si="22"/>
        <v>27470.267340060833</v>
      </c>
      <c r="AS20" s="72">
        <f t="shared" si="23"/>
        <v>120368.12010098496</v>
      </c>
      <c r="AT20" s="72">
        <f t="shared" si="24"/>
        <v>31163.267340060833</v>
      </c>
      <c r="AU20" s="78">
        <f t="shared" si="25"/>
        <v>2895.1381772631767</v>
      </c>
      <c r="AV20" s="79">
        <f t="shared" si="26"/>
        <v>2.1724410289828109E-2</v>
      </c>
      <c r="AW20" s="80">
        <f t="shared" si="27"/>
        <v>1099.1621233001092</v>
      </c>
      <c r="AX20" s="81">
        <f t="shared" si="28"/>
        <v>1795.9760539630674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LEAF SLIDE &amp; FOLD DOOR</v>
      </c>
      <c r="D21" s="131" t="str">
        <f>Pricing!B17</f>
        <v>SFD1</v>
      </c>
      <c r="E21" s="132" t="str">
        <f>Pricing!N17</f>
        <v>10MM</v>
      </c>
      <c r="F21" s="68">
        <f>Pricing!G17</f>
        <v>2700</v>
      </c>
      <c r="G21" s="68">
        <f>Pricing!H17</f>
        <v>2400</v>
      </c>
      <c r="H21" s="100">
        <f t="shared" si="0"/>
        <v>6.48</v>
      </c>
      <c r="I21" s="70">
        <f>Pricing!I17</f>
        <v>1</v>
      </c>
      <c r="J21" s="69">
        <f t="shared" si="30"/>
        <v>6.48</v>
      </c>
      <c r="K21" s="71">
        <f t="shared" si="31"/>
        <v>69.750720000000001</v>
      </c>
      <c r="L21" s="69"/>
      <c r="M21" s="72"/>
      <c r="N21" s="72"/>
      <c r="O21" s="72">
        <f t="shared" si="3"/>
        <v>0</v>
      </c>
      <c r="P21" s="73">
        <f>Pricing!M17</f>
        <v>54067.859999999993</v>
      </c>
      <c r="Q21" s="74">
        <f t="shared" ref="Q21:Q26" si="50">P21*$Q$6</f>
        <v>5406.7860000000001</v>
      </c>
      <c r="R21" s="74">
        <f t="shared" ref="R21:R26" si="51">(P21+Q21)*$R$6</f>
        <v>6542.2110599999996</v>
      </c>
      <c r="S21" s="74">
        <f t="shared" ref="S21:S26" si="52">(P21+Q21+R21)*$S$6</f>
        <v>330.08428529999998</v>
      </c>
      <c r="T21" s="74">
        <f t="shared" ref="T21:T26" si="53">(P21+Q21+R21+S21)*$T$6</f>
        <v>663.46941345300002</v>
      </c>
      <c r="U21" s="72">
        <f t="shared" ref="U21:U26" si="54">SUM(P21:T21)</f>
        <v>67010.410758753002</v>
      </c>
      <c r="V21" s="74">
        <f t="shared" ref="V21:V26" si="55">U21*$V$6</f>
        <v>1005.156161381295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10296.720000000001</v>
      </c>
      <c r="AE21" s="76">
        <f t="shared" si="43"/>
        <v>836.06557377049194</v>
      </c>
      <c r="AF21" s="346">
        <f t="shared" si="44"/>
        <v>856.8</v>
      </c>
      <c r="AG21" s="347"/>
      <c r="AH21" s="76">
        <f t="shared" si="45"/>
        <v>30.599999999999998</v>
      </c>
      <c r="AI21" s="76">
        <f t="shared" si="15"/>
        <v>102</v>
      </c>
      <c r="AJ21" s="76">
        <f>J21*Pricing!Q17</f>
        <v>0</v>
      </c>
      <c r="AK21" s="76">
        <f>J21*Pricing!R17</f>
        <v>0</v>
      </c>
      <c r="AL21" s="76">
        <f t="shared" si="16"/>
        <v>6975.0719999999992</v>
      </c>
      <c r="AM21" s="77">
        <f t="shared" si="17"/>
        <v>0</v>
      </c>
      <c r="AN21" s="76">
        <f t="shared" si="18"/>
        <v>6975.0719999999992</v>
      </c>
      <c r="AO21" s="72">
        <f t="shared" si="19"/>
        <v>69841.032493904786</v>
      </c>
      <c r="AP21" s="74">
        <f t="shared" si="20"/>
        <v>87301.29061738099</v>
      </c>
      <c r="AQ21" s="74">
        <f t="shared" ref="AQ21:AQ26" si="61">(AO21+AP21)*$AQ$6</f>
        <v>0</v>
      </c>
      <c r="AR21" s="74">
        <f t="shared" si="22"/>
        <v>24250.358504828051</v>
      </c>
      <c r="AS21" s="72">
        <f t="shared" si="23"/>
        <v>181389.18711128578</v>
      </c>
      <c r="AT21" s="72">
        <f t="shared" si="24"/>
        <v>27992.15850482805</v>
      </c>
      <c r="AU21" s="78">
        <f t="shared" ref="AU21:AU26" si="62">AT21/10.764</f>
        <v>2600.5349781519931</v>
      </c>
      <c r="AV21" s="79">
        <f t="shared" si="26"/>
        <v>3.6446389301769876E-2</v>
      </c>
      <c r="AW21" s="80">
        <f t="shared" si="27"/>
        <v>975.12351012483168</v>
      </c>
      <c r="AX21" s="81">
        <f t="shared" si="28"/>
        <v>1625.4114680271612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KW</v>
      </c>
      <c r="E22" s="132" t="str">
        <f>Pricing!N18</f>
        <v>6MM</v>
      </c>
      <c r="F22" s="68">
        <f>Pricing!G18</f>
        <v>1000</v>
      </c>
      <c r="G22" s="68">
        <f>Pricing!H18</f>
        <v>1050</v>
      </c>
      <c r="H22" s="100">
        <f t="shared" si="0"/>
        <v>1.05</v>
      </c>
      <c r="I22" s="70">
        <f>Pricing!I18</f>
        <v>2</v>
      </c>
      <c r="J22" s="69">
        <f t="shared" si="30"/>
        <v>2.1</v>
      </c>
      <c r="K22" s="71">
        <f t="shared" si="31"/>
        <v>22.604399999999998</v>
      </c>
      <c r="L22" s="69"/>
      <c r="M22" s="72"/>
      <c r="N22" s="72"/>
      <c r="O22" s="72">
        <f t="shared" si="3"/>
        <v>0</v>
      </c>
      <c r="P22" s="73">
        <f>Pricing!M18</f>
        <v>25388.04</v>
      </c>
      <c r="Q22" s="74">
        <f t="shared" si="50"/>
        <v>2538.8040000000001</v>
      </c>
      <c r="R22" s="74">
        <f t="shared" si="51"/>
        <v>3071.9528399999999</v>
      </c>
      <c r="S22" s="74">
        <f t="shared" si="52"/>
        <v>154.99398420000003</v>
      </c>
      <c r="T22" s="74">
        <f t="shared" si="53"/>
        <v>311.53790824200001</v>
      </c>
      <c r="U22" s="72">
        <f t="shared" si="54"/>
        <v>31465.328732442002</v>
      </c>
      <c r="V22" s="74">
        <f t="shared" si="55"/>
        <v>471.97993098663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2104.2000000000003</v>
      </c>
      <c r="AE22" s="76">
        <f t="shared" si="43"/>
        <v>672.13114754098365</v>
      </c>
      <c r="AF22" s="346">
        <f t="shared" si="44"/>
        <v>688.8</v>
      </c>
      <c r="AG22" s="347"/>
      <c r="AH22" s="76">
        <f t="shared" si="45"/>
        <v>24.599999999999998</v>
      </c>
      <c r="AI22" s="76">
        <f t="shared" si="15"/>
        <v>82</v>
      </c>
      <c r="AJ22" s="76">
        <f>J22*Pricing!Q18</f>
        <v>1130.2199999999998</v>
      </c>
      <c r="AK22" s="76">
        <f>J22*Pricing!R18</f>
        <v>0</v>
      </c>
      <c r="AL22" s="76">
        <f t="shared" si="16"/>
        <v>2260.4399999999996</v>
      </c>
      <c r="AM22" s="77">
        <f t="shared" si="17"/>
        <v>0</v>
      </c>
      <c r="AN22" s="76">
        <f t="shared" si="18"/>
        <v>2260.4399999999996</v>
      </c>
      <c r="AO22" s="72">
        <f t="shared" si="19"/>
        <v>33404.839810969614</v>
      </c>
      <c r="AP22" s="74">
        <f t="shared" si="20"/>
        <v>41756.049763712013</v>
      </c>
      <c r="AQ22" s="74">
        <f t="shared" si="61"/>
        <v>0</v>
      </c>
      <c r="AR22" s="74">
        <f t="shared" si="22"/>
        <v>35790.899797467442</v>
      </c>
      <c r="AS22" s="72">
        <f t="shared" si="23"/>
        <v>82916.189574681615</v>
      </c>
      <c r="AT22" s="72">
        <f t="shared" si="24"/>
        <v>39483.899797467435</v>
      </c>
      <c r="AU22" s="78">
        <f t="shared" si="62"/>
        <v>3668.1437938932959</v>
      </c>
      <c r="AV22" s="79">
        <f t="shared" si="26"/>
        <v>1.1811329866314311E-2</v>
      </c>
      <c r="AW22" s="80">
        <f t="shared" si="27"/>
        <v>1412.8801765775086</v>
      </c>
      <c r="AX22" s="81">
        <f t="shared" si="28"/>
        <v>2255.2636173157885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 WITH CENTER FIXED</v>
      </c>
      <c r="D23" s="131" t="str">
        <f>Pricing!B19</f>
        <v>W9</v>
      </c>
      <c r="E23" s="132" t="str">
        <f>Pricing!N19</f>
        <v>10MM</v>
      </c>
      <c r="F23" s="68">
        <f>Pricing!G19</f>
        <v>4880</v>
      </c>
      <c r="G23" s="68">
        <f>Pricing!H19</f>
        <v>1425</v>
      </c>
      <c r="H23" s="100">
        <f t="shared" si="0"/>
        <v>6.9539999999999997</v>
      </c>
      <c r="I23" s="70">
        <f>Pricing!I19</f>
        <v>1</v>
      </c>
      <c r="J23" s="69">
        <f t="shared" si="30"/>
        <v>6.9539999999999997</v>
      </c>
      <c r="K23" s="71">
        <f t="shared" si="31"/>
        <v>74.852855999999989</v>
      </c>
      <c r="L23" s="69"/>
      <c r="M23" s="72"/>
      <c r="N23" s="72"/>
      <c r="O23" s="72">
        <f t="shared" si="3"/>
        <v>0</v>
      </c>
      <c r="P23" s="73">
        <f>Pricing!M19</f>
        <v>59974.140000000007</v>
      </c>
      <c r="Q23" s="74">
        <f t="shared" si="50"/>
        <v>5997.4140000000007</v>
      </c>
      <c r="R23" s="74">
        <f t="shared" si="51"/>
        <v>7256.8709400000007</v>
      </c>
      <c r="S23" s="74">
        <f t="shared" si="52"/>
        <v>366.14212470000001</v>
      </c>
      <c r="T23" s="74">
        <f t="shared" si="53"/>
        <v>735.94567064699993</v>
      </c>
      <c r="U23" s="72">
        <f t="shared" si="54"/>
        <v>74330.512735346987</v>
      </c>
      <c r="V23" s="74">
        <f t="shared" si="55"/>
        <v>1114.9576910302048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11049.905999999999</v>
      </c>
      <c r="AE23" s="76">
        <f t="shared" si="43"/>
        <v>1033.6065573770493</v>
      </c>
      <c r="AF23" s="346">
        <f t="shared" si="44"/>
        <v>1059.24</v>
      </c>
      <c r="AG23" s="347"/>
      <c r="AH23" s="76">
        <f t="shared" si="45"/>
        <v>37.83</v>
      </c>
      <c r="AI23" s="76">
        <f t="shared" si="15"/>
        <v>126.1</v>
      </c>
      <c r="AJ23" s="76">
        <f>J23*Pricing!Q19</f>
        <v>3742.6427999999992</v>
      </c>
      <c r="AK23" s="76">
        <f>J23*Pricing!R19</f>
        <v>0</v>
      </c>
      <c r="AL23" s="76">
        <f t="shared" si="16"/>
        <v>7485.2855999999983</v>
      </c>
      <c r="AM23" s="77">
        <f t="shared" si="17"/>
        <v>0</v>
      </c>
      <c r="AN23" s="76">
        <f t="shared" si="18"/>
        <v>7485.2855999999983</v>
      </c>
      <c r="AO23" s="72">
        <f t="shared" si="19"/>
        <v>77702.24698375423</v>
      </c>
      <c r="AP23" s="74">
        <f t="shared" si="20"/>
        <v>97127.808729692784</v>
      </c>
      <c r="AQ23" s="74">
        <f t="shared" si="61"/>
        <v>0</v>
      </c>
      <c r="AR23" s="74">
        <f t="shared" si="22"/>
        <v>25140.934097418325</v>
      </c>
      <c r="AS23" s="72">
        <f t="shared" si="23"/>
        <v>204593.17571344701</v>
      </c>
      <c r="AT23" s="72">
        <f t="shared" si="24"/>
        <v>29420.934097418321</v>
      </c>
      <c r="AU23" s="78">
        <f t="shared" si="62"/>
        <v>2733.2714694740175</v>
      </c>
      <c r="AV23" s="79">
        <f t="shared" si="26"/>
        <v>3.9112375185880816E-2</v>
      </c>
      <c r="AW23" s="80">
        <f t="shared" si="27"/>
        <v>1007.9170583200887</v>
      </c>
      <c r="AX23" s="81">
        <f t="shared" si="28"/>
        <v>1725.3544111539293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 2 NO'S</v>
      </c>
      <c r="D24" s="131" t="str">
        <f>Pricing!B20</f>
        <v>W10</v>
      </c>
      <c r="E24" s="132" t="str">
        <f>Pricing!N20</f>
        <v>6MM</v>
      </c>
      <c r="F24" s="68">
        <f>Pricing!G20</f>
        <v>640</v>
      </c>
      <c r="G24" s="68">
        <f>Pricing!H20</f>
        <v>2575</v>
      </c>
      <c r="H24" s="100">
        <f t="shared" si="0"/>
        <v>1.6479999999999999</v>
      </c>
      <c r="I24" s="70">
        <f>Pricing!I20</f>
        <v>1</v>
      </c>
      <c r="J24" s="69">
        <f t="shared" si="30"/>
        <v>1.6479999999999999</v>
      </c>
      <c r="K24" s="71">
        <f t="shared" si="31"/>
        <v>17.739071999999997</v>
      </c>
      <c r="L24" s="69"/>
      <c r="M24" s="72"/>
      <c r="N24" s="72"/>
      <c r="O24" s="72">
        <f t="shared" si="3"/>
        <v>0</v>
      </c>
      <c r="P24" s="73">
        <f>Pricing!M20</f>
        <v>5383.38</v>
      </c>
      <c r="Q24" s="74">
        <f t="shared" si="50"/>
        <v>538.33800000000008</v>
      </c>
      <c r="R24" s="74">
        <f t="shared" si="51"/>
        <v>651.38897999999995</v>
      </c>
      <c r="S24" s="74">
        <f t="shared" si="52"/>
        <v>32.8655349</v>
      </c>
      <c r="T24" s="74">
        <f t="shared" si="53"/>
        <v>66.059725149000002</v>
      </c>
      <c r="U24" s="72">
        <f t="shared" si="54"/>
        <v>6672.0322400489995</v>
      </c>
      <c r="V24" s="74">
        <f t="shared" si="55"/>
        <v>100.08048360073499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1651.2959999999998</v>
      </c>
      <c r="AE24" s="76">
        <f t="shared" si="43"/>
        <v>527.04918032786884</v>
      </c>
      <c r="AF24" s="346">
        <f t="shared" si="44"/>
        <v>540.12</v>
      </c>
      <c r="AG24" s="347"/>
      <c r="AH24" s="76">
        <f t="shared" si="45"/>
        <v>19.29</v>
      </c>
      <c r="AI24" s="76">
        <f t="shared" si="15"/>
        <v>64.3</v>
      </c>
      <c r="AJ24" s="76">
        <f>J24*Pricing!Q20</f>
        <v>0</v>
      </c>
      <c r="AK24" s="76">
        <f>J24*Pricing!R20</f>
        <v>0</v>
      </c>
      <c r="AL24" s="76">
        <f t="shared" si="16"/>
        <v>1773.9071999999996</v>
      </c>
      <c r="AM24" s="77">
        <f t="shared" si="17"/>
        <v>0</v>
      </c>
      <c r="AN24" s="76">
        <f t="shared" si="18"/>
        <v>1773.9071999999996</v>
      </c>
      <c r="AO24" s="72">
        <f t="shared" si="19"/>
        <v>7922.8719039776024</v>
      </c>
      <c r="AP24" s="74">
        <f t="shared" si="20"/>
        <v>9903.5898799720035</v>
      </c>
      <c r="AQ24" s="74">
        <f t="shared" si="61"/>
        <v>0</v>
      </c>
      <c r="AR24" s="74">
        <f t="shared" si="22"/>
        <v>10817.02778152282</v>
      </c>
      <c r="AS24" s="72">
        <f t="shared" si="23"/>
        <v>23025.572183949604</v>
      </c>
      <c r="AT24" s="72">
        <f t="shared" si="24"/>
        <v>13971.827781522819</v>
      </c>
      <c r="AU24" s="78">
        <f t="shared" si="62"/>
        <v>1298.014472456598</v>
      </c>
      <c r="AV24" s="79">
        <f t="shared" si="26"/>
        <v>9.2690817236599915E-3</v>
      </c>
      <c r="AW24" s="80">
        <f t="shared" si="27"/>
        <v>381.76251405088919</v>
      </c>
      <c r="AX24" s="81">
        <f t="shared" si="28"/>
        <v>916.25195840570882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WINDOW</v>
      </c>
      <c r="D25" s="131" t="str">
        <f>Pricing!B21</f>
        <v>W11</v>
      </c>
      <c r="E25" s="132" t="str">
        <f>Pricing!N21</f>
        <v>6MM</v>
      </c>
      <c r="F25" s="68">
        <f>Pricing!G21</f>
        <v>2695</v>
      </c>
      <c r="G25" s="68">
        <f>Pricing!H21</f>
        <v>1425</v>
      </c>
      <c r="H25" s="100">
        <f t="shared" si="0"/>
        <v>3.8403749999999999</v>
      </c>
      <c r="I25" s="70">
        <f>Pricing!I21</f>
        <v>1</v>
      </c>
      <c r="J25" s="69">
        <f t="shared" si="30"/>
        <v>3.8403749999999999</v>
      </c>
      <c r="K25" s="71">
        <f t="shared" si="31"/>
        <v>41.337796499999996</v>
      </c>
      <c r="L25" s="69"/>
      <c r="M25" s="72"/>
      <c r="N25" s="72"/>
      <c r="O25" s="72">
        <f t="shared" si="3"/>
        <v>0</v>
      </c>
      <c r="P25" s="73">
        <f>Pricing!M21</f>
        <v>36419.57</v>
      </c>
      <c r="Q25" s="74">
        <f t="shared" si="50"/>
        <v>3641.9570000000003</v>
      </c>
      <c r="R25" s="74">
        <f t="shared" si="51"/>
        <v>4406.7679699999999</v>
      </c>
      <c r="S25" s="74">
        <f t="shared" si="52"/>
        <v>222.34147485000003</v>
      </c>
      <c r="T25" s="74">
        <f t="shared" si="53"/>
        <v>446.90636444850003</v>
      </c>
      <c r="U25" s="72">
        <f t="shared" si="54"/>
        <v>45137.542809298502</v>
      </c>
      <c r="V25" s="74">
        <f t="shared" si="55"/>
        <v>677.06314213947746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3848.05575</v>
      </c>
      <c r="AE25" s="76">
        <f t="shared" si="43"/>
        <v>675.40983606557381</v>
      </c>
      <c r="AF25" s="346">
        <f t="shared" si="44"/>
        <v>692.16</v>
      </c>
      <c r="AG25" s="347"/>
      <c r="AH25" s="76">
        <f t="shared" si="45"/>
        <v>24.72</v>
      </c>
      <c r="AI25" s="76">
        <f t="shared" si="15"/>
        <v>82.4</v>
      </c>
      <c r="AJ25" s="76">
        <f>J25*Pricing!Q21</f>
        <v>2066.8898249999997</v>
      </c>
      <c r="AK25" s="76">
        <f>J25*Pricing!R21</f>
        <v>0</v>
      </c>
      <c r="AL25" s="76">
        <f t="shared" si="16"/>
        <v>4133.7796499999995</v>
      </c>
      <c r="AM25" s="77">
        <f t="shared" si="17"/>
        <v>0</v>
      </c>
      <c r="AN25" s="76">
        <f t="shared" si="18"/>
        <v>4133.7796499999995</v>
      </c>
      <c r="AO25" s="72">
        <f t="shared" si="19"/>
        <v>47289.295787503557</v>
      </c>
      <c r="AP25" s="74">
        <f t="shared" si="20"/>
        <v>59111.619734379448</v>
      </c>
      <c r="AQ25" s="74">
        <f t="shared" si="61"/>
        <v>0</v>
      </c>
      <c r="AR25" s="74">
        <f t="shared" si="22"/>
        <v>27705.866099504085</v>
      </c>
      <c r="AS25" s="72">
        <f t="shared" si="23"/>
        <v>120583.42039688301</v>
      </c>
      <c r="AT25" s="72">
        <f t="shared" si="24"/>
        <v>31398.866099504088</v>
      </c>
      <c r="AU25" s="78">
        <f t="shared" si="62"/>
        <v>2917.0258360743301</v>
      </c>
      <c r="AV25" s="79">
        <f t="shared" si="26"/>
        <v>2.1599969493022297E-2</v>
      </c>
      <c r="AW25" s="80">
        <f t="shared" si="27"/>
        <v>1108.2982120597064</v>
      </c>
      <c r="AX25" s="81">
        <f t="shared" si="28"/>
        <v>1808.7276240146239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LEAF SLIDE &amp; FOLD DOOR</v>
      </c>
      <c r="D26" s="131" t="str">
        <f>Pricing!B22</f>
        <v>SFD2</v>
      </c>
      <c r="E26" s="132" t="str">
        <f>Pricing!N22</f>
        <v>10MM</v>
      </c>
      <c r="F26" s="68">
        <f>Pricing!G22</f>
        <v>2700</v>
      </c>
      <c r="G26" s="68">
        <f>Pricing!H22</f>
        <v>2625</v>
      </c>
      <c r="H26" s="100">
        <f t="shared" si="0"/>
        <v>7.0875000000000004</v>
      </c>
      <c r="I26" s="70">
        <f>Pricing!I22</f>
        <v>1</v>
      </c>
      <c r="J26" s="69">
        <f t="shared" si="30"/>
        <v>7.0875000000000004</v>
      </c>
      <c r="K26" s="71">
        <f t="shared" si="31"/>
        <v>76.289850000000001</v>
      </c>
      <c r="L26" s="69"/>
      <c r="M26" s="72"/>
      <c r="N26" s="72"/>
      <c r="O26" s="72">
        <f t="shared" si="3"/>
        <v>0</v>
      </c>
      <c r="P26" s="73">
        <f>Pricing!M22</f>
        <v>55895.520000000004</v>
      </c>
      <c r="Q26" s="74">
        <f t="shared" si="50"/>
        <v>5589.5520000000006</v>
      </c>
      <c r="R26" s="74">
        <f t="shared" si="51"/>
        <v>6763.3579200000013</v>
      </c>
      <c r="S26" s="74">
        <f t="shared" si="52"/>
        <v>341.24214960000006</v>
      </c>
      <c r="T26" s="74">
        <f t="shared" si="53"/>
        <v>685.8967206960001</v>
      </c>
      <c r="U26" s="72">
        <f t="shared" si="54"/>
        <v>69275.568790296005</v>
      </c>
      <c r="V26" s="74">
        <f t="shared" si="55"/>
        <v>1039.13353185444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11262.0375</v>
      </c>
      <c r="AE26" s="76">
        <f t="shared" si="43"/>
        <v>872.95081967213127</v>
      </c>
      <c r="AF26" s="346">
        <f t="shared" si="44"/>
        <v>894.6</v>
      </c>
      <c r="AG26" s="347"/>
      <c r="AH26" s="76">
        <f t="shared" si="45"/>
        <v>31.950000000000003</v>
      </c>
      <c r="AI26" s="76">
        <f t="shared" si="15"/>
        <v>106.5</v>
      </c>
      <c r="AJ26" s="76">
        <f>J26*Pricing!Q22</f>
        <v>0</v>
      </c>
      <c r="AK26" s="76">
        <f>J26*Pricing!R22</f>
        <v>0</v>
      </c>
      <c r="AL26" s="76">
        <f t="shared" si="16"/>
        <v>7628.9849999999997</v>
      </c>
      <c r="AM26" s="77">
        <f t="shared" si="17"/>
        <v>0</v>
      </c>
      <c r="AN26" s="76">
        <f t="shared" si="18"/>
        <v>7628.9849999999997</v>
      </c>
      <c r="AO26" s="72">
        <f t="shared" si="19"/>
        <v>72220.703141822582</v>
      </c>
      <c r="AP26" s="74">
        <f t="shared" si="20"/>
        <v>90275.878927278231</v>
      </c>
      <c r="AQ26" s="74">
        <f t="shared" si="61"/>
        <v>0</v>
      </c>
      <c r="AR26" s="74">
        <f t="shared" si="22"/>
        <v>22927.207346610343</v>
      </c>
      <c r="AS26" s="72">
        <f t="shared" si="23"/>
        <v>189016.58956910082</v>
      </c>
      <c r="AT26" s="72">
        <f t="shared" si="24"/>
        <v>26669.007346610342</v>
      </c>
      <c r="AU26" s="78">
        <f t="shared" si="62"/>
        <v>2477.6112362142644</v>
      </c>
      <c r="AV26" s="79">
        <f t="shared" si="26"/>
        <v>3.9863238298810805E-2</v>
      </c>
      <c r="AW26" s="80">
        <f t="shared" si="27"/>
        <v>921.67834020056989</v>
      </c>
      <c r="AX26" s="81">
        <f t="shared" si="28"/>
        <v>1555.9328960136945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DOOR WITH 2 FIXED</v>
      </c>
      <c r="D27" s="131" t="str">
        <f>Pricing!B23</f>
        <v>SD</v>
      </c>
      <c r="E27" s="132" t="str">
        <f>Pricing!N23</f>
        <v>10MM</v>
      </c>
      <c r="F27" s="68">
        <f>Pricing!G23</f>
        <v>7165</v>
      </c>
      <c r="G27" s="68">
        <f>Pricing!H23</f>
        <v>2900</v>
      </c>
      <c r="H27" s="100">
        <f t="shared" si="0"/>
        <v>20.778500000000001</v>
      </c>
      <c r="I27" s="70">
        <f>Pricing!I23</f>
        <v>1</v>
      </c>
      <c r="J27" s="69">
        <f t="shared" si="30"/>
        <v>20.778500000000001</v>
      </c>
      <c r="K27" s="71">
        <f t="shared" si="31"/>
        <v>223.659774</v>
      </c>
      <c r="L27" s="69"/>
      <c r="M27" s="72"/>
      <c r="N27" s="72"/>
      <c r="O27" s="72">
        <f t="shared" si="3"/>
        <v>0</v>
      </c>
      <c r="P27" s="73">
        <f>Pricing!M23</f>
        <v>134376.17000000001</v>
      </c>
      <c r="Q27" s="74">
        <f t="shared" si="4"/>
        <v>13437.617000000002</v>
      </c>
      <c r="R27" s="74">
        <f t="shared" si="5"/>
        <v>16259.516570000002</v>
      </c>
      <c r="S27" s="74">
        <f t="shared" si="6"/>
        <v>820.36651785000015</v>
      </c>
      <c r="T27" s="74">
        <f t="shared" si="7"/>
        <v>1648.9367008785002</v>
      </c>
      <c r="U27" s="72">
        <f t="shared" si="8"/>
        <v>166542.6067887285</v>
      </c>
      <c r="V27" s="74">
        <f t="shared" si="9"/>
        <v>2498.1391018309273</v>
      </c>
      <c r="W27" s="73">
        <f>Pricing!S23*I27</f>
        <v>5000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5000</v>
      </c>
      <c r="AC27" s="75">
        <v>0</v>
      </c>
      <c r="AD27" s="101">
        <f>(J27*Pricing!O23)+(O27*Pricing!P23)</f>
        <v>33017.036500000002</v>
      </c>
      <c r="AE27" s="76">
        <f t="shared" si="43"/>
        <v>1650</v>
      </c>
      <c r="AF27" s="346">
        <f t="shared" si="44"/>
        <v>1690.9200000000003</v>
      </c>
      <c r="AG27" s="347"/>
      <c r="AH27" s="76">
        <f t="shared" si="45"/>
        <v>60.39</v>
      </c>
      <c r="AI27" s="76">
        <f t="shared" ref="AI27:AI32" si="64">(((F27+G27)*2*I27)/1000)*2*$AI$7</f>
        <v>201.29999999999998</v>
      </c>
      <c r="AJ27" s="76">
        <f>J27*Pricing!Q23</f>
        <v>11182.9887</v>
      </c>
      <c r="AK27" s="76">
        <f>J27*Pricing!R23</f>
        <v>0</v>
      </c>
      <c r="AL27" s="76">
        <f t="shared" si="16"/>
        <v>22365.9774</v>
      </c>
      <c r="AM27" s="77">
        <f t="shared" si="17"/>
        <v>0</v>
      </c>
      <c r="AN27" s="76">
        <f t="shared" si="18"/>
        <v>22365.9774</v>
      </c>
      <c r="AO27" s="72">
        <f t="shared" si="19"/>
        <v>172643.35589055944</v>
      </c>
      <c r="AP27" s="74">
        <f t="shared" si="20"/>
        <v>215804.19486319931</v>
      </c>
      <c r="AQ27" s="74">
        <f t="shared" si="21"/>
        <v>0</v>
      </c>
      <c r="AR27" s="74">
        <f t="shared" si="22"/>
        <v>18694.686851974817</v>
      </c>
      <c r="AS27" s="72">
        <f t="shared" si="23"/>
        <v>482379.53075375874</v>
      </c>
      <c r="AT27" s="72">
        <f t="shared" si="24"/>
        <v>23215.320198944039</v>
      </c>
      <c r="AU27" s="78">
        <f t="shared" si="25"/>
        <v>2156.7558713251615</v>
      </c>
      <c r="AV27" s="79">
        <f t="shared" si="26"/>
        <v>0.11686748458438663</v>
      </c>
      <c r="AW27" s="80">
        <f t="shared" si="27"/>
        <v>755.79413708322636</v>
      </c>
      <c r="AX27" s="81">
        <f t="shared" si="28"/>
        <v>1423.3171176467313</v>
      </c>
      <c r="AY27" s="82"/>
      <c r="AZ27" s="83">
        <f t="shared" si="29"/>
        <v>-22.355383404796157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SLIDING DOOR</v>
      </c>
      <c r="D28" s="131" t="str">
        <f>Pricing!B24</f>
        <v>W12</v>
      </c>
      <c r="E28" s="132" t="str">
        <f>Pricing!N24</f>
        <v>10MM</v>
      </c>
      <c r="F28" s="68">
        <f>Pricing!G24</f>
        <v>4050</v>
      </c>
      <c r="G28" s="68">
        <f>Pricing!H24</f>
        <v>2425</v>
      </c>
      <c r="H28" s="100">
        <f t="shared" si="0"/>
        <v>9.8212499999999991</v>
      </c>
      <c r="I28" s="70">
        <f>Pricing!I24</f>
        <v>1</v>
      </c>
      <c r="J28" s="69">
        <f t="shared" si="30"/>
        <v>9.8212499999999991</v>
      </c>
      <c r="K28" s="71">
        <f t="shared" si="31"/>
        <v>105.71593499999999</v>
      </c>
      <c r="L28" s="69"/>
      <c r="M28" s="72"/>
      <c r="N28" s="72"/>
      <c r="O28" s="72">
        <f t="shared" si="3"/>
        <v>0</v>
      </c>
      <c r="P28" s="73">
        <f>Pricing!M24</f>
        <v>77098.7</v>
      </c>
      <c r="Q28" s="74">
        <f t="shared" si="4"/>
        <v>7709.87</v>
      </c>
      <c r="R28" s="74">
        <f t="shared" si="5"/>
        <v>9328.9426999999996</v>
      </c>
      <c r="S28" s="74">
        <f t="shared" si="6"/>
        <v>470.68756349999995</v>
      </c>
      <c r="T28" s="74">
        <f t="shared" si="7"/>
        <v>946.08200263499998</v>
      </c>
      <c r="U28" s="72">
        <f t="shared" si="8"/>
        <v>95554.282266134993</v>
      </c>
      <c r="V28" s="74">
        <f t="shared" si="9"/>
        <v>1433.3142339920248</v>
      </c>
      <c r="W28" s="73">
        <f>Pricing!S24*I28</f>
        <v>5000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5000</v>
      </c>
      <c r="AC28" s="75">
        <v>0</v>
      </c>
      <c r="AD28" s="101">
        <f>(J28*Pricing!O24)+(O28*Pricing!P24)</f>
        <v>15605.966249999999</v>
      </c>
      <c r="AE28" s="76">
        <f t="shared" si="43"/>
        <v>1061.4754098360656</v>
      </c>
      <c r="AF28" s="346">
        <f t="shared" si="44"/>
        <v>1087.8</v>
      </c>
      <c r="AG28" s="347"/>
      <c r="AH28" s="76">
        <f t="shared" si="45"/>
        <v>38.849999999999994</v>
      </c>
      <c r="AI28" s="76">
        <f t="shared" si="64"/>
        <v>129.5</v>
      </c>
      <c r="AJ28" s="76">
        <f>J28*Pricing!Q24</f>
        <v>0</v>
      </c>
      <c r="AK28" s="76">
        <f>J28*Pricing!R24</f>
        <v>95144.34149999998</v>
      </c>
      <c r="AL28" s="76">
        <f t="shared" si="16"/>
        <v>10571.593499999997</v>
      </c>
      <c r="AM28" s="77">
        <f t="shared" si="17"/>
        <v>0</v>
      </c>
      <c r="AN28" s="76">
        <f t="shared" si="18"/>
        <v>10571.593499999997</v>
      </c>
      <c r="AO28" s="72">
        <f t="shared" si="19"/>
        <v>99305.221909963089</v>
      </c>
      <c r="AP28" s="74">
        <f t="shared" si="20"/>
        <v>124131.52738745385</v>
      </c>
      <c r="AQ28" s="74">
        <f t="shared" si="21"/>
        <v>0</v>
      </c>
      <c r="AR28" s="74">
        <f t="shared" si="22"/>
        <v>22750.337207322587</v>
      </c>
      <c r="AS28" s="72">
        <f t="shared" si="23"/>
        <v>360330.2440474169</v>
      </c>
      <c r="AT28" s="72">
        <f t="shared" si="24"/>
        <v>36688.837372780137</v>
      </c>
      <c r="AU28" s="78">
        <f t="shared" si="25"/>
        <v>3408.4761587495486</v>
      </c>
      <c r="AV28" s="79">
        <f t="shared" si="26"/>
        <v>5.5239058785494961E-2</v>
      </c>
      <c r="AW28" s="80">
        <f t="shared" si="27"/>
        <v>917.43592392317237</v>
      </c>
      <c r="AX28" s="81">
        <f t="shared" si="28"/>
        <v>2538.3367942334321</v>
      </c>
      <c r="AY28" s="82"/>
      <c r="AZ28" s="83">
        <f t="shared" si="29"/>
        <v>-47.296559407055611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4 NO'S</v>
      </c>
      <c r="D29" s="131" t="str">
        <f>Pricing!B25</f>
        <v>W13</v>
      </c>
      <c r="E29" s="132" t="str">
        <f>Pricing!N25</f>
        <v>6MM</v>
      </c>
      <c r="F29" s="68">
        <f>Pricing!G25</f>
        <v>4987</v>
      </c>
      <c r="G29" s="68">
        <f>Pricing!H25</f>
        <v>1275</v>
      </c>
      <c r="H29" s="100">
        <f t="shared" si="0"/>
        <v>6.3584250000000004</v>
      </c>
      <c r="I29" s="70">
        <f>Pricing!I25</f>
        <v>1</v>
      </c>
      <c r="J29" s="69">
        <f t="shared" si="30"/>
        <v>6.3584250000000004</v>
      </c>
      <c r="K29" s="71">
        <f t="shared" si="31"/>
        <v>68.442086700000004</v>
      </c>
      <c r="L29" s="69"/>
      <c r="M29" s="72"/>
      <c r="N29" s="72"/>
      <c r="O29" s="72">
        <f t="shared" si="3"/>
        <v>0</v>
      </c>
      <c r="P29" s="73">
        <f>Pricing!M25</f>
        <v>14157.31</v>
      </c>
      <c r="Q29" s="74">
        <f t="shared" si="4"/>
        <v>1415.731</v>
      </c>
      <c r="R29" s="74">
        <f t="shared" si="5"/>
        <v>1713.03451</v>
      </c>
      <c r="S29" s="74">
        <f t="shared" si="6"/>
        <v>86.430377549999989</v>
      </c>
      <c r="T29" s="74">
        <f t="shared" si="7"/>
        <v>173.7250588755</v>
      </c>
      <c r="U29" s="72">
        <f t="shared" si="8"/>
        <v>17546.230946425501</v>
      </c>
      <c r="V29" s="74">
        <f t="shared" si="9"/>
        <v>263.19346419638254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6371.1418500000009</v>
      </c>
      <c r="AE29" s="76">
        <f t="shared" si="43"/>
        <v>1026.5573770491803</v>
      </c>
      <c r="AF29" s="346">
        <f t="shared" si="44"/>
        <v>1052.0159999999998</v>
      </c>
      <c r="AG29" s="347"/>
      <c r="AH29" s="76">
        <f t="shared" si="45"/>
        <v>37.571999999999996</v>
      </c>
      <c r="AI29" s="76">
        <f t="shared" si="64"/>
        <v>125.24</v>
      </c>
      <c r="AJ29" s="76">
        <f>J29*Pricing!Q25</f>
        <v>0</v>
      </c>
      <c r="AK29" s="76">
        <f>J29*Pricing!R25</f>
        <v>0</v>
      </c>
      <c r="AL29" s="76">
        <f t="shared" si="16"/>
        <v>6844.20867</v>
      </c>
      <c r="AM29" s="77">
        <f t="shared" si="17"/>
        <v>0</v>
      </c>
      <c r="AN29" s="76">
        <f t="shared" si="18"/>
        <v>6844.20867</v>
      </c>
      <c r="AO29" s="72">
        <f t="shared" si="19"/>
        <v>20050.809787671064</v>
      </c>
      <c r="AP29" s="74">
        <f t="shared" si="20"/>
        <v>25063.51223458883</v>
      </c>
      <c r="AQ29" s="74">
        <f t="shared" si="21"/>
        <v>0</v>
      </c>
      <c r="AR29" s="74">
        <f t="shared" si="22"/>
        <v>7095.2039258558352</v>
      </c>
      <c r="AS29" s="72">
        <f t="shared" si="23"/>
        <v>65173.881212259897</v>
      </c>
      <c r="AT29" s="72">
        <f t="shared" si="24"/>
        <v>10250.003925855835</v>
      </c>
      <c r="AU29" s="78">
        <f t="shared" si="25"/>
        <v>952.2485995778369</v>
      </c>
      <c r="AV29" s="79">
        <f t="shared" si="26"/>
        <v>3.5762597669152185E-2</v>
      </c>
      <c r="AW29" s="80">
        <f t="shared" si="27"/>
        <v>260.21159303171686</v>
      </c>
      <c r="AX29" s="81">
        <f t="shared" si="28"/>
        <v>692.03700654611987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TOP HUNG WINDOW WITH BOTTOM FIXED</v>
      </c>
      <c r="D30" s="131" t="str">
        <f>Pricing!B26</f>
        <v>V4</v>
      </c>
      <c r="E30" s="132" t="str">
        <f>Pricing!N26</f>
        <v>6MM (F)</v>
      </c>
      <c r="F30" s="68">
        <f>Pricing!G26</f>
        <v>1080</v>
      </c>
      <c r="G30" s="68">
        <f>Pricing!H26</f>
        <v>2325</v>
      </c>
      <c r="H30" s="100">
        <f t="shared" si="0"/>
        <v>2.5110000000000001</v>
      </c>
      <c r="I30" s="70">
        <f>Pricing!I26</f>
        <v>1</v>
      </c>
      <c r="J30" s="69">
        <f t="shared" si="30"/>
        <v>2.5110000000000001</v>
      </c>
      <c r="K30" s="71">
        <f t="shared" si="31"/>
        <v>27.028403999999998</v>
      </c>
      <c r="L30" s="69"/>
      <c r="M30" s="72"/>
      <c r="N30" s="72"/>
      <c r="O30" s="72">
        <f t="shared" si="3"/>
        <v>0</v>
      </c>
      <c r="P30" s="73">
        <f>Pricing!M26</f>
        <v>17447.43</v>
      </c>
      <c r="Q30" s="74">
        <f t="shared" si="4"/>
        <v>1744.7430000000002</v>
      </c>
      <c r="R30" s="74">
        <f t="shared" si="5"/>
        <v>2111.1390299999998</v>
      </c>
      <c r="S30" s="74">
        <f t="shared" si="6"/>
        <v>106.51656014999999</v>
      </c>
      <c r="T30" s="74">
        <f t="shared" si="7"/>
        <v>214.09828590149999</v>
      </c>
      <c r="U30" s="72">
        <f t="shared" si="8"/>
        <v>21623.926876051497</v>
      </c>
      <c r="V30" s="74">
        <f t="shared" si="9"/>
        <v>324.35890314077244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5029.5330000000004</v>
      </c>
      <c r="AE30" s="76">
        <f t="shared" si="43"/>
        <v>558.19672131147536</v>
      </c>
      <c r="AF30" s="346">
        <f t="shared" si="44"/>
        <v>572.04000000000008</v>
      </c>
      <c r="AG30" s="347"/>
      <c r="AH30" s="76">
        <f t="shared" si="45"/>
        <v>20.43</v>
      </c>
      <c r="AI30" s="76">
        <f t="shared" si="64"/>
        <v>68.099999999999994</v>
      </c>
      <c r="AJ30" s="76">
        <f>J30*Pricing!Q26</f>
        <v>0</v>
      </c>
      <c r="AK30" s="76">
        <f>J30*Pricing!R26</f>
        <v>0</v>
      </c>
      <c r="AL30" s="76">
        <f t="shared" si="16"/>
        <v>2702.8403999999996</v>
      </c>
      <c r="AM30" s="77">
        <f t="shared" si="17"/>
        <v>0</v>
      </c>
      <c r="AN30" s="76">
        <f t="shared" si="18"/>
        <v>2702.8403999999996</v>
      </c>
      <c r="AO30" s="72">
        <f t="shared" si="19"/>
        <v>23167.052500503745</v>
      </c>
      <c r="AP30" s="74">
        <f t="shared" si="20"/>
        <v>28958.815625629682</v>
      </c>
      <c r="AQ30" s="74">
        <f t="shared" si="21"/>
        <v>0</v>
      </c>
      <c r="AR30" s="74">
        <f t="shared" si="22"/>
        <v>20759.007616938838</v>
      </c>
      <c r="AS30" s="72">
        <f t="shared" si="23"/>
        <v>62561.081926133433</v>
      </c>
      <c r="AT30" s="72">
        <f t="shared" si="24"/>
        <v>24914.807616938841</v>
      </c>
      <c r="AU30" s="78">
        <f t="shared" si="25"/>
        <v>2314.6421048809775</v>
      </c>
      <c r="AV30" s="79">
        <f t="shared" si="26"/>
        <v>1.4122975854435825E-2</v>
      </c>
      <c r="AW30" s="80">
        <f t="shared" si="27"/>
        <v>812.04520175117523</v>
      </c>
      <c r="AX30" s="81">
        <f t="shared" si="28"/>
        <v>1502.5969031298023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WINDOW</v>
      </c>
      <c r="D31" s="131" t="str">
        <f>Pricing!B27</f>
        <v>W14</v>
      </c>
      <c r="E31" s="132" t="str">
        <f>Pricing!N27</f>
        <v>6MM</v>
      </c>
      <c r="F31" s="68">
        <f>Pricing!G27</f>
        <v>2000</v>
      </c>
      <c r="G31" s="68">
        <f>Pricing!H27</f>
        <v>1875</v>
      </c>
      <c r="H31" s="100">
        <f t="shared" si="0"/>
        <v>3.75</v>
      </c>
      <c r="I31" s="70">
        <f>Pricing!I27</f>
        <v>1</v>
      </c>
      <c r="J31" s="69">
        <f t="shared" si="30"/>
        <v>3.75</v>
      </c>
      <c r="K31" s="71">
        <f t="shared" si="31"/>
        <v>40.364999999999995</v>
      </c>
      <c r="L31" s="69"/>
      <c r="M31" s="72"/>
      <c r="N31" s="72"/>
      <c r="O31" s="72">
        <f t="shared" si="3"/>
        <v>0</v>
      </c>
      <c r="P31" s="73">
        <f>Pricing!M27</f>
        <v>36024.49</v>
      </c>
      <c r="Q31" s="74">
        <f t="shared" si="4"/>
        <v>3602.4490000000001</v>
      </c>
      <c r="R31" s="74">
        <f t="shared" si="5"/>
        <v>4358.9632899999997</v>
      </c>
      <c r="S31" s="74">
        <f t="shared" si="6"/>
        <v>219.92951145000001</v>
      </c>
      <c r="T31" s="74">
        <f t="shared" si="7"/>
        <v>442.05831801449995</v>
      </c>
      <c r="U31" s="72">
        <f t="shared" si="8"/>
        <v>44647.890119464493</v>
      </c>
      <c r="V31" s="74">
        <f t="shared" si="9"/>
        <v>669.71835179196739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3757.5</v>
      </c>
      <c r="AE31" s="76">
        <f t="shared" si="43"/>
        <v>635.24590163934431</v>
      </c>
      <c r="AF31" s="346">
        <f t="shared" si="44"/>
        <v>651</v>
      </c>
      <c r="AG31" s="347"/>
      <c r="AH31" s="76">
        <f t="shared" si="45"/>
        <v>23.25</v>
      </c>
      <c r="AI31" s="76">
        <f t="shared" si="64"/>
        <v>77.5</v>
      </c>
      <c r="AJ31" s="76">
        <f>J31*Pricing!Q27</f>
        <v>2018.2499999999998</v>
      </c>
      <c r="AK31" s="76">
        <f>J31*Pricing!R27</f>
        <v>0</v>
      </c>
      <c r="AL31" s="76">
        <f t="shared" si="16"/>
        <v>4036.4999999999995</v>
      </c>
      <c r="AM31" s="77">
        <f t="shared" si="17"/>
        <v>0</v>
      </c>
      <c r="AN31" s="76">
        <f t="shared" si="18"/>
        <v>4036.4999999999995</v>
      </c>
      <c r="AO31" s="72">
        <f t="shared" si="19"/>
        <v>46704.604372895803</v>
      </c>
      <c r="AP31" s="74">
        <f t="shared" si="20"/>
        <v>58380.75546611975</v>
      </c>
      <c r="AQ31" s="74">
        <f t="shared" si="21"/>
        <v>0</v>
      </c>
      <c r="AR31" s="74">
        <f t="shared" si="22"/>
        <v>28022.762623737482</v>
      </c>
      <c r="AS31" s="72">
        <f t="shared" si="23"/>
        <v>118934.10983901555</v>
      </c>
      <c r="AT31" s="72">
        <f t="shared" si="24"/>
        <v>31715.762623737482</v>
      </c>
      <c r="AU31" s="78">
        <f t="shared" si="25"/>
        <v>2946.4662415215053</v>
      </c>
      <c r="AV31" s="79">
        <f t="shared" si="26"/>
        <v>2.1091660475561269E-2</v>
      </c>
      <c r="AW31" s="80">
        <f t="shared" si="27"/>
        <v>1122.6956143009158</v>
      </c>
      <c r="AX31" s="81">
        <f t="shared" si="28"/>
        <v>1823.7706272205896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DOOR</v>
      </c>
      <c r="D32" s="131" t="str">
        <f>Pricing!B28</f>
        <v>W15</v>
      </c>
      <c r="E32" s="132" t="str">
        <f>Pricing!N28</f>
        <v>6MM</v>
      </c>
      <c r="F32" s="68">
        <f>Pricing!G28</f>
        <v>1735</v>
      </c>
      <c r="G32" s="68">
        <f>Pricing!H28</f>
        <v>2625</v>
      </c>
      <c r="H32" s="100">
        <f t="shared" si="0"/>
        <v>4.5543750000000003</v>
      </c>
      <c r="I32" s="70">
        <f>Pricing!I28</f>
        <v>1</v>
      </c>
      <c r="J32" s="69">
        <f t="shared" si="30"/>
        <v>4.5543750000000003</v>
      </c>
      <c r="K32" s="71">
        <f t="shared" si="31"/>
        <v>49.023292499999997</v>
      </c>
      <c r="L32" s="69"/>
      <c r="M32" s="72"/>
      <c r="N32" s="72"/>
      <c r="O32" s="72">
        <f t="shared" si="3"/>
        <v>0</v>
      </c>
      <c r="P32" s="73">
        <f>Pricing!M28</f>
        <v>42104.24</v>
      </c>
      <c r="Q32" s="74">
        <f t="shared" si="4"/>
        <v>4210.424</v>
      </c>
      <c r="R32" s="74">
        <f t="shared" si="5"/>
        <v>5094.6130399999993</v>
      </c>
      <c r="S32" s="74">
        <f t="shared" si="6"/>
        <v>257.04638519999997</v>
      </c>
      <c r="T32" s="74">
        <f t="shared" si="7"/>
        <v>516.66323425199994</v>
      </c>
      <c r="U32" s="72">
        <f t="shared" si="8"/>
        <v>52182.986659451999</v>
      </c>
      <c r="V32" s="74">
        <f t="shared" si="9"/>
        <v>782.74479989177996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4563.4837500000003</v>
      </c>
      <c r="AE32" s="76">
        <f t="shared" si="43"/>
        <v>714.75409836065569</v>
      </c>
      <c r="AF32" s="346">
        <f t="shared" si="44"/>
        <v>732.48000000000013</v>
      </c>
      <c r="AG32" s="347"/>
      <c r="AH32" s="76">
        <f t="shared" si="45"/>
        <v>26.160000000000004</v>
      </c>
      <c r="AI32" s="76">
        <f t="shared" si="64"/>
        <v>87.2</v>
      </c>
      <c r="AJ32" s="76">
        <f>J32*Pricing!Q28</f>
        <v>2451.1646249999999</v>
      </c>
      <c r="AK32" s="76">
        <f>J32*Pricing!R28</f>
        <v>0</v>
      </c>
      <c r="AL32" s="76">
        <f t="shared" si="16"/>
        <v>4902.3292499999998</v>
      </c>
      <c r="AM32" s="77">
        <f t="shared" si="17"/>
        <v>0</v>
      </c>
      <c r="AN32" s="76">
        <f t="shared" si="18"/>
        <v>4902.3292499999998</v>
      </c>
      <c r="AO32" s="72">
        <f t="shared" si="19"/>
        <v>54526.325557704433</v>
      </c>
      <c r="AP32" s="74">
        <f t="shared" si="20"/>
        <v>68157.906947130541</v>
      </c>
      <c r="AQ32" s="74">
        <f t="shared" si="21"/>
        <v>0</v>
      </c>
      <c r="AR32" s="74">
        <f t="shared" si="22"/>
        <v>26937.665981574854</v>
      </c>
      <c r="AS32" s="72">
        <f t="shared" si="23"/>
        <v>139503.53937983498</v>
      </c>
      <c r="AT32" s="72">
        <f t="shared" si="24"/>
        <v>30630.665981574854</v>
      </c>
      <c r="AU32" s="78">
        <f t="shared" si="25"/>
        <v>2845.6583037509154</v>
      </c>
      <c r="AV32" s="79">
        <f t="shared" si="26"/>
        <v>2.5615821647569162E-2</v>
      </c>
      <c r="AW32" s="80">
        <f t="shared" si="27"/>
        <v>1080.4197098622819</v>
      </c>
      <c r="AX32" s="81">
        <f t="shared" si="28"/>
        <v>1765.2385938886337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2 SHUTTER SLIDING DOOR</v>
      </c>
      <c r="D33" s="131" t="str">
        <f>Pricing!B29</f>
        <v>SFD3</v>
      </c>
      <c r="E33" s="132" t="str">
        <f>Pricing!N29</f>
        <v>10MM</v>
      </c>
      <c r="F33" s="68">
        <f>Pricing!G29</f>
        <v>2865</v>
      </c>
      <c r="G33" s="68">
        <f>Pricing!H29</f>
        <v>2625</v>
      </c>
      <c r="H33" s="100">
        <f t="shared" si="0"/>
        <v>7.5206249999999999</v>
      </c>
      <c r="I33" s="70">
        <f>Pricing!I29</f>
        <v>1</v>
      </c>
      <c r="J33" s="69">
        <f t="shared" si="30"/>
        <v>7.5206249999999999</v>
      </c>
      <c r="K33" s="71">
        <f t="shared" si="31"/>
        <v>80.952007499999993</v>
      </c>
      <c r="L33" s="69"/>
      <c r="M33" s="72"/>
      <c r="N33" s="72"/>
      <c r="O33" s="72">
        <f t="shared" si="3"/>
        <v>0</v>
      </c>
      <c r="P33" s="73">
        <f>Pricing!M29</f>
        <v>48339.199999999997</v>
      </c>
      <c r="Q33" s="74">
        <f t="shared" ref="Q33:Q38" si="65">P33*$Q$6</f>
        <v>4833.92</v>
      </c>
      <c r="R33" s="74">
        <f t="shared" ref="R33:R38" si="66">(P33+Q33)*$R$6</f>
        <v>5849.0431999999992</v>
      </c>
      <c r="S33" s="74">
        <f t="shared" ref="S33:S38" si="67">(P33+Q33+R33)*$S$6</f>
        <v>295.110816</v>
      </c>
      <c r="T33" s="74">
        <f t="shared" ref="T33:T38" si="68">(P33+Q33+R33+S33)*$T$6</f>
        <v>593.17274015999999</v>
      </c>
      <c r="U33" s="72">
        <f t="shared" ref="U33:U38" si="69">SUM(P33:T33)</f>
        <v>59910.446756159996</v>
      </c>
      <c r="V33" s="74">
        <f t="shared" ref="V33:V38" si="70">U33*$V$6</f>
        <v>898.65670134239986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11950.273125</v>
      </c>
      <c r="AE33" s="76">
        <f t="shared" si="43"/>
        <v>900</v>
      </c>
      <c r="AF33" s="346">
        <f t="shared" si="44"/>
        <v>922.31999999999994</v>
      </c>
      <c r="AG33" s="347"/>
      <c r="AH33" s="76">
        <f t="shared" si="45"/>
        <v>32.94</v>
      </c>
      <c r="AI33" s="76">
        <f t="shared" si="15"/>
        <v>109.80000000000001</v>
      </c>
      <c r="AJ33" s="76">
        <f>J33*Pricing!Q29</f>
        <v>4047.6003749999995</v>
      </c>
      <c r="AK33" s="76">
        <f>J33*Pricing!R29</f>
        <v>0</v>
      </c>
      <c r="AL33" s="76">
        <f t="shared" si="16"/>
        <v>8095.2007499999991</v>
      </c>
      <c r="AM33" s="77">
        <f t="shared" si="17"/>
        <v>0</v>
      </c>
      <c r="AN33" s="76">
        <f t="shared" si="18"/>
        <v>8095.2007499999991</v>
      </c>
      <c r="AO33" s="72">
        <f t="shared" si="19"/>
        <v>62774.1634575024</v>
      </c>
      <c r="AP33" s="74">
        <f t="shared" si="20"/>
        <v>78467.704321878002</v>
      </c>
      <c r="AQ33" s="74">
        <f t="shared" ref="AQ33:AQ38" si="76">(AO33+AP33)*$AQ$6</f>
        <v>0</v>
      </c>
      <c r="AR33" s="74">
        <f t="shared" si="22"/>
        <v>18780.602380703785</v>
      </c>
      <c r="AS33" s="72">
        <f t="shared" si="23"/>
        <v>173430.1427793804</v>
      </c>
      <c r="AT33" s="72">
        <f t="shared" si="24"/>
        <v>23060.602380703785</v>
      </c>
      <c r="AU33" s="78">
        <f t="shared" ref="AU33:AU38" si="77">AT33/10.764</f>
        <v>2142.3822352939228</v>
      </c>
      <c r="AV33" s="79">
        <f t="shared" si="26"/>
        <v>4.2299325083738126E-2</v>
      </c>
      <c r="AW33" s="80">
        <f t="shared" si="27"/>
        <v>751.17474335027953</v>
      </c>
      <c r="AX33" s="81">
        <f t="shared" si="28"/>
        <v>1391.2074919436434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TOP HUNG WINDOW WITH BOTTOM FIXED</v>
      </c>
      <c r="D34" s="131" t="str">
        <f>Pricing!B30</f>
        <v>V5</v>
      </c>
      <c r="E34" s="132" t="str">
        <f>Pricing!N30</f>
        <v>6MM (F)</v>
      </c>
      <c r="F34" s="68">
        <f>Pricing!G30</f>
        <v>1145</v>
      </c>
      <c r="G34" s="68">
        <f>Pricing!H30</f>
        <v>2550</v>
      </c>
      <c r="H34" s="100">
        <f t="shared" si="0"/>
        <v>2.9197500000000001</v>
      </c>
      <c r="I34" s="70">
        <f>Pricing!I30</f>
        <v>2</v>
      </c>
      <c r="J34" s="69">
        <f t="shared" si="30"/>
        <v>5.8395000000000001</v>
      </c>
      <c r="K34" s="71">
        <f t="shared" si="31"/>
        <v>62.856377999999999</v>
      </c>
      <c r="L34" s="69"/>
      <c r="M34" s="72"/>
      <c r="N34" s="72"/>
      <c r="O34" s="72">
        <f t="shared" si="3"/>
        <v>0</v>
      </c>
      <c r="P34" s="73">
        <f>Pricing!M30</f>
        <v>36896.82</v>
      </c>
      <c r="Q34" s="74">
        <f t="shared" si="65"/>
        <v>3689.6820000000002</v>
      </c>
      <c r="R34" s="74">
        <f t="shared" si="66"/>
        <v>4464.5152200000002</v>
      </c>
      <c r="S34" s="74">
        <f t="shared" si="67"/>
        <v>225.2550861</v>
      </c>
      <c r="T34" s="74">
        <f t="shared" si="68"/>
        <v>452.76272306100003</v>
      </c>
      <c r="U34" s="72">
        <f t="shared" si="69"/>
        <v>45729.035029161001</v>
      </c>
      <c r="V34" s="74">
        <f t="shared" si="70"/>
        <v>685.93552543741498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11696.5185</v>
      </c>
      <c r="AE34" s="76">
        <f t="shared" si="43"/>
        <v>1211.4754098360656</v>
      </c>
      <c r="AF34" s="346">
        <f t="shared" si="44"/>
        <v>1241.52</v>
      </c>
      <c r="AG34" s="347"/>
      <c r="AH34" s="76">
        <f t="shared" si="45"/>
        <v>44.339999999999996</v>
      </c>
      <c r="AI34" s="76">
        <f t="shared" si="15"/>
        <v>147.79999999999998</v>
      </c>
      <c r="AJ34" s="76">
        <f>J34*Pricing!Q30</f>
        <v>0</v>
      </c>
      <c r="AK34" s="76">
        <f>J34*Pricing!R30</f>
        <v>0</v>
      </c>
      <c r="AL34" s="76">
        <f t="shared" si="16"/>
        <v>6285.6377999999995</v>
      </c>
      <c r="AM34" s="77">
        <f t="shared" si="17"/>
        <v>0</v>
      </c>
      <c r="AN34" s="76">
        <f t="shared" si="18"/>
        <v>6285.6377999999995</v>
      </c>
      <c r="AO34" s="72">
        <f t="shared" si="19"/>
        <v>49060.105964434486</v>
      </c>
      <c r="AP34" s="74">
        <f t="shared" si="20"/>
        <v>61325.132455543106</v>
      </c>
      <c r="AQ34" s="74">
        <f t="shared" si="76"/>
        <v>0</v>
      </c>
      <c r="AR34" s="74">
        <f t="shared" si="22"/>
        <v>18903.20034591619</v>
      </c>
      <c r="AS34" s="72">
        <f t="shared" si="23"/>
        <v>134653.0325199776</v>
      </c>
      <c r="AT34" s="72">
        <f t="shared" si="24"/>
        <v>23059.000345916189</v>
      </c>
      <c r="AU34" s="78">
        <f t="shared" si="77"/>
        <v>2142.2334026306385</v>
      </c>
      <c r="AV34" s="79">
        <f t="shared" si="26"/>
        <v>3.2843933692544014E-2</v>
      </c>
      <c r="AW34" s="80">
        <f t="shared" si="27"/>
        <v>738.42897143386813</v>
      </c>
      <c r="AX34" s="81">
        <f t="shared" si="28"/>
        <v>1403.8044311967699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DOOR</v>
      </c>
      <c r="D35" s="131" t="str">
        <f>Pricing!B31</f>
        <v>SD1</v>
      </c>
      <c r="E35" s="132" t="str">
        <f>Pricing!N31</f>
        <v>6MM</v>
      </c>
      <c r="F35" s="68">
        <f>Pricing!G31</f>
        <v>1200</v>
      </c>
      <c r="G35" s="68">
        <f>Pricing!H31</f>
        <v>2625</v>
      </c>
      <c r="H35" s="100">
        <f t="shared" si="0"/>
        <v>3.15</v>
      </c>
      <c r="I35" s="70">
        <f>Pricing!I31</f>
        <v>1</v>
      </c>
      <c r="J35" s="69">
        <f t="shared" si="30"/>
        <v>3.15</v>
      </c>
      <c r="K35" s="71">
        <f t="shared" si="31"/>
        <v>33.906599999999997</v>
      </c>
      <c r="L35" s="69"/>
      <c r="M35" s="72"/>
      <c r="N35" s="72"/>
      <c r="O35" s="72">
        <f t="shared" si="3"/>
        <v>0</v>
      </c>
      <c r="P35" s="73">
        <f>Pricing!M31</f>
        <v>38767.64</v>
      </c>
      <c r="Q35" s="74">
        <f t="shared" si="65"/>
        <v>3876.7640000000001</v>
      </c>
      <c r="R35" s="74">
        <f t="shared" si="66"/>
        <v>4690.8844400000007</v>
      </c>
      <c r="S35" s="74">
        <f t="shared" si="67"/>
        <v>236.67644220000003</v>
      </c>
      <c r="T35" s="74">
        <f t="shared" si="68"/>
        <v>475.71964882200001</v>
      </c>
      <c r="U35" s="72">
        <f t="shared" si="69"/>
        <v>48047.684531022001</v>
      </c>
      <c r="V35" s="74">
        <f t="shared" si="70"/>
        <v>720.71526796532999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3156.2999999999997</v>
      </c>
      <c r="AE35" s="76">
        <f t="shared" si="43"/>
        <v>627.04918032786884</v>
      </c>
      <c r="AF35" s="346">
        <f t="shared" si="44"/>
        <v>642.60000000000014</v>
      </c>
      <c r="AG35" s="347"/>
      <c r="AH35" s="76">
        <f t="shared" si="45"/>
        <v>22.950000000000003</v>
      </c>
      <c r="AI35" s="76">
        <f t="shared" si="15"/>
        <v>76.5</v>
      </c>
      <c r="AJ35" s="76">
        <f>J35*Pricing!Q31</f>
        <v>1695.3299999999997</v>
      </c>
      <c r="AK35" s="76">
        <f>J35*Pricing!R31</f>
        <v>0</v>
      </c>
      <c r="AL35" s="76">
        <f t="shared" si="16"/>
        <v>3390.6599999999994</v>
      </c>
      <c r="AM35" s="77">
        <f t="shared" si="17"/>
        <v>0</v>
      </c>
      <c r="AN35" s="76">
        <f t="shared" si="18"/>
        <v>3390.6599999999994</v>
      </c>
      <c r="AO35" s="72">
        <f t="shared" si="19"/>
        <v>50137.498979315198</v>
      </c>
      <c r="AP35" s="74">
        <f t="shared" si="20"/>
        <v>62671.873724143996</v>
      </c>
      <c r="AQ35" s="74">
        <f t="shared" si="76"/>
        <v>0</v>
      </c>
      <c r="AR35" s="74">
        <f t="shared" si="22"/>
        <v>35812.499270939428</v>
      </c>
      <c r="AS35" s="72">
        <f t="shared" si="23"/>
        <v>124442.3227034592</v>
      </c>
      <c r="AT35" s="72">
        <f t="shared" si="24"/>
        <v>39505.499270939428</v>
      </c>
      <c r="AU35" s="78">
        <f t="shared" si="77"/>
        <v>3670.1504339408611</v>
      </c>
      <c r="AV35" s="79">
        <f t="shared" si="26"/>
        <v>1.7716994799471465E-2</v>
      </c>
      <c r="AW35" s="80">
        <f t="shared" si="27"/>
        <v>1438.3158381845226</v>
      </c>
      <c r="AX35" s="81">
        <f t="shared" si="28"/>
        <v>2231.8345957563388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FIXED GLASS 2 NO'S</v>
      </c>
      <c r="D36" s="131" t="str">
        <f>Pricing!B32</f>
        <v>W17</v>
      </c>
      <c r="E36" s="132" t="str">
        <f>Pricing!N32</f>
        <v>6MM</v>
      </c>
      <c r="F36" s="68">
        <f>Pricing!G32</f>
        <v>640</v>
      </c>
      <c r="G36" s="68">
        <f>Pricing!H32</f>
        <v>2025</v>
      </c>
      <c r="H36" s="100">
        <f t="shared" si="0"/>
        <v>1.296</v>
      </c>
      <c r="I36" s="70">
        <f>Pricing!I32</f>
        <v>1</v>
      </c>
      <c r="J36" s="69">
        <f t="shared" si="30"/>
        <v>1.296</v>
      </c>
      <c r="K36" s="71">
        <f t="shared" si="31"/>
        <v>13.950144</v>
      </c>
      <c r="L36" s="69"/>
      <c r="M36" s="72"/>
      <c r="N36" s="72"/>
      <c r="O36" s="72">
        <f>N36*M36*L36/1000000</f>
        <v>0</v>
      </c>
      <c r="P36" s="73">
        <f>Pricing!M32</f>
        <v>4662.9399999999996</v>
      </c>
      <c r="Q36" s="74">
        <f t="shared" si="65"/>
        <v>466.29399999999998</v>
      </c>
      <c r="R36" s="74">
        <f t="shared" si="66"/>
        <v>564.21573999999998</v>
      </c>
      <c r="S36" s="74">
        <f t="shared" si="67"/>
        <v>28.467248699999995</v>
      </c>
      <c r="T36" s="74">
        <f t="shared" si="68"/>
        <v>57.219169886999993</v>
      </c>
      <c r="U36" s="72">
        <f t="shared" si="69"/>
        <v>5779.136158586999</v>
      </c>
      <c r="V36" s="74">
        <f t="shared" si="70"/>
        <v>86.687042378804989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1298.5920000000001</v>
      </c>
      <c r="AE36" s="76">
        <f t="shared" si="43"/>
        <v>436.88524590163934</v>
      </c>
      <c r="AF36" s="346">
        <f t="shared" si="44"/>
        <v>447.71999999999997</v>
      </c>
      <c r="AG36" s="347"/>
      <c r="AH36" s="76">
        <f t="shared" si="45"/>
        <v>15.99</v>
      </c>
      <c r="AI36" s="76">
        <f t="shared" si="15"/>
        <v>53.3</v>
      </c>
      <c r="AJ36" s="76">
        <f>J36*Pricing!Q32</f>
        <v>0</v>
      </c>
      <c r="AK36" s="76">
        <f>J36*Pricing!R32</f>
        <v>0</v>
      </c>
      <c r="AL36" s="76">
        <f t="shared" si="16"/>
        <v>1395.0143999999998</v>
      </c>
      <c r="AM36" s="77">
        <f t="shared" si="17"/>
        <v>0</v>
      </c>
      <c r="AN36" s="76">
        <f t="shared" si="18"/>
        <v>1395.0143999999998</v>
      </c>
      <c r="AO36" s="72">
        <f t="shared" si="19"/>
        <v>6819.7184468674423</v>
      </c>
      <c r="AP36" s="74">
        <f t="shared" si="20"/>
        <v>8524.6480585843019</v>
      </c>
      <c r="AQ36" s="74">
        <f t="shared" si="76"/>
        <v>0</v>
      </c>
      <c r="AR36" s="74">
        <f t="shared" si="22"/>
        <v>11839.788970255975</v>
      </c>
      <c r="AS36" s="72">
        <f t="shared" si="23"/>
        <v>19432.987305451745</v>
      </c>
      <c r="AT36" s="72">
        <f t="shared" si="24"/>
        <v>14994.588970255976</v>
      </c>
      <c r="AU36" s="78">
        <f t="shared" si="77"/>
        <v>1393.0313053006296</v>
      </c>
      <c r="AV36" s="79">
        <f t="shared" si="26"/>
        <v>7.289277860353975E-3</v>
      </c>
      <c r="AW36" s="80">
        <f t="shared" si="27"/>
        <v>420.48477786077365</v>
      </c>
      <c r="AX36" s="81">
        <f t="shared" si="28"/>
        <v>972.54652743985582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3 TRACK 2 SHUTTER SLIDING DOOR</v>
      </c>
      <c r="D37" s="131" t="str">
        <f>Pricing!B33</f>
        <v>SDW2</v>
      </c>
      <c r="E37" s="132" t="str">
        <f>Pricing!N33</f>
        <v>10MM</v>
      </c>
      <c r="F37" s="68">
        <f>Pricing!G33</f>
        <v>3040</v>
      </c>
      <c r="G37" s="68">
        <f>Pricing!H33</f>
        <v>2625</v>
      </c>
      <c r="H37" s="100">
        <f t="shared" si="0"/>
        <v>7.98</v>
      </c>
      <c r="I37" s="70">
        <f>Pricing!I33</f>
        <v>1</v>
      </c>
      <c r="J37" s="69">
        <f t="shared" si="30"/>
        <v>7.98</v>
      </c>
      <c r="K37" s="71">
        <f t="shared" si="31"/>
        <v>85.896720000000002</v>
      </c>
      <c r="L37" s="69"/>
      <c r="M37" s="72"/>
      <c r="N37" s="72"/>
      <c r="O37" s="72">
        <f t="shared" ref="O37:O100" si="79">N37*M37*L37/1000000</f>
        <v>0</v>
      </c>
      <c r="P37" s="73">
        <f>Pricing!M33</f>
        <v>49849.8</v>
      </c>
      <c r="Q37" s="74">
        <f t="shared" si="65"/>
        <v>4984.9800000000005</v>
      </c>
      <c r="R37" s="74">
        <f t="shared" si="66"/>
        <v>6031.8258000000005</v>
      </c>
      <c r="S37" s="74">
        <f t="shared" si="67"/>
        <v>304.33302900000001</v>
      </c>
      <c r="T37" s="74">
        <f t="shared" si="68"/>
        <v>611.70938829000011</v>
      </c>
      <c r="U37" s="72">
        <f t="shared" si="69"/>
        <v>61782.648217290007</v>
      </c>
      <c r="V37" s="74">
        <f t="shared" si="70"/>
        <v>926.73972325935006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12680.220000000001</v>
      </c>
      <c r="AE37" s="76">
        <f t="shared" si="43"/>
        <v>928.68852459016398</v>
      </c>
      <c r="AF37" s="346">
        <f t="shared" si="44"/>
        <v>951.71999999999991</v>
      </c>
      <c r="AG37" s="347"/>
      <c r="AH37" s="76">
        <f t="shared" si="45"/>
        <v>33.99</v>
      </c>
      <c r="AI37" s="76">
        <f t="shared" si="15"/>
        <v>113.3</v>
      </c>
      <c r="AJ37" s="76">
        <f>J37*Pricing!Q33</f>
        <v>4294.8359999999993</v>
      </c>
      <c r="AK37" s="76">
        <f>J37*Pricing!R33</f>
        <v>0</v>
      </c>
      <c r="AL37" s="76">
        <f t="shared" si="16"/>
        <v>8589.6719999999987</v>
      </c>
      <c r="AM37" s="77">
        <f t="shared" si="17"/>
        <v>0</v>
      </c>
      <c r="AN37" s="76">
        <f t="shared" si="18"/>
        <v>8589.6719999999987</v>
      </c>
      <c r="AO37" s="72">
        <f t="shared" si="19"/>
        <v>64737.086465139524</v>
      </c>
      <c r="AP37" s="74">
        <f t="shared" si="20"/>
        <v>80921.358081424405</v>
      </c>
      <c r="AQ37" s="74">
        <f t="shared" si="76"/>
        <v>0</v>
      </c>
      <c r="AR37" s="74">
        <f t="shared" si="22"/>
        <v>18252.937913103247</v>
      </c>
      <c r="AS37" s="72">
        <f t="shared" si="23"/>
        <v>179812.84454656392</v>
      </c>
      <c r="AT37" s="72">
        <f t="shared" si="24"/>
        <v>22532.937913103247</v>
      </c>
      <c r="AU37" s="78">
        <f t="shared" si="77"/>
        <v>2093.3610101359391</v>
      </c>
      <c r="AV37" s="79">
        <f t="shared" si="26"/>
        <v>4.4883053491994382E-2</v>
      </c>
      <c r="AW37" s="80">
        <f t="shared" si="27"/>
        <v>730.0556754733982</v>
      </c>
      <c r="AX37" s="81">
        <f t="shared" si="28"/>
        <v>1363.3053346625409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DOOR</v>
      </c>
      <c r="D38" s="131" t="str">
        <f>Pricing!B34</f>
        <v>W18</v>
      </c>
      <c r="E38" s="132" t="str">
        <f>Pricing!N34</f>
        <v>6MM</v>
      </c>
      <c r="F38" s="68">
        <f>Pricing!G34</f>
        <v>1093</v>
      </c>
      <c r="G38" s="68">
        <f>Pricing!H34</f>
        <v>2025</v>
      </c>
      <c r="H38" s="100">
        <f t="shared" si="0"/>
        <v>2.2133250000000002</v>
      </c>
      <c r="I38" s="70">
        <f>Pricing!I34</f>
        <v>1</v>
      </c>
      <c r="J38" s="69">
        <f t="shared" si="30"/>
        <v>2.2133250000000002</v>
      </c>
      <c r="K38" s="71">
        <f t="shared" si="31"/>
        <v>23.8242303</v>
      </c>
      <c r="L38" s="69"/>
      <c r="M38" s="72"/>
      <c r="N38" s="72"/>
      <c r="O38" s="72">
        <f t="shared" si="79"/>
        <v>0</v>
      </c>
      <c r="P38" s="73">
        <f>Pricing!M34</f>
        <v>32847.25</v>
      </c>
      <c r="Q38" s="74">
        <f t="shared" si="65"/>
        <v>3284.7250000000004</v>
      </c>
      <c r="R38" s="74">
        <f t="shared" si="66"/>
        <v>3974.5172499999999</v>
      </c>
      <c r="S38" s="74">
        <f t="shared" si="67"/>
        <v>200.53246124999998</v>
      </c>
      <c r="T38" s="74">
        <f t="shared" si="68"/>
        <v>403.07024711249994</v>
      </c>
      <c r="U38" s="72">
        <f t="shared" si="69"/>
        <v>40710.09495836249</v>
      </c>
      <c r="V38" s="74">
        <f t="shared" si="70"/>
        <v>610.65142437543727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2217.7516500000002</v>
      </c>
      <c r="AE38" s="76">
        <f t="shared" si="43"/>
        <v>511.14754098360658</v>
      </c>
      <c r="AF38" s="346">
        <f t="shared" si="44"/>
        <v>523.82399999999996</v>
      </c>
      <c r="AG38" s="347"/>
      <c r="AH38" s="76">
        <f t="shared" si="45"/>
        <v>18.707999999999998</v>
      </c>
      <c r="AI38" s="76">
        <f t="shared" si="15"/>
        <v>62.36</v>
      </c>
      <c r="AJ38" s="76">
        <f>J38*Pricing!Q34</f>
        <v>1191.211515</v>
      </c>
      <c r="AK38" s="76">
        <f>J38*Pricing!R34</f>
        <v>0</v>
      </c>
      <c r="AL38" s="76">
        <f t="shared" si="16"/>
        <v>2382.4230299999999</v>
      </c>
      <c r="AM38" s="77">
        <f t="shared" si="17"/>
        <v>0</v>
      </c>
      <c r="AN38" s="76">
        <f t="shared" si="18"/>
        <v>2382.4230299999999</v>
      </c>
      <c r="AO38" s="72">
        <f t="shared" si="19"/>
        <v>42436.785923721531</v>
      </c>
      <c r="AP38" s="74">
        <f t="shared" si="20"/>
        <v>53045.982404651913</v>
      </c>
      <c r="AQ38" s="74">
        <f t="shared" si="76"/>
        <v>0</v>
      </c>
      <c r="AR38" s="74">
        <f t="shared" si="22"/>
        <v>43139.967392214625</v>
      </c>
      <c r="AS38" s="72">
        <f t="shared" si="23"/>
        <v>103656.57755337346</v>
      </c>
      <c r="AT38" s="72">
        <f t="shared" si="24"/>
        <v>46832.967392214632</v>
      </c>
      <c r="AU38" s="78">
        <f t="shared" si="77"/>
        <v>4350.8888324242507</v>
      </c>
      <c r="AV38" s="79">
        <f t="shared" si="26"/>
        <v>1.2448719845885773E-2</v>
      </c>
      <c r="AW38" s="80">
        <f t="shared" si="27"/>
        <v>1734.4000566825416</v>
      </c>
      <c r="AX38" s="81">
        <f t="shared" si="28"/>
        <v>2616.4887757417087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TOP HUNG WINDOW WITH BOTTOM FIXED</v>
      </c>
      <c r="D39" s="131" t="str">
        <f>Pricing!B35</f>
        <v>V6</v>
      </c>
      <c r="E39" s="132" t="str">
        <f>Pricing!N35</f>
        <v>6MM (F)</v>
      </c>
      <c r="F39" s="68">
        <f>Pricing!G35</f>
        <v>900</v>
      </c>
      <c r="G39" s="68">
        <f>Pricing!H35</f>
        <v>2550</v>
      </c>
      <c r="H39" s="100">
        <f t="shared" si="0"/>
        <v>2.2949999999999999</v>
      </c>
      <c r="I39" s="70">
        <f>Pricing!I35</f>
        <v>1</v>
      </c>
      <c r="J39" s="69">
        <f t="shared" si="30"/>
        <v>2.2949999999999999</v>
      </c>
      <c r="K39" s="71">
        <f t="shared" si="31"/>
        <v>24.703379999999999</v>
      </c>
      <c r="L39" s="69"/>
      <c r="M39" s="72"/>
      <c r="N39" s="72"/>
      <c r="O39" s="72">
        <f t="shared" si="79"/>
        <v>0</v>
      </c>
      <c r="P39" s="73">
        <f>Pricing!M35</f>
        <v>16778.45</v>
      </c>
      <c r="Q39" s="74">
        <f t="shared" si="4"/>
        <v>1677.8450000000003</v>
      </c>
      <c r="R39" s="74">
        <f t="shared" si="5"/>
        <v>2030.1924500000002</v>
      </c>
      <c r="S39" s="74">
        <f t="shared" si="6"/>
        <v>102.43243725000001</v>
      </c>
      <c r="T39" s="74">
        <f t="shared" si="7"/>
        <v>205.88919887250003</v>
      </c>
      <c r="U39" s="72">
        <f t="shared" si="8"/>
        <v>20794.809086122503</v>
      </c>
      <c r="V39" s="74">
        <f t="shared" si="9"/>
        <v>311.92213629183755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4596.8850000000002</v>
      </c>
      <c r="AE39" s="76">
        <f t="shared" si="43"/>
        <v>565.57377049180332</v>
      </c>
      <c r="AF39" s="346">
        <f t="shared" si="44"/>
        <v>579.6</v>
      </c>
      <c r="AG39" s="347"/>
      <c r="AH39" s="76">
        <f t="shared" si="45"/>
        <v>20.700000000000003</v>
      </c>
      <c r="AI39" s="76">
        <f t="shared" ref="AI39:AI44" si="80">(((F39+G39)*2*I39)/1000)*2*$AI$7</f>
        <v>69</v>
      </c>
      <c r="AJ39" s="76">
        <f>J39*Pricing!Q35</f>
        <v>0</v>
      </c>
      <c r="AK39" s="76">
        <f>J39*Pricing!R35</f>
        <v>0</v>
      </c>
      <c r="AL39" s="76">
        <f t="shared" si="16"/>
        <v>2470.3379999999997</v>
      </c>
      <c r="AM39" s="77">
        <f t="shared" si="17"/>
        <v>0</v>
      </c>
      <c r="AN39" s="76">
        <f t="shared" si="18"/>
        <v>2470.3379999999997</v>
      </c>
      <c r="AO39" s="72">
        <f t="shared" si="19"/>
        <v>22341.604992906141</v>
      </c>
      <c r="AP39" s="74">
        <f t="shared" si="20"/>
        <v>27927.006241132676</v>
      </c>
      <c r="AQ39" s="74">
        <f t="shared" si="21"/>
        <v>0</v>
      </c>
      <c r="AR39" s="74">
        <f t="shared" si="22"/>
        <v>21903.534306770729</v>
      </c>
      <c r="AS39" s="72">
        <f t="shared" si="23"/>
        <v>59806.172234038815</v>
      </c>
      <c r="AT39" s="72">
        <f t="shared" si="24"/>
        <v>26059.334306770725</v>
      </c>
      <c r="AU39" s="78">
        <f t="shared" si="25"/>
        <v>2420.9712287969833</v>
      </c>
      <c r="AV39" s="79">
        <f t="shared" si="26"/>
        <v>1.2908096211043498E-2</v>
      </c>
      <c r="AW39" s="80">
        <f t="shared" si="27"/>
        <v>854.40661247223409</v>
      </c>
      <c r="AX39" s="81">
        <f t="shared" si="28"/>
        <v>1566.5646163247493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TOP HUNG WINDOW WITH BOTTOM FIXED</v>
      </c>
      <c r="D40" s="131" t="str">
        <f>Pricing!B36</f>
        <v>V7</v>
      </c>
      <c r="E40" s="132" t="str">
        <f>Pricing!N36</f>
        <v>6MM (F)</v>
      </c>
      <c r="F40" s="68">
        <f>Pricing!G36</f>
        <v>640</v>
      </c>
      <c r="G40" s="68">
        <f>Pricing!H36</f>
        <v>2550</v>
      </c>
      <c r="H40" s="100">
        <f t="shared" si="0"/>
        <v>1.6319999999999999</v>
      </c>
      <c r="I40" s="70">
        <f>Pricing!I36</f>
        <v>1</v>
      </c>
      <c r="J40" s="69">
        <f t="shared" si="30"/>
        <v>1.6319999999999999</v>
      </c>
      <c r="K40" s="71">
        <f t="shared" si="31"/>
        <v>17.566847999999997</v>
      </c>
      <c r="L40" s="69"/>
      <c r="M40" s="72"/>
      <c r="N40" s="72"/>
      <c r="O40" s="72">
        <f t="shared" si="79"/>
        <v>0</v>
      </c>
      <c r="P40" s="73">
        <f>Pricing!M36</f>
        <v>15385.710000000001</v>
      </c>
      <c r="Q40" s="74">
        <f t="shared" si="4"/>
        <v>1538.5710000000001</v>
      </c>
      <c r="R40" s="74">
        <f t="shared" si="5"/>
        <v>1861.6709100000003</v>
      </c>
      <c r="S40" s="74">
        <f t="shared" si="6"/>
        <v>93.929759550000014</v>
      </c>
      <c r="T40" s="74">
        <f t="shared" si="7"/>
        <v>188.79881669550002</v>
      </c>
      <c r="U40" s="72">
        <f t="shared" si="8"/>
        <v>19068.680486245503</v>
      </c>
      <c r="V40" s="74">
        <f t="shared" si="9"/>
        <v>286.03020729368251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3268.8959999999997</v>
      </c>
      <c r="AE40" s="76">
        <f t="shared" si="43"/>
        <v>522.95081967213116</v>
      </c>
      <c r="AF40" s="346">
        <f t="shared" si="44"/>
        <v>535.92000000000007</v>
      </c>
      <c r="AG40" s="347"/>
      <c r="AH40" s="76">
        <f t="shared" si="45"/>
        <v>19.14</v>
      </c>
      <c r="AI40" s="76">
        <f t="shared" si="80"/>
        <v>63.8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1756.6847999999998</v>
      </c>
      <c r="AM40" s="77">
        <f t="shared" ref="AM40:AM89" si="82">$AM$6*J40</f>
        <v>0</v>
      </c>
      <c r="AN40" s="76">
        <f t="shared" ref="AN40:AN89" si="83">$AN$6*J40</f>
        <v>1756.6847999999998</v>
      </c>
      <c r="AO40" s="72">
        <f t="shared" ref="AO40:AO89" si="84">SUM(U40:V40)+SUM(AC40:AI40)-AD40</f>
        <v>20496.521513211315</v>
      </c>
      <c r="AP40" s="74">
        <f t="shared" ref="AP40:AP89" si="85">AO40*$AP$6</f>
        <v>25620.651891514142</v>
      </c>
      <c r="AQ40" s="74">
        <f t="shared" si="21"/>
        <v>0</v>
      </c>
      <c r="AR40" s="74">
        <f t="shared" ref="AR40:AR57" si="86">SUM(AO40:AQ40)/J40</f>
        <v>28258.071939170011</v>
      </c>
      <c r="AS40" s="72">
        <f t="shared" ref="AS40:AS57" si="87">SUM(AJ40:AQ40)+AD40+AB40</f>
        <v>52899.439004725456</v>
      </c>
      <c r="AT40" s="72">
        <f t="shared" ref="AT40:AT89" si="88">AS40/J40</f>
        <v>32413.871939170011</v>
      </c>
      <c r="AU40" s="78">
        <f t="shared" si="25"/>
        <v>3011.3221794100718</v>
      </c>
      <c r="AV40" s="79">
        <f t="shared" ref="AV40:AV71" si="89">K40/$K$109</f>
        <v>9.1790906389642626E-3</v>
      </c>
      <c r="AW40" s="80">
        <f t="shared" ref="AW40:AW89" si="90">(U40+V40)/(J40*10.764)</f>
        <v>1101.7748143286258</v>
      </c>
      <c r="AX40" s="81">
        <f t="shared" ref="AX40:AX89" si="91">SUM(W40:AN40,AP40)/(J40*10.764)</f>
        <v>1909.5473650814467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2 TRACK 2 SHUTTER SLIDING DOOR</v>
      </c>
      <c r="D41" s="131" t="str">
        <f>Pricing!B37</f>
        <v>SDW4</v>
      </c>
      <c r="E41" s="132" t="str">
        <f>Pricing!N37</f>
        <v>10MM</v>
      </c>
      <c r="F41" s="68">
        <f>Pricing!G37</f>
        <v>4160</v>
      </c>
      <c r="G41" s="68">
        <f>Pricing!H37</f>
        <v>2440</v>
      </c>
      <c r="H41" s="100">
        <f t="shared" si="0"/>
        <v>10.150399999999999</v>
      </c>
      <c r="I41" s="70">
        <f>Pricing!I37</f>
        <v>1</v>
      </c>
      <c r="J41" s="69">
        <f t="shared" si="30"/>
        <v>10.150399999999999</v>
      </c>
      <c r="K41" s="71">
        <f t="shared" si="31"/>
        <v>109.25890559999999</v>
      </c>
      <c r="L41" s="69"/>
      <c r="M41" s="72"/>
      <c r="N41" s="72"/>
      <c r="O41" s="72">
        <f t="shared" si="79"/>
        <v>0</v>
      </c>
      <c r="P41" s="73">
        <f>Pricing!M37</f>
        <v>76535.960000000006</v>
      </c>
      <c r="Q41" s="74">
        <f t="shared" si="4"/>
        <v>7653.5960000000014</v>
      </c>
      <c r="R41" s="74">
        <f t="shared" si="5"/>
        <v>9260.851160000002</v>
      </c>
      <c r="S41" s="74">
        <f t="shared" si="6"/>
        <v>467.2520358000001</v>
      </c>
      <c r="T41" s="74">
        <f t="shared" si="7"/>
        <v>939.17659195800024</v>
      </c>
      <c r="U41" s="72">
        <f t="shared" si="8"/>
        <v>94856.835787758027</v>
      </c>
      <c r="V41" s="74">
        <f t="shared" si="9"/>
        <v>1422.8525368163703</v>
      </c>
      <c r="W41" s="73">
        <f>Pricing!S37*I41</f>
        <v>5000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5000</v>
      </c>
      <c r="AC41" s="75">
        <v>0</v>
      </c>
      <c r="AD41" s="101">
        <f>(J41*Pricing!O37)+(O41*Pricing!P37)</f>
        <v>16128.9856</v>
      </c>
      <c r="AE41" s="76">
        <f t="shared" si="43"/>
        <v>1081.967213114754</v>
      </c>
      <c r="AF41" s="346">
        <f t="shared" si="44"/>
        <v>1108.8</v>
      </c>
      <c r="AG41" s="347"/>
      <c r="AH41" s="76">
        <f t="shared" si="45"/>
        <v>39.599999999999994</v>
      </c>
      <c r="AI41" s="76">
        <f t="shared" si="80"/>
        <v>132</v>
      </c>
      <c r="AJ41" s="76">
        <f>J41*Pricing!Q37</f>
        <v>0</v>
      </c>
      <c r="AK41" s="76">
        <f>J41*Pricing!R37</f>
        <v>98333.015039999984</v>
      </c>
      <c r="AL41" s="76">
        <f t="shared" si="81"/>
        <v>10925.890559999998</v>
      </c>
      <c r="AM41" s="77">
        <f t="shared" si="82"/>
        <v>0</v>
      </c>
      <c r="AN41" s="76">
        <f t="shared" si="83"/>
        <v>10925.890559999998</v>
      </c>
      <c r="AO41" s="72">
        <f t="shared" si="84"/>
        <v>98642.055537689143</v>
      </c>
      <c r="AP41" s="74">
        <f t="shared" si="85"/>
        <v>123302.56942211142</v>
      </c>
      <c r="AQ41" s="74">
        <f t="shared" si="21"/>
        <v>0</v>
      </c>
      <c r="AR41" s="74">
        <f t="shared" si="86"/>
        <v>21865.603814608348</v>
      </c>
      <c r="AS41" s="72">
        <f t="shared" si="87"/>
        <v>363258.40671980055</v>
      </c>
      <c r="AT41" s="72">
        <f t="shared" si="88"/>
        <v>35787.595239576818</v>
      </c>
      <c r="AU41" s="78">
        <f t="shared" si="25"/>
        <v>3324.7487216254945</v>
      </c>
      <c r="AV41" s="79">
        <f t="shared" si="89"/>
        <v>5.7090344130969896E-2</v>
      </c>
      <c r="AW41" s="80">
        <f t="shared" si="90"/>
        <v>881.20677940027258</v>
      </c>
      <c r="AX41" s="81">
        <f t="shared" si="91"/>
        <v>2489.3048022185772</v>
      </c>
      <c r="AY41" s="82"/>
      <c r="AZ41" s="83">
        <f t="shared" si="29"/>
        <v>-45.762859993355505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3 TRACK 2 SHUTTER SLIDING DOOR</v>
      </c>
      <c r="D42" s="131" t="str">
        <f>Pricing!B38</f>
        <v>SD2</v>
      </c>
      <c r="E42" s="132" t="str">
        <f>Pricing!N38</f>
        <v>6MM</v>
      </c>
      <c r="F42" s="68">
        <f>Pricing!G38</f>
        <v>1960</v>
      </c>
      <c r="G42" s="68">
        <f>Pricing!H38</f>
        <v>2551</v>
      </c>
      <c r="H42" s="100">
        <f t="shared" si="0"/>
        <v>4.9999599999999997</v>
      </c>
      <c r="I42" s="70">
        <f>Pricing!I38</f>
        <v>1</v>
      </c>
      <c r="J42" s="69">
        <f t="shared" si="30"/>
        <v>4.9999599999999997</v>
      </c>
      <c r="K42" s="71">
        <f t="shared" si="31"/>
        <v>53.819569439999995</v>
      </c>
      <c r="L42" s="69"/>
      <c r="M42" s="72"/>
      <c r="N42" s="72"/>
      <c r="O42" s="72">
        <f t="shared" si="79"/>
        <v>0</v>
      </c>
      <c r="P42" s="73">
        <f>Pricing!M38</f>
        <v>42859.54</v>
      </c>
      <c r="Q42" s="74">
        <f t="shared" si="4"/>
        <v>4285.9540000000006</v>
      </c>
      <c r="R42" s="74">
        <f t="shared" si="5"/>
        <v>5186.0043399999995</v>
      </c>
      <c r="S42" s="74">
        <f t="shared" si="6"/>
        <v>261.65749169999998</v>
      </c>
      <c r="T42" s="74">
        <f t="shared" si="7"/>
        <v>525.93155831700005</v>
      </c>
      <c r="U42" s="72">
        <f t="shared" si="8"/>
        <v>53119.087390017005</v>
      </c>
      <c r="V42" s="74">
        <f t="shared" si="9"/>
        <v>796.78631085025506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5009.9599199999993</v>
      </c>
      <c r="AE42" s="76">
        <f t="shared" si="43"/>
        <v>739.50819672131149</v>
      </c>
      <c r="AF42" s="346">
        <f t="shared" si="44"/>
        <v>757.84800000000007</v>
      </c>
      <c r="AG42" s="347"/>
      <c r="AH42" s="76">
        <f t="shared" si="45"/>
        <v>27.066000000000003</v>
      </c>
      <c r="AI42" s="76">
        <f t="shared" si="80"/>
        <v>90.22</v>
      </c>
      <c r="AJ42" s="76">
        <f>J42*Pricing!Q38</f>
        <v>2690.9784719999993</v>
      </c>
      <c r="AK42" s="76">
        <f>J42*Pricing!R38</f>
        <v>0</v>
      </c>
      <c r="AL42" s="76">
        <f t="shared" si="81"/>
        <v>5381.9569439999987</v>
      </c>
      <c r="AM42" s="77">
        <f t="shared" si="82"/>
        <v>0</v>
      </c>
      <c r="AN42" s="76">
        <f t="shared" si="83"/>
        <v>5381.9569439999987</v>
      </c>
      <c r="AO42" s="72">
        <f t="shared" si="84"/>
        <v>55530.515897588572</v>
      </c>
      <c r="AP42" s="74">
        <f t="shared" si="85"/>
        <v>69413.144871985714</v>
      </c>
      <c r="AQ42" s="74">
        <f t="shared" si="21"/>
        <v>0</v>
      </c>
      <c r="AR42" s="74">
        <f t="shared" si="86"/>
        <v>24988.93206537138</v>
      </c>
      <c r="AS42" s="72">
        <f t="shared" si="87"/>
        <v>143408.51304957428</v>
      </c>
      <c r="AT42" s="72">
        <f t="shared" si="88"/>
        <v>28681.93206537138</v>
      </c>
      <c r="AU42" s="78">
        <f t="shared" si="25"/>
        <v>2664.6165055157358</v>
      </c>
      <c r="AV42" s="79">
        <f t="shared" si="89"/>
        <v>2.8121988989703285E-2</v>
      </c>
      <c r="AW42" s="80">
        <f t="shared" si="90"/>
        <v>1001.7893911428375</v>
      </c>
      <c r="AX42" s="81">
        <f t="shared" si="91"/>
        <v>1662.8271143728984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170.88451499999991</v>
      </c>
      <c r="I109" s="87">
        <f>SUM(I8:I108)</f>
        <v>39</v>
      </c>
      <c r="J109" s="88">
        <f>SUM(J8:J108)</f>
        <v>177.79538999999991</v>
      </c>
      <c r="K109" s="89">
        <f>SUM(K8:K108)</f>
        <v>1913.7895779599992</v>
      </c>
      <c r="L109" s="88">
        <f>SUM(L8:L8)</f>
        <v>0</v>
      </c>
      <c r="M109" s="88"/>
      <c r="N109" s="88"/>
      <c r="O109" s="88"/>
      <c r="P109" s="87">
        <f>SUM(P8:P108)</f>
        <v>1371384.0999999999</v>
      </c>
      <c r="Q109" s="88">
        <f t="shared" ref="Q109:AE109" si="156">SUM(Q8:Q108)</f>
        <v>137138.40999999997</v>
      </c>
      <c r="R109" s="88">
        <f t="shared" si="156"/>
        <v>165937.47609999997</v>
      </c>
      <c r="S109" s="88">
        <f t="shared" si="156"/>
        <v>8372.2999305000012</v>
      </c>
      <c r="T109" s="88">
        <f t="shared" si="156"/>
        <v>16828.322860305001</v>
      </c>
      <c r="U109" s="88">
        <f t="shared" si="156"/>
        <v>1699660.6088908052</v>
      </c>
      <c r="V109" s="88">
        <f t="shared" si="156"/>
        <v>25494.909133362071</v>
      </c>
      <c r="W109" s="87">
        <f t="shared" si="156"/>
        <v>20000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20000</v>
      </c>
      <c r="AC109" s="88">
        <f t="shared" si="156"/>
        <v>0</v>
      </c>
      <c r="AD109" s="88">
        <f t="shared" si="156"/>
        <v>267073.48581500002</v>
      </c>
      <c r="AE109" s="88">
        <f t="shared" si="156"/>
        <v>26969.999999999993</v>
      </c>
      <c r="AF109" s="407">
        <f>SUM(AF8:AG108)</f>
        <v>27638.856</v>
      </c>
      <c r="AG109" s="408"/>
      <c r="AH109" s="88">
        <f t="shared" ref="AH109:AQ109" si="157">SUM(AH8:AH108)</f>
        <v>987.10200000000009</v>
      </c>
      <c r="AI109" s="88">
        <f t="shared" si="157"/>
        <v>3290.3400000000006</v>
      </c>
      <c r="AJ109" s="88">
        <f t="shared" ref="AJ109" si="158">SUM(AJ8:AJ108)</f>
        <v>47364.040737000003</v>
      </c>
      <c r="AK109" s="88">
        <f t="shared" si="157"/>
        <v>302390.19953999994</v>
      </c>
      <c r="AL109" s="88">
        <f t="shared" si="157"/>
        <v>191378.95779599994</v>
      </c>
      <c r="AM109" s="88">
        <f t="shared" si="157"/>
        <v>0</v>
      </c>
      <c r="AN109" s="88">
        <f t="shared" si="157"/>
        <v>191378.95779599994</v>
      </c>
      <c r="AO109" s="88">
        <f t="shared" si="157"/>
        <v>1784041.8160241675</v>
      </c>
      <c r="AP109" s="88">
        <f t="shared" si="157"/>
        <v>2230052.2700302089</v>
      </c>
      <c r="AQ109" s="88">
        <f t="shared" si="157"/>
        <v>0</v>
      </c>
      <c r="AR109" s="88"/>
      <c r="AS109" s="87">
        <f>SUM(AS8:AS108)</f>
        <v>5033679.7277383767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27638.856</v>
      </c>
      <c r="AW110" s="84"/>
    </row>
    <row r="111" spans="2:54">
      <c r="AF111" s="174"/>
      <c r="AG111" s="174"/>
      <c r="AH111" s="174">
        <f>SUM(AE109:AI109,AC109)</f>
        <v>58886.297999999995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7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7"/>
      <c r="C6" s="448"/>
      <c r="D6" s="448"/>
      <c r="E6" s="448"/>
      <c r="F6" s="448"/>
      <c r="G6" s="448"/>
      <c r="H6" s="448"/>
      <c r="I6" s="448"/>
      <c r="J6" s="449"/>
      <c r="K6" s="454" t="s">
        <v>103</v>
      </c>
      <c r="L6" s="455"/>
      <c r="M6" s="450" t="str">
        <f>'BD Team'!J2</f>
        <v>ABPL-DE-19.20-2207</v>
      </c>
      <c r="N6" s="451"/>
    </row>
    <row r="7" spans="2:15" ht="24.95" customHeight="1">
      <c r="B7" s="430" t="s">
        <v>126</v>
      </c>
      <c r="C7" s="431"/>
      <c r="D7" s="431"/>
      <c r="E7" s="431"/>
      <c r="F7" s="463" t="str">
        <f>'BD Team'!E2</f>
        <v>Mr. Harsha Tambi  Residence</v>
      </c>
      <c r="G7" s="463"/>
      <c r="H7" s="463"/>
      <c r="I7" s="463"/>
      <c r="J7" s="464"/>
      <c r="K7" s="439" t="s">
        <v>104</v>
      </c>
      <c r="L7" s="431"/>
      <c r="M7" s="436">
        <f>'BD Team'!J3</f>
        <v>43738</v>
      </c>
      <c r="N7" s="437"/>
    </row>
    <row r="8" spans="2:15" ht="24.95" customHeight="1">
      <c r="B8" s="430" t="s">
        <v>127</v>
      </c>
      <c r="C8" s="431"/>
      <c r="D8" s="431"/>
      <c r="E8" s="431"/>
      <c r="F8" s="215" t="str">
        <f>'BD Team'!E3</f>
        <v>Bangalore</v>
      </c>
      <c r="G8" s="465" t="s">
        <v>179</v>
      </c>
      <c r="H8" s="466"/>
      <c r="I8" s="463" t="str">
        <f>'BD Team'!G3</f>
        <v>1.4Kpa</v>
      </c>
      <c r="J8" s="464"/>
      <c r="K8" s="439" t="s">
        <v>105</v>
      </c>
      <c r="L8" s="431"/>
      <c r="M8" s="178" t="s">
        <v>364</v>
      </c>
      <c r="N8" s="179">
        <v>43738</v>
      </c>
    </row>
    <row r="9" spans="2:15" ht="24.95" customHeight="1">
      <c r="B9" s="430" t="s">
        <v>168</v>
      </c>
      <c r="C9" s="431"/>
      <c r="D9" s="431"/>
      <c r="E9" s="431"/>
      <c r="F9" s="463" t="str">
        <f>'BD Team'!E4</f>
        <v>Mr. Prasanth : 9591855724</v>
      </c>
      <c r="G9" s="463"/>
      <c r="H9" s="463"/>
      <c r="I9" s="463"/>
      <c r="J9" s="464"/>
      <c r="K9" s="439" t="s">
        <v>178</v>
      </c>
      <c r="L9" s="431"/>
      <c r="M9" s="452" t="str">
        <f>'BD Team'!J4</f>
        <v>Bal Kumari</v>
      </c>
      <c r="N9" s="453"/>
    </row>
    <row r="10" spans="2:15" ht="27.75" customHeight="1" thickBot="1">
      <c r="B10" s="432" t="s">
        <v>176</v>
      </c>
      <c r="C10" s="433"/>
      <c r="D10" s="433"/>
      <c r="E10" s="433"/>
      <c r="F10" s="217" t="str">
        <f>'BD Team'!E5</f>
        <v>Wood Effect</v>
      </c>
      <c r="G10" s="444" t="s">
        <v>177</v>
      </c>
      <c r="H10" s="445"/>
      <c r="I10" s="442" t="str">
        <f>'BD Team'!G5</f>
        <v>Black</v>
      </c>
      <c r="J10" s="443"/>
      <c r="K10" s="440" t="s">
        <v>374</v>
      </c>
      <c r="L10" s="441"/>
      <c r="M10" s="434">
        <f>'BD Team'!J5</f>
        <v>0</v>
      </c>
      <c r="N10" s="435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7" t="s">
        <v>169</v>
      </c>
      <c r="C13" s="468"/>
      <c r="D13" s="438" t="s">
        <v>170</v>
      </c>
      <c r="E13" s="438" t="s">
        <v>171</v>
      </c>
      <c r="F13" s="438" t="s">
        <v>37</v>
      </c>
      <c r="G13" s="446" t="s">
        <v>63</v>
      </c>
      <c r="H13" s="446" t="s">
        <v>209</v>
      </c>
      <c r="I13" s="446" t="s">
        <v>208</v>
      </c>
      <c r="J13" s="469" t="s">
        <v>172</v>
      </c>
      <c r="K13" s="469" t="s">
        <v>173</v>
      </c>
      <c r="L13" s="468" t="s">
        <v>210</v>
      </c>
      <c r="M13" s="469" t="s">
        <v>174</v>
      </c>
      <c r="N13" s="470" t="s">
        <v>175</v>
      </c>
    </row>
    <row r="14" spans="2:15" s="94" customFormat="1" ht="18" customHeight="1" thickTop="1" thickBot="1">
      <c r="B14" s="467"/>
      <c r="C14" s="468"/>
      <c r="D14" s="438"/>
      <c r="E14" s="438"/>
      <c r="F14" s="438"/>
      <c r="G14" s="446"/>
      <c r="H14" s="446"/>
      <c r="I14" s="446"/>
      <c r="J14" s="469"/>
      <c r="K14" s="469"/>
      <c r="L14" s="468"/>
      <c r="M14" s="469"/>
      <c r="N14" s="470"/>
    </row>
    <row r="15" spans="2:15" s="94" customFormat="1" ht="26.25" customHeight="1" thickTop="1" thickBot="1">
      <c r="B15" s="467"/>
      <c r="C15" s="468"/>
      <c r="D15" s="438"/>
      <c r="E15" s="438"/>
      <c r="F15" s="438"/>
      <c r="G15" s="446"/>
      <c r="H15" s="446"/>
      <c r="I15" s="446"/>
      <c r="J15" s="469"/>
      <c r="K15" s="469"/>
      <c r="L15" s="468"/>
      <c r="M15" s="469"/>
      <c r="N15" s="470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W02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GF - SERVANT ROOM</v>
      </c>
      <c r="I16" s="216" t="str">
        <f>Pricing!E4</f>
        <v>SS</v>
      </c>
      <c r="J16" s="216">
        <f>Pricing!G4</f>
        <v>1325</v>
      </c>
      <c r="K16" s="216">
        <f>Pricing!H4</f>
        <v>1035</v>
      </c>
      <c r="L16" s="216">
        <f>Pricing!I4</f>
        <v>1</v>
      </c>
      <c r="M16" s="188">
        <f t="shared" ref="M16:M24" si="0">J16*K16*L16/1000000</f>
        <v>1.371375</v>
      </c>
      <c r="N16" s="189">
        <f>'Cost Calculation'!AS8</f>
        <v>48856.995518284028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W03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GF - MUSIC ROOM</v>
      </c>
      <c r="I17" s="216" t="str">
        <f>Pricing!E5</f>
        <v>SS</v>
      </c>
      <c r="J17" s="216">
        <f>Pricing!G5</f>
        <v>2185</v>
      </c>
      <c r="K17" s="216">
        <f>Pricing!H5</f>
        <v>2325</v>
      </c>
      <c r="L17" s="216">
        <f>Pricing!I5</f>
        <v>1</v>
      </c>
      <c r="M17" s="188">
        <f t="shared" si="0"/>
        <v>5.0801249999999998</v>
      </c>
      <c r="N17" s="189">
        <f>'Cost Calculation'!AS9</f>
        <v>144289.87078829619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W4S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GF - MULTI PURPOSE ROOM</v>
      </c>
      <c r="I18" s="216" t="str">
        <f>Pricing!E6</f>
        <v>SS</v>
      </c>
      <c r="J18" s="216">
        <f>Pricing!G6</f>
        <v>1385</v>
      </c>
      <c r="K18" s="216">
        <f>Pricing!H6</f>
        <v>1575</v>
      </c>
      <c r="L18" s="216">
        <f>Pricing!I6</f>
        <v>1</v>
      </c>
      <c r="M18" s="188">
        <f t="shared" si="0"/>
        <v>2.1813750000000001</v>
      </c>
      <c r="N18" s="189">
        <f>'Cost Calculation'!AS10</f>
        <v>63333.087832564721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V1</v>
      </c>
      <c r="E19" s="187" t="str">
        <f>Pricing!C7</f>
        <v>M940</v>
      </c>
      <c r="F19" s="187" t="str">
        <f>Pricing!D7</f>
        <v>TOP HUNG WINDOW WITH TOP FIXED</v>
      </c>
      <c r="G19" s="187" t="str">
        <f>Pricing!N7</f>
        <v>6MM (F)</v>
      </c>
      <c r="H19" s="187" t="str">
        <f>Pricing!F7</f>
        <v>GF - SERVANT ROOM TOILET</v>
      </c>
      <c r="I19" s="216" t="str">
        <f>Pricing!E7</f>
        <v>NO</v>
      </c>
      <c r="J19" s="216">
        <f>Pricing!G7</f>
        <v>875</v>
      </c>
      <c r="K19" s="216">
        <f>Pricing!H7</f>
        <v>2100</v>
      </c>
      <c r="L19" s="216">
        <f>Pricing!I7</f>
        <v>1</v>
      </c>
      <c r="M19" s="188">
        <f t="shared" si="0"/>
        <v>1.8374999999999999</v>
      </c>
      <c r="N19" s="189">
        <f>'Cost Calculation'!AS11</f>
        <v>55473.80287878729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W4</v>
      </c>
      <c r="E20" s="187" t="str">
        <f>Pricing!C8</f>
        <v>M14600</v>
      </c>
      <c r="F20" s="187" t="str">
        <f>Pricing!D8</f>
        <v>3 TRACK 2 SHUTTER SLIDING DOOR</v>
      </c>
      <c r="G20" s="187" t="str">
        <f>Pricing!N8</f>
        <v>6MM</v>
      </c>
      <c r="H20" s="187" t="str">
        <f>Pricing!F8</f>
        <v>1F - LIVING ROOM</v>
      </c>
      <c r="I20" s="216" t="str">
        <f>Pricing!E8</f>
        <v>SS</v>
      </c>
      <c r="J20" s="216">
        <f>Pricing!G8</f>
        <v>1280</v>
      </c>
      <c r="K20" s="216">
        <f>Pricing!H8</f>
        <v>2025</v>
      </c>
      <c r="L20" s="216">
        <f>Pricing!I8</f>
        <v>1</v>
      </c>
      <c r="M20" s="188">
        <f t="shared" si="0"/>
        <v>2.5920000000000001</v>
      </c>
      <c r="N20" s="189">
        <f>'Cost Calculation'!AS12</f>
        <v>108506.32541515031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SDW1</v>
      </c>
      <c r="E21" s="187" t="str">
        <f>Pricing!C9</f>
        <v>M12500</v>
      </c>
      <c r="F21" s="187" t="str">
        <f>Pricing!D9</f>
        <v>2 TRACK 2 SHUTTER SLIDING DOOR</v>
      </c>
      <c r="G21" s="187" t="str">
        <f>Pricing!N9</f>
        <v>10MM</v>
      </c>
      <c r="H21" s="187" t="str">
        <f>Pricing!F9</f>
        <v>1F - LIVING ROOM</v>
      </c>
      <c r="I21" s="216" t="str">
        <f>Pricing!E9</f>
        <v>RETRACTABLE</v>
      </c>
      <c r="J21" s="216">
        <f>Pricing!G9</f>
        <v>3640</v>
      </c>
      <c r="K21" s="216">
        <f>Pricing!H9</f>
        <v>2625</v>
      </c>
      <c r="L21" s="216">
        <f>Pricing!I9</f>
        <v>1</v>
      </c>
      <c r="M21" s="188">
        <f t="shared" si="0"/>
        <v>9.5549999999999997</v>
      </c>
      <c r="N21" s="189">
        <f>'Cost Calculation'!AS13</f>
        <v>355641.1426574433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V3</v>
      </c>
      <c r="E22" s="187" t="str">
        <f>Pricing!C10</f>
        <v>M940</v>
      </c>
      <c r="F22" s="187" t="str">
        <f>Pricing!D10</f>
        <v>TOP HUNG WINDOW WITH BOTTOM FIXED</v>
      </c>
      <c r="G22" s="187" t="str">
        <f>Pricing!N10</f>
        <v>6MM (F)</v>
      </c>
      <c r="H22" s="187" t="str">
        <f>Pricing!F10</f>
        <v>1F &amp; 2F - DINING ROOM TOILET</v>
      </c>
      <c r="I22" s="216" t="str">
        <f>Pricing!E10</f>
        <v>NO</v>
      </c>
      <c r="J22" s="216">
        <f>Pricing!G10</f>
        <v>625</v>
      </c>
      <c r="K22" s="216">
        <f>Pricing!H10</f>
        <v>2325</v>
      </c>
      <c r="L22" s="216">
        <f>Pricing!I10</f>
        <v>2</v>
      </c>
      <c r="M22" s="188">
        <f t="shared" si="0"/>
        <v>2.90625</v>
      </c>
      <c r="N22" s="189">
        <f>'Cost Calculation'!AS14</f>
        <v>97812.815606596472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SFW1</v>
      </c>
      <c r="E23" s="187" t="str">
        <f>Pricing!C11</f>
        <v>M9800</v>
      </c>
      <c r="F23" s="187" t="str">
        <f>Pricing!D11</f>
        <v>5 LEAF SLIDE &amp; FOLD DOOR</v>
      </c>
      <c r="G23" s="187" t="str">
        <f>Pricing!N11</f>
        <v>10MM</v>
      </c>
      <c r="H23" s="187" t="str">
        <f>Pricing!F11</f>
        <v>1F - BEDROOM</v>
      </c>
      <c r="I23" s="216" t="str">
        <f>Pricing!E11</f>
        <v>NO</v>
      </c>
      <c r="J23" s="216">
        <f>Pricing!G11</f>
        <v>4880</v>
      </c>
      <c r="K23" s="216">
        <f>Pricing!H11</f>
        <v>2931</v>
      </c>
      <c r="L23" s="216">
        <f>Pricing!I11</f>
        <v>1</v>
      </c>
      <c r="M23" s="188">
        <f t="shared" si="0"/>
        <v>14.303280000000001</v>
      </c>
      <c r="N23" s="189">
        <f>'Cost Calculation'!AS15</f>
        <v>328788.31992211123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W6</v>
      </c>
      <c r="E24" s="187" t="str">
        <f>Pricing!C12</f>
        <v>M940</v>
      </c>
      <c r="F24" s="187" t="str">
        <f>Pricing!D12</f>
        <v>SIDE HUNG WINDOW</v>
      </c>
      <c r="G24" s="187" t="str">
        <f>Pricing!N12</f>
        <v>6MM</v>
      </c>
      <c r="H24" s="187" t="str">
        <f>Pricing!F12</f>
        <v>1F - BEDROOM DRESS</v>
      </c>
      <c r="I24" s="216" t="str">
        <f>Pricing!E12</f>
        <v>RETRACTABLE</v>
      </c>
      <c r="J24" s="216">
        <f>Pricing!G12</f>
        <v>900</v>
      </c>
      <c r="K24" s="216">
        <f>Pricing!H12</f>
        <v>1875</v>
      </c>
      <c r="L24" s="216">
        <f>Pricing!I12</f>
        <v>1</v>
      </c>
      <c r="M24" s="188">
        <f t="shared" si="0"/>
        <v>1.6875</v>
      </c>
      <c r="N24" s="189">
        <f>'Cost Calculation'!AS16</f>
        <v>70583.706857141166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W5</v>
      </c>
      <c r="E25" s="187" t="str">
        <f>Pricing!C13</f>
        <v>M940</v>
      </c>
      <c r="F25" s="187" t="str">
        <f>Pricing!D13</f>
        <v>FIXED GLASS</v>
      </c>
      <c r="G25" s="187" t="str">
        <f>Pricing!N13</f>
        <v>6MM</v>
      </c>
      <c r="H25" s="187" t="str">
        <f>Pricing!F13</f>
        <v>1F - BEDROOM</v>
      </c>
      <c r="I25" s="216" t="str">
        <f>Pricing!E13</f>
        <v>NO</v>
      </c>
      <c r="J25" s="216">
        <f>Pricing!G13</f>
        <v>750</v>
      </c>
      <c r="K25" s="216">
        <f>Pricing!H13</f>
        <v>1875</v>
      </c>
      <c r="L25" s="216">
        <f>Pricing!I13</f>
        <v>1</v>
      </c>
      <c r="M25" s="188">
        <f t="shared" ref="M25:M42" si="1">J25*K25*L25/1000000</f>
        <v>1.40625</v>
      </c>
      <c r="N25" s="189">
        <f>'Cost Calculation'!AS17</f>
        <v>16494.874786049855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V2</v>
      </c>
      <c r="E26" s="187" t="str">
        <f>Pricing!C14</f>
        <v>M940</v>
      </c>
      <c r="F26" s="187" t="str">
        <f>Pricing!D14</f>
        <v>TOP HUNG WINDOW WITH BOTTOM FIXED</v>
      </c>
      <c r="G26" s="187" t="str">
        <f>Pricing!N14</f>
        <v>6MM (F)</v>
      </c>
      <c r="H26" s="187" t="str">
        <f>Pricing!F14</f>
        <v>1F &amp; 3F - BEDROOM TOILET</v>
      </c>
      <c r="I26" s="216" t="str">
        <f>Pricing!E14</f>
        <v>NO</v>
      </c>
      <c r="J26" s="216">
        <f>Pricing!G14</f>
        <v>640</v>
      </c>
      <c r="K26" s="216">
        <f>Pricing!H14</f>
        <v>2325</v>
      </c>
      <c r="L26" s="216">
        <f>Pricing!I14</f>
        <v>2</v>
      </c>
      <c r="M26" s="188">
        <f t="shared" si="1"/>
        <v>2.976</v>
      </c>
      <c r="N26" s="189">
        <f>'Cost Calculation'!AS18</f>
        <v>95636.635267692807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W7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6MM</v>
      </c>
      <c r="H27" s="187" t="str">
        <f>Pricing!F15</f>
        <v>1F - FOYER</v>
      </c>
      <c r="I27" s="216" t="str">
        <f>Pricing!E15</f>
        <v>SS</v>
      </c>
      <c r="J27" s="216">
        <f>Pricing!G15</f>
        <v>2115</v>
      </c>
      <c r="K27" s="216">
        <f>Pricing!H15</f>
        <v>2400</v>
      </c>
      <c r="L27" s="216">
        <f>Pricing!I15</f>
        <v>1</v>
      </c>
      <c r="M27" s="188">
        <f t="shared" si="1"/>
        <v>5.0759999999999996</v>
      </c>
      <c r="N27" s="189">
        <f>'Cost Calculation'!AS19</f>
        <v>142687.06998316076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W8</v>
      </c>
      <c r="E28" s="187" t="str">
        <f>Pricing!C16</f>
        <v>M14600</v>
      </c>
      <c r="F28" s="187" t="str">
        <f>Pricing!D16</f>
        <v>3 TRACK 2 SHUTTER SLIDING WINDOW</v>
      </c>
      <c r="G28" s="187" t="str">
        <f>Pricing!N16</f>
        <v>6MM</v>
      </c>
      <c r="H28" s="187" t="str">
        <f>Pricing!F16</f>
        <v>1F - DINING</v>
      </c>
      <c r="I28" s="216" t="str">
        <f>Pricing!E16</f>
        <v>SS</v>
      </c>
      <c r="J28" s="216">
        <f>Pricing!G16</f>
        <v>2575</v>
      </c>
      <c r="K28" s="216">
        <f>Pricing!H16</f>
        <v>1500</v>
      </c>
      <c r="L28" s="216">
        <f>Pricing!I16</f>
        <v>1</v>
      </c>
      <c r="M28" s="188">
        <f t="shared" si="1"/>
        <v>3.8624999999999998</v>
      </c>
      <c r="N28" s="189">
        <f>'Cost Calculation'!AS20</f>
        <v>120368.12010098496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SFD1</v>
      </c>
      <c r="E29" s="187" t="str">
        <f>Pricing!C17</f>
        <v>M9800</v>
      </c>
      <c r="F29" s="187" t="str">
        <f>Pricing!D17</f>
        <v>3 LEAF SLIDE &amp; FOLD DOOR</v>
      </c>
      <c r="G29" s="187" t="str">
        <f>Pricing!N17</f>
        <v>10MM</v>
      </c>
      <c r="H29" s="187" t="str">
        <f>Pricing!F17</f>
        <v>1F - DINING</v>
      </c>
      <c r="I29" s="216" t="str">
        <f>Pricing!E17</f>
        <v>NO</v>
      </c>
      <c r="J29" s="216">
        <f>Pricing!G17</f>
        <v>2700</v>
      </c>
      <c r="K29" s="216">
        <f>Pricing!H17</f>
        <v>2400</v>
      </c>
      <c r="L29" s="216">
        <f>Pricing!I17</f>
        <v>1</v>
      </c>
      <c r="M29" s="188">
        <f t="shared" si="1"/>
        <v>6.48</v>
      </c>
      <c r="N29" s="189">
        <f>'Cost Calculation'!AS21</f>
        <v>181389.18711128578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KW</v>
      </c>
      <c r="E30" s="187" t="str">
        <f>Pricing!C18</f>
        <v>M900</v>
      </c>
      <c r="F30" s="187" t="str">
        <f>Pricing!D18</f>
        <v>3 TRACK 2 SHUTTER SLIDING WINDOW</v>
      </c>
      <c r="G30" s="187" t="str">
        <f>Pricing!N18</f>
        <v>6MM</v>
      </c>
      <c r="H30" s="187" t="str">
        <f>Pricing!F18</f>
        <v>1F &amp; 2F - KITCHEN</v>
      </c>
      <c r="I30" s="216" t="str">
        <f>Pricing!E18</f>
        <v>SS</v>
      </c>
      <c r="J30" s="216">
        <f>Pricing!G18</f>
        <v>1000</v>
      </c>
      <c r="K30" s="216">
        <f>Pricing!H18</f>
        <v>1050</v>
      </c>
      <c r="L30" s="216">
        <f>Pricing!I18</f>
        <v>2</v>
      </c>
      <c r="M30" s="188">
        <f t="shared" si="1"/>
        <v>2.1</v>
      </c>
      <c r="N30" s="189">
        <f>'Cost Calculation'!AS22</f>
        <v>82916.189574681615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W9</v>
      </c>
      <c r="E31" s="187" t="str">
        <f>Pricing!C19</f>
        <v>M14600</v>
      </c>
      <c r="F31" s="187" t="str">
        <f>Pricing!D19</f>
        <v>3 TRACK 2 SHUTTER SLIDING WINDOW WITH CENTER FIXED</v>
      </c>
      <c r="G31" s="187" t="str">
        <f>Pricing!N19</f>
        <v>10MM</v>
      </c>
      <c r="H31" s="187" t="str">
        <f>Pricing!F19</f>
        <v>2F - LIVING</v>
      </c>
      <c r="I31" s="216" t="str">
        <f>Pricing!E19</f>
        <v>SS</v>
      </c>
      <c r="J31" s="216">
        <f>Pricing!G19</f>
        <v>4880</v>
      </c>
      <c r="K31" s="216">
        <f>Pricing!H19</f>
        <v>1425</v>
      </c>
      <c r="L31" s="216">
        <f>Pricing!I19</f>
        <v>1</v>
      </c>
      <c r="M31" s="188">
        <f t="shared" si="1"/>
        <v>6.9539999999999997</v>
      </c>
      <c r="N31" s="189">
        <f>'Cost Calculation'!AS23</f>
        <v>204593.17571344701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W10</v>
      </c>
      <c r="E32" s="187" t="str">
        <f>Pricing!C20</f>
        <v>M940</v>
      </c>
      <c r="F32" s="187" t="str">
        <f>Pricing!D20</f>
        <v>FIXED GLASS 2 NO'S</v>
      </c>
      <c r="G32" s="187" t="str">
        <f>Pricing!N20</f>
        <v>6MM</v>
      </c>
      <c r="H32" s="187" t="str">
        <f>Pricing!F20</f>
        <v>2F - LIVING</v>
      </c>
      <c r="I32" s="216" t="str">
        <f>Pricing!E20</f>
        <v>NO</v>
      </c>
      <c r="J32" s="216">
        <f>Pricing!G20</f>
        <v>640</v>
      </c>
      <c r="K32" s="216">
        <f>Pricing!H20</f>
        <v>2575</v>
      </c>
      <c r="L32" s="216">
        <f>Pricing!I20</f>
        <v>1</v>
      </c>
      <c r="M32" s="188">
        <f t="shared" si="1"/>
        <v>1.6479999999999999</v>
      </c>
      <c r="N32" s="189">
        <f>'Cost Calculation'!AS24</f>
        <v>23025.572183949604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W11</v>
      </c>
      <c r="E33" s="187" t="str">
        <f>Pricing!C21</f>
        <v>M14600</v>
      </c>
      <c r="F33" s="187" t="str">
        <f>Pricing!D21</f>
        <v>3 TRACK 2 SHUTTER SLIDING WINDOW</v>
      </c>
      <c r="G33" s="187" t="str">
        <f>Pricing!N21</f>
        <v>6MM</v>
      </c>
      <c r="H33" s="187" t="str">
        <f>Pricing!F21</f>
        <v>2F - DINING</v>
      </c>
      <c r="I33" s="216" t="str">
        <f>Pricing!E21</f>
        <v>SS</v>
      </c>
      <c r="J33" s="216">
        <f>Pricing!G21</f>
        <v>2695</v>
      </c>
      <c r="K33" s="216">
        <f>Pricing!H21</f>
        <v>1425</v>
      </c>
      <c r="L33" s="216">
        <f>Pricing!I21</f>
        <v>1</v>
      </c>
      <c r="M33" s="188">
        <f t="shared" si="1"/>
        <v>3.8403749999999999</v>
      </c>
      <c r="N33" s="189">
        <f>'Cost Calculation'!AS25</f>
        <v>120583.42039688301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SFD2</v>
      </c>
      <c r="E34" s="187" t="str">
        <f>Pricing!C22</f>
        <v>M9800</v>
      </c>
      <c r="F34" s="187" t="str">
        <f>Pricing!D22</f>
        <v>3 LEAF SLIDE &amp; FOLD DOOR</v>
      </c>
      <c r="G34" s="187" t="str">
        <f>Pricing!N22</f>
        <v>10MM</v>
      </c>
      <c r="H34" s="187" t="str">
        <f>Pricing!F22</f>
        <v>2F - DINING</v>
      </c>
      <c r="I34" s="216" t="str">
        <f>Pricing!E22</f>
        <v>NO</v>
      </c>
      <c r="J34" s="216">
        <f>Pricing!G22</f>
        <v>2700</v>
      </c>
      <c r="K34" s="216">
        <f>Pricing!H22</f>
        <v>2625</v>
      </c>
      <c r="L34" s="216">
        <f>Pricing!I22</f>
        <v>1</v>
      </c>
      <c r="M34" s="188">
        <f t="shared" si="1"/>
        <v>7.0875000000000004</v>
      </c>
      <c r="N34" s="189">
        <f>'Cost Calculation'!AS26</f>
        <v>189016.58956910082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SD</v>
      </c>
      <c r="E35" s="187" t="str">
        <f>Pricing!C23</f>
        <v>M14600</v>
      </c>
      <c r="F35" s="187" t="str">
        <f>Pricing!D23</f>
        <v>3 TRACK 2 SHUTTER SLIDING DOOR WITH 2 FIXED</v>
      </c>
      <c r="G35" s="187" t="str">
        <f>Pricing!N23</f>
        <v>10MM</v>
      </c>
      <c r="H35" s="187" t="str">
        <f>Pricing!F23</f>
        <v>2F - LIVING</v>
      </c>
      <c r="I35" s="216" t="str">
        <f>Pricing!E23</f>
        <v>SS</v>
      </c>
      <c r="J35" s="216">
        <f>Pricing!G23</f>
        <v>7165</v>
      </c>
      <c r="K35" s="216">
        <f>Pricing!H23</f>
        <v>2900</v>
      </c>
      <c r="L35" s="216">
        <f>Pricing!I23</f>
        <v>1</v>
      </c>
      <c r="M35" s="188">
        <f t="shared" si="1"/>
        <v>20.778500000000001</v>
      </c>
      <c r="N35" s="189">
        <f>'Cost Calculation'!AS27</f>
        <v>482379.53075375874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W12</v>
      </c>
      <c r="E36" s="187" t="str">
        <f>Pricing!C24</f>
        <v>M12500</v>
      </c>
      <c r="F36" s="187" t="str">
        <f>Pricing!D24</f>
        <v>2 TRACK 2 SHUTTER SLIDING DOOR</v>
      </c>
      <c r="G36" s="187" t="str">
        <f>Pricing!N24</f>
        <v>10MM</v>
      </c>
      <c r="H36" s="187" t="str">
        <f>Pricing!F24</f>
        <v>3F - KIDS BEDROOM - 2</v>
      </c>
      <c r="I36" s="216" t="str">
        <f>Pricing!E24</f>
        <v>RETRACTABLE</v>
      </c>
      <c r="J36" s="216">
        <f>Pricing!G24</f>
        <v>4050</v>
      </c>
      <c r="K36" s="216">
        <f>Pricing!H24</f>
        <v>2425</v>
      </c>
      <c r="L36" s="216">
        <f>Pricing!I24</f>
        <v>1</v>
      </c>
      <c r="M36" s="188">
        <f t="shared" si="1"/>
        <v>9.8212499999999991</v>
      </c>
      <c r="N36" s="189">
        <f>'Cost Calculation'!AS28</f>
        <v>360330.2440474169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W13</v>
      </c>
      <c r="E37" s="187" t="str">
        <f>Pricing!C25</f>
        <v>M940</v>
      </c>
      <c r="F37" s="187" t="str">
        <f>Pricing!D25</f>
        <v>FIXED GLASS 4 NO'S</v>
      </c>
      <c r="G37" s="187" t="str">
        <f>Pricing!N25</f>
        <v>6MM</v>
      </c>
      <c r="H37" s="187" t="str">
        <f>Pricing!F25</f>
        <v>3F - KIDS BEDROOM - 2</v>
      </c>
      <c r="I37" s="216" t="str">
        <f>Pricing!E25</f>
        <v>NO</v>
      </c>
      <c r="J37" s="216">
        <f>Pricing!G25</f>
        <v>4987</v>
      </c>
      <c r="K37" s="216">
        <f>Pricing!H25</f>
        <v>1275</v>
      </c>
      <c r="L37" s="216">
        <f>Pricing!I25</f>
        <v>1</v>
      </c>
      <c r="M37" s="188">
        <f t="shared" si="1"/>
        <v>6.3584250000000004</v>
      </c>
      <c r="N37" s="189">
        <f>'Cost Calculation'!AS29</f>
        <v>65173.881212259897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V4</v>
      </c>
      <c r="E38" s="187" t="str">
        <f>Pricing!C26</f>
        <v>M940</v>
      </c>
      <c r="F38" s="187" t="str">
        <f>Pricing!D26</f>
        <v>TOP HUNG WINDOW WITH BOTTOM FIXED</v>
      </c>
      <c r="G38" s="187" t="str">
        <f>Pricing!N26</f>
        <v>6MM (F)</v>
      </c>
      <c r="H38" s="187" t="str">
        <f>Pricing!F26</f>
        <v>3F - KIDS BEDROOM - 1 TOILET</v>
      </c>
      <c r="I38" s="216" t="str">
        <f>Pricing!E26</f>
        <v>NO</v>
      </c>
      <c r="J38" s="216">
        <f>Pricing!G26</f>
        <v>1080</v>
      </c>
      <c r="K38" s="216">
        <f>Pricing!H26</f>
        <v>2325</v>
      </c>
      <c r="L38" s="216">
        <f>Pricing!I26</f>
        <v>1</v>
      </c>
      <c r="M38" s="188">
        <f t="shared" si="1"/>
        <v>2.5110000000000001</v>
      </c>
      <c r="N38" s="189">
        <f>'Cost Calculation'!AS30</f>
        <v>62561.081926133433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W14</v>
      </c>
      <c r="E39" s="187" t="str">
        <f>Pricing!C27</f>
        <v>M14600</v>
      </c>
      <c r="F39" s="187" t="str">
        <f>Pricing!D27</f>
        <v>3 TRACK 2 SHUTTER SLIDING WINDOW</v>
      </c>
      <c r="G39" s="187" t="str">
        <f>Pricing!N27</f>
        <v>6MM</v>
      </c>
      <c r="H39" s="187" t="str">
        <f>Pricing!F27</f>
        <v>3F - KIDS BEDROOM - 1</v>
      </c>
      <c r="I39" s="216" t="str">
        <f>Pricing!E27</f>
        <v>SS</v>
      </c>
      <c r="J39" s="216">
        <f>Pricing!G27</f>
        <v>2000</v>
      </c>
      <c r="K39" s="216">
        <f>Pricing!H27</f>
        <v>1875</v>
      </c>
      <c r="L39" s="216">
        <f>Pricing!I27</f>
        <v>1</v>
      </c>
      <c r="M39" s="188">
        <f t="shared" si="1"/>
        <v>3.75</v>
      </c>
      <c r="N39" s="189">
        <f>'Cost Calculation'!AS31</f>
        <v>118934.10983901555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W15</v>
      </c>
      <c r="E40" s="187" t="str">
        <f>Pricing!C28</f>
        <v>M14600</v>
      </c>
      <c r="F40" s="187" t="str">
        <f>Pricing!D28</f>
        <v>3 TRACK 2 SHUTTER SLIDING DOOR</v>
      </c>
      <c r="G40" s="187" t="str">
        <f>Pricing!N28</f>
        <v>6MM</v>
      </c>
      <c r="H40" s="187" t="str">
        <f>Pricing!F28</f>
        <v>3F - KIDS BEDROOM - 1</v>
      </c>
      <c r="I40" s="216" t="str">
        <f>Pricing!E28</f>
        <v>SS</v>
      </c>
      <c r="J40" s="216">
        <f>Pricing!G28</f>
        <v>1735</v>
      </c>
      <c r="K40" s="216">
        <f>Pricing!H28</f>
        <v>2625</v>
      </c>
      <c r="L40" s="216">
        <f>Pricing!I28</f>
        <v>1</v>
      </c>
      <c r="M40" s="188">
        <f t="shared" si="1"/>
        <v>4.5543750000000003</v>
      </c>
      <c r="N40" s="189">
        <f>'Cost Calculation'!AS32</f>
        <v>139503.53937983498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SFD3</v>
      </c>
      <c r="E41" s="187" t="str">
        <f>Pricing!C29</f>
        <v>M14600</v>
      </c>
      <c r="F41" s="187" t="str">
        <f>Pricing!D29</f>
        <v>3 TRACK 2 SHUTTER SLIDING DOOR</v>
      </c>
      <c r="G41" s="187" t="str">
        <f>Pricing!N29</f>
        <v>10MM</v>
      </c>
      <c r="H41" s="187" t="str">
        <f>Pricing!F29</f>
        <v>3F - STUDY ROOM</v>
      </c>
      <c r="I41" s="216" t="str">
        <f>Pricing!E29</f>
        <v>SS</v>
      </c>
      <c r="J41" s="216">
        <f>Pricing!G29</f>
        <v>2865</v>
      </c>
      <c r="K41" s="216">
        <f>Pricing!H29</f>
        <v>2625</v>
      </c>
      <c r="L41" s="216">
        <f>Pricing!I29</f>
        <v>1</v>
      </c>
      <c r="M41" s="188">
        <f t="shared" si="1"/>
        <v>7.5206249999999999</v>
      </c>
      <c r="N41" s="189">
        <f>'Cost Calculation'!AS33</f>
        <v>173430.1427793804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V5</v>
      </c>
      <c r="E42" s="187" t="str">
        <f>Pricing!C30</f>
        <v>M940</v>
      </c>
      <c r="F42" s="187" t="str">
        <f>Pricing!D30</f>
        <v>TOP HUNG WINDOW WITH BOTTOM FIXED</v>
      </c>
      <c r="G42" s="187" t="str">
        <f>Pricing!N30</f>
        <v>6MM (F)</v>
      </c>
      <c r="H42" s="187" t="str">
        <f>Pricing!F30</f>
        <v>4F - MBR 2 TOILET</v>
      </c>
      <c r="I42" s="216" t="str">
        <f>Pricing!E30</f>
        <v>NO</v>
      </c>
      <c r="J42" s="216">
        <f>Pricing!G30</f>
        <v>1145</v>
      </c>
      <c r="K42" s="216">
        <f>Pricing!H30</f>
        <v>2550</v>
      </c>
      <c r="L42" s="216">
        <f>Pricing!I30</f>
        <v>2</v>
      </c>
      <c r="M42" s="188">
        <f t="shared" si="1"/>
        <v>5.8395000000000001</v>
      </c>
      <c r="N42" s="189">
        <f>'Cost Calculation'!AS34</f>
        <v>134653.0325199776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SD1</v>
      </c>
      <c r="E43" s="187" t="str">
        <f>Pricing!C31</f>
        <v>M14600</v>
      </c>
      <c r="F43" s="187" t="str">
        <f>Pricing!D31</f>
        <v>3 TRACK 2 SHUTTER SLIDING DOOR</v>
      </c>
      <c r="G43" s="187" t="str">
        <f>Pricing!N31</f>
        <v>6MM</v>
      </c>
      <c r="H43" s="187" t="str">
        <f>Pricing!F31</f>
        <v>4F - NEAR LIFT</v>
      </c>
      <c r="I43" s="216" t="str">
        <f>Pricing!E31</f>
        <v>SS</v>
      </c>
      <c r="J43" s="216">
        <f>Pricing!G31</f>
        <v>1200</v>
      </c>
      <c r="K43" s="216">
        <f>Pricing!H31</f>
        <v>2625</v>
      </c>
      <c r="L43" s="216">
        <f>Pricing!I31</f>
        <v>1</v>
      </c>
      <c r="M43" s="188">
        <f t="shared" ref="M43:M92" si="2">J43*K43*L43/1000000</f>
        <v>3.15</v>
      </c>
      <c r="N43" s="189">
        <f>'Cost Calculation'!AS35</f>
        <v>124442.3227034592</v>
      </c>
      <c r="O43" s="95"/>
    </row>
    <row r="44" spans="2:15" s="94" customFormat="1" ht="49.9" customHeight="1" thickTop="1" thickBot="1">
      <c r="B44" s="416">
        <f>Pricing!A32</f>
        <v>29</v>
      </c>
      <c r="C44" s="417"/>
      <c r="D44" s="187" t="str">
        <f>Pricing!B32</f>
        <v>W17</v>
      </c>
      <c r="E44" s="187" t="str">
        <f>Pricing!C32</f>
        <v>M940</v>
      </c>
      <c r="F44" s="187" t="str">
        <f>Pricing!D32</f>
        <v>FIXED GLASS 2 NO'S</v>
      </c>
      <c r="G44" s="187" t="str">
        <f>Pricing!N32</f>
        <v>6MM</v>
      </c>
      <c r="H44" s="187" t="str">
        <f>Pricing!F32</f>
        <v>4F - MBR 2</v>
      </c>
      <c r="I44" s="216" t="str">
        <f>Pricing!E32</f>
        <v>NO</v>
      </c>
      <c r="J44" s="216">
        <f>Pricing!G32</f>
        <v>640</v>
      </c>
      <c r="K44" s="216">
        <f>Pricing!H32</f>
        <v>2025</v>
      </c>
      <c r="L44" s="216">
        <f>Pricing!I32</f>
        <v>1</v>
      </c>
      <c r="M44" s="188">
        <f t="shared" si="2"/>
        <v>1.296</v>
      </c>
      <c r="N44" s="189">
        <f>'Cost Calculation'!AS36</f>
        <v>19432.987305451745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7" t="str">
        <f>Pricing!B33</f>
        <v>SDW2</v>
      </c>
      <c r="E45" s="187" t="str">
        <f>Pricing!C33</f>
        <v>M14600</v>
      </c>
      <c r="F45" s="187" t="str">
        <f>Pricing!D33</f>
        <v>3 TRACK 2 SHUTTER SLIDING DOOR</v>
      </c>
      <c r="G45" s="187" t="str">
        <f>Pricing!N33</f>
        <v>10MM</v>
      </c>
      <c r="H45" s="187" t="str">
        <f>Pricing!F33</f>
        <v>4F - MBR 2</v>
      </c>
      <c r="I45" s="216" t="str">
        <f>Pricing!E33</f>
        <v>SS</v>
      </c>
      <c r="J45" s="216">
        <f>Pricing!G33</f>
        <v>3040</v>
      </c>
      <c r="K45" s="216">
        <f>Pricing!H33</f>
        <v>2625</v>
      </c>
      <c r="L45" s="216">
        <f>Pricing!I33</f>
        <v>1</v>
      </c>
      <c r="M45" s="188">
        <f t="shared" si="2"/>
        <v>7.98</v>
      </c>
      <c r="N45" s="189">
        <f>'Cost Calculation'!AS37</f>
        <v>179812.84454656392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7" t="str">
        <f>Pricing!B34</f>
        <v>W18</v>
      </c>
      <c r="E46" s="187" t="str">
        <f>Pricing!C34</f>
        <v>M14600</v>
      </c>
      <c r="F46" s="187" t="str">
        <f>Pricing!D34</f>
        <v>3 TRACK 2 SHUTTER SLIDING DOOR</v>
      </c>
      <c r="G46" s="187" t="str">
        <f>Pricing!N34</f>
        <v>6MM</v>
      </c>
      <c r="H46" s="187" t="str">
        <f>Pricing!F34</f>
        <v>4F - MBR 2</v>
      </c>
      <c r="I46" s="216" t="str">
        <f>Pricing!E34</f>
        <v>SS</v>
      </c>
      <c r="J46" s="216">
        <f>Pricing!G34</f>
        <v>1093</v>
      </c>
      <c r="K46" s="216">
        <f>Pricing!H34</f>
        <v>2025</v>
      </c>
      <c r="L46" s="216">
        <f>Pricing!I34</f>
        <v>1</v>
      </c>
      <c r="M46" s="188">
        <f t="shared" si="2"/>
        <v>2.2133250000000002</v>
      </c>
      <c r="N46" s="189">
        <f>'Cost Calculation'!AS38</f>
        <v>103656.57755337346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7" t="str">
        <f>Pricing!B35</f>
        <v>V6</v>
      </c>
      <c r="E47" s="187" t="str">
        <f>Pricing!C35</f>
        <v>M940</v>
      </c>
      <c r="F47" s="187" t="str">
        <f>Pricing!D35</f>
        <v>TOP HUNG WINDOW WITH BOTTOM FIXED</v>
      </c>
      <c r="G47" s="187" t="str">
        <f>Pricing!N35</f>
        <v>6MM (F)</v>
      </c>
      <c r="H47" s="187" t="str">
        <f>Pricing!F35</f>
        <v>5F - POWDER ROOM</v>
      </c>
      <c r="I47" s="216" t="str">
        <f>Pricing!E35</f>
        <v>NO</v>
      </c>
      <c r="J47" s="216">
        <f>Pricing!G35</f>
        <v>900</v>
      </c>
      <c r="K47" s="216">
        <f>Pricing!H35</f>
        <v>2550</v>
      </c>
      <c r="L47" s="216">
        <f>Pricing!I35</f>
        <v>1</v>
      </c>
      <c r="M47" s="188">
        <f t="shared" si="2"/>
        <v>2.2949999999999999</v>
      </c>
      <c r="N47" s="189">
        <f>'Cost Calculation'!AS39</f>
        <v>59806.172234038815</v>
      </c>
      <c r="O47" s="95"/>
    </row>
    <row r="48" spans="2:15" s="94" customFormat="1" ht="49.9" customHeight="1" thickTop="1" thickBot="1">
      <c r="B48" s="416">
        <f>Pricing!A36</f>
        <v>33</v>
      </c>
      <c r="C48" s="417"/>
      <c r="D48" s="187" t="str">
        <f>Pricing!B36</f>
        <v>V7</v>
      </c>
      <c r="E48" s="187" t="str">
        <f>Pricing!C36</f>
        <v>M940</v>
      </c>
      <c r="F48" s="187" t="str">
        <f>Pricing!D36</f>
        <v>TOP HUNG WINDOW WITH BOTTOM FIXED</v>
      </c>
      <c r="G48" s="187" t="str">
        <f>Pricing!N36</f>
        <v>6MM (F)</v>
      </c>
      <c r="H48" s="187" t="str">
        <f>Pricing!F36</f>
        <v>5F - UTILITY</v>
      </c>
      <c r="I48" s="216" t="str">
        <f>Pricing!E36</f>
        <v>NO</v>
      </c>
      <c r="J48" s="216">
        <f>Pricing!G36</f>
        <v>640</v>
      </c>
      <c r="K48" s="216">
        <f>Pricing!H36</f>
        <v>2550</v>
      </c>
      <c r="L48" s="216">
        <f>Pricing!I36</f>
        <v>1</v>
      </c>
      <c r="M48" s="188">
        <f t="shared" si="2"/>
        <v>1.6319999999999999</v>
      </c>
      <c r="N48" s="189">
        <f>'Cost Calculation'!AS40</f>
        <v>52899.439004725456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7" t="str">
        <f>Pricing!B37</f>
        <v>SDW4</v>
      </c>
      <c r="E49" s="187" t="str">
        <f>Pricing!C37</f>
        <v>M12500</v>
      </c>
      <c r="F49" s="187" t="str">
        <f>Pricing!D37</f>
        <v>2 TRACK 2 SHUTTER SLIDING DOOR</v>
      </c>
      <c r="G49" s="187" t="str">
        <f>Pricing!N37</f>
        <v>10MM</v>
      </c>
      <c r="H49" s="187" t="str">
        <f>Pricing!F37</f>
        <v>5F - SEATER</v>
      </c>
      <c r="I49" s="216" t="str">
        <f>Pricing!E37</f>
        <v>RETRACTABLE</v>
      </c>
      <c r="J49" s="216">
        <f>Pricing!G37</f>
        <v>4160</v>
      </c>
      <c r="K49" s="216">
        <f>Pricing!H37</f>
        <v>2440</v>
      </c>
      <c r="L49" s="216">
        <f>Pricing!I37</f>
        <v>1</v>
      </c>
      <c r="M49" s="188">
        <f t="shared" si="2"/>
        <v>10.150399999999999</v>
      </c>
      <c r="N49" s="189">
        <f>'Cost Calculation'!AS41</f>
        <v>363258.40671980055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7" t="str">
        <f>Pricing!B38</f>
        <v>SD2</v>
      </c>
      <c r="E50" s="187" t="str">
        <f>Pricing!C38</f>
        <v>M14600</v>
      </c>
      <c r="F50" s="187" t="str">
        <f>Pricing!D38</f>
        <v>3 TRACK 2 SHUTTER SLIDING DOOR</v>
      </c>
      <c r="G50" s="187" t="str">
        <f>Pricing!N38</f>
        <v>6MM</v>
      </c>
      <c r="H50" s="187" t="str">
        <f>Pricing!F38</f>
        <v>5F - NEAR LIFT</v>
      </c>
      <c r="I50" s="216" t="str">
        <f>Pricing!E38</f>
        <v>SS</v>
      </c>
      <c r="J50" s="216">
        <f>Pricing!G38</f>
        <v>1960</v>
      </c>
      <c r="K50" s="216">
        <f>Pricing!H38</f>
        <v>2551</v>
      </c>
      <c r="L50" s="216">
        <f>Pricing!I38</f>
        <v>1</v>
      </c>
      <c r="M50" s="188">
        <f t="shared" si="2"/>
        <v>4.9999599999999997</v>
      </c>
      <c r="N50" s="189">
        <f>'Cost Calculation'!AS42</f>
        <v>143408.51304957428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4"/>
      <c r="C116" s="425"/>
      <c r="D116" s="425"/>
      <c r="E116" s="425"/>
      <c r="F116" s="425"/>
      <c r="G116" s="425"/>
      <c r="H116" s="425"/>
      <c r="I116" s="425"/>
      <c r="J116" s="425"/>
      <c r="K116" s="426"/>
      <c r="L116" s="190">
        <f>SUM(L16:L115)</f>
        <v>39</v>
      </c>
      <c r="M116" s="191">
        <f>SUM(M16:M115)</f>
        <v>177.79538999999991</v>
      </c>
      <c r="N116" s="186"/>
      <c r="O116" s="95"/>
    </row>
    <row r="117" spans="2:15" s="94" customFormat="1" ht="30" customHeight="1" thickTop="1" thickBot="1">
      <c r="B117" s="427" t="s">
        <v>180</v>
      </c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9"/>
      <c r="N117" s="192">
        <f>ROUND(SUM(N16:N115),0.1)</f>
        <v>5033680</v>
      </c>
      <c r="O117" s="95">
        <f>N117/SUM(M116)</f>
        <v>28311.645200699539</v>
      </c>
    </row>
    <row r="118" spans="2:15" s="94" customFormat="1" ht="30" customHeight="1" thickTop="1" thickBot="1">
      <c r="B118" s="427" t="s">
        <v>111</v>
      </c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9"/>
      <c r="N118" s="192">
        <f>ROUND(N117*18%,0.1)</f>
        <v>906062</v>
      </c>
      <c r="O118" s="95">
        <f>N118/SUM(M116)</f>
        <v>5096.0938863487991</v>
      </c>
    </row>
    <row r="119" spans="2:15" s="94" customFormat="1" ht="30" customHeight="1" thickTop="1" thickBot="1">
      <c r="B119" s="427" t="s">
        <v>181</v>
      </c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9"/>
      <c r="N119" s="192">
        <f>ROUND(SUM(N117:N118),0.1)</f>
        <v>5939742</v>
      </c>
      <c r="O119" s="95">
        <f>N119/SUM(M116)</f>
        <v>33407.739087048336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2630.2160164157876</v>
      </c>
    </row>
    <row r="121" spans="2:15" s="139" customFormat="1" ht="30" customHeight="1" thickTop="1">
      <c r="B121" s="456" t="s">
        <v>236</v>
      </c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8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9">
        <v>2</v>
      </c>
      <c r="C123" s="460"/>
      <c r="D123" s="461"/>
      <c r="E123" s="461"/>
      <c r="F123" s="461"/>
      <c r="G123" s="461"/>
      <c r="H123" s="461"/>
      <c r="I123" s="461"/>
      <c r="J123" s="461"/>
      <c r="K123" s="461"/>
      <c r="L123" s="461"/>
      <c r="M123" s="461"/>
      <c r="N123" s="462"/>
    </row>
    <row r="124" spans="2:15" s="139" customFormat="1" ht="30" customHeight="1">
      <c r="B124" s="421" t="s">
        <v>206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512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510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4</v>
      </c>
      <c r="C128" s="411"/>
      <c r="D128" s="412" t="s">
        <v>511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5" s="139" customFormat="1" ht="30" customHeight="1">
      <c r="B129" s="421" t="s">
        <v>140</v>
      </c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3"/>
      <c r="O129" s="138"/>
    </row>
    <row r="130" spans="2:15" s="93" customFormat="1" ht="24.95" customHeight="1">
      <c r="B130" s="410">
        <v>1</v>
      </c>
      <c r="C130" s="411"/>
      <c r="D130" s="412" t="s">
        <v>363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5" s="93" customFormat="1" ht="24.95" customHeight="1">
      <c r="B131" s="410">
        <v>2</v>
      </c>
      <c r="C131" s="411"/>
      <c r="D131" s="412" t="s">
        <v>389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5" s="93" customFormat="1" ht="24.95" customHeight="1">
      <c r="B132" s="410">
        <v>3</v>
      </c>
      <c r="C132" s="411"/>
      <c r="D132" s="414" t="s">
        <v>404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5" s="93" customFormat="1" ht="24.95" customHeight="1">
      <c r="B133" s="410">
        <v>4</v>
      </c>
      <c r="C133" s="411"/>
      <c r="D133" s="414" t="s">
        <v>405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5" s="139" customFormat="1" ht="30" customHeight="1">
      <c r="B134" s="418" t="s">
        <v>141</v>
      </c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20"/>
    </row>
    <row r="135" spans="2:15" s="93" customFormat="1" ht="24.95" customHeight="1">
      <c r="B135" s="410">
        <v>1</v>
      </c>
      <c r="C135" s="411"/>
      <c r="D135" s="412" t="s">
        <v>142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5" s="93" customFormat="1" ht="24.95" customHeight="1">
      <c r="B136" s="410">
        <v>2</v>
      </c>
      <c r="C136" s="411"/>
      <c r="D136" s="412" t="s">
        <v>423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5" s="93" customFormat="1" ht="24.95" customHeight="1">
      <c r="B137" s="410">
        <v>3</v>
      </c>
      <c r="C137" s="411"/>
      <c r="D137" s="412" t="s">
        <v>143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5" s="93" customFormat="1" ht="24.95" customHeight="1">
      <c r="B138" s="410">
        <v>4</v>
      </c>
      <c r="C138" s="411"/>
      <c r="D138" s="412" t="s">
        <v>144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5" s="139" customFormat="1" ht="30" customHeight="1">
      <c r="B139" s="418" t="s">
        <v>145</v>
      </c>
      <c r="C139" s="419"/>
      <c r="D139" s="419"/>
      <c r="E139" s="419"/>
      <c r="F139" s="419"/>
      <c r="G139" s="419"/>
      <c r="H139" s="419"/>
      <c r="I139" s="419"/>
      <c r="J139" s="419"/>
      <c r="K139" s="419"/>
      <c r="L139" s="419"/>
      <c r="M139" s="419"/>
      <c r="N139" s="420"/>
    </row>
    <row r="140" spans="2:15" s="139" customFormat="1" ht="30" customHeight="1">
      <c r="B140" s="511" t="s">
        <v>146</v>
      </c>
      <c r="C140" s="512"/>
      <c r="D140" s="512"/>
      <c r="E140" s="512"/>
      <c r="F140" s="512"/>
      <c r="G140" s="512"/>
      <c r="H140" s="512"/>
      <c r="I140" s="512"/>
      <c r="J140" s="512"/>
      <c r="K140" s="512"/>
      <c r="L140" s="512"/>
      <c r="M140" s="512"/>
      <c r="N140" s="513"/>
    </row>
    <row r="141" spans="2:15" s="93" customFormat="1" ht="24.95" customHeight="1">
      <c r="B141" s="410">
        <v>1</v>
      </c>
      <c r="C141" s="411"/>
      <c r="D141" s="412" t="s">
        <v>147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5" s="93" customFormat="1" ht="24.95" customHeight="1">
      <c r="B142" s="410">
        <v>2</v>
      </c>
      <c r="C142" s="411"/>
      <c r="D142" s="412" t="s">
        <v>401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5" s="93" customFormat="1" ht="24.95" customHeight="1">
      <c r="B143" s="410">
        <v>3</v>
      </c>
      <c r="C143" s="411"/>
      <c r="D143" s="412" t="s">
        <v>148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5" s="93" customFormat="1" ht="24.95" customHeight="1">
      <c r="B144" s="410">
        <v>4</v>
      </c>
      <c r="C144" s="411"/>
      <c r="D144" s="412" t="s">
        <v>149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5</v>
      </c>
      <c r="C145" s="411"/>
      <c r="D145" s="412" t="s">
        <v>150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6</v>
      </c>
      <c r="C146" s="411"/>
      <c r="D146" s="412" t="s">
        <v>151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18" t="s">
        <v>152</v>
      </c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20"/>
    </row>
    <row r="148" spans="2:14" s="93" customFormat="1" ht="24.95" customHeight="1">
      <c r="B148" s="410">
        <v>1</v>
      </c>
      <c r="C148" s="411"/>
      <c r="D148" s="412" t="s">
        <v>153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135" customHeight="1">
      <c r="B149" s="410">
        <v>2</v>
      </c>
      <c r="C149" s="411"/>
      <c r="D149" s="499" t="s">
        <v>421</v>
      </c>
      <c r="E149" s="500"/>
      <c r="F149" s="500"/>
      <c r="G149" s="500"/>
      <c r="H149" s="500"/>
      <c r="I149" s="500"/>
      <c r="J149" s="500"/>
      <c r="K149" s="500"/>
      <c r="L149" s="500"/>
      <c r="M149" s="500"/>
      <c r="N149" s="501"/>
    </row>
    <row r="150" spans="2:14" s="93" customFormat="1" ht="24.95" customHeight="1">
      <c r="B150" s="410">
        <v>3</v>
      </c>
      <c r="C150" s="411"/>
      <c r="D150" s="412" t="s">
        <v>154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24.95" customHeight="1">
      <c r="B151" s="410">
        <v>4</v>
      </c>
      <c r="C151" s="411"/>
      <c r="D151" s="412" t="s">
        <v>155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140" customFormat="1" ht="30" customHeight="1">
      <c r="B152" s="418" t="s">
        <v>156</v>
      </c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20"/>
    </row>
    <row r="153" spans="2:14" s="93" customFormat="1" ht="24.95" customHeight="1">
      <c r="B153" s="410">
        <v>1</v>
      </c>
      <c r="C153" s="411"/>
      <c r="D153" s="412" t="s">
        <v>157</v>
      </c>
      <c r="E153" s="412"/>
      <c r="F153" s="412"/>
      <c r="G153" s="412"/>
      <c r="H153" s="412"/>
      <c r="I153" s="412"/>
      <c r="J153" s="412"/>
      <c r="K153" s="412"/>
      <c r="L153" s="412"/>
      <c r="M153" s="412"/>
      <c r="N153" s="413"/>
    </row>
    <row r="154" spans="2:14" s="93" customFormat="1" ht="55.9" customHeight="1">
      <c r="B154" s="410">
        <v>2</v>
      </c>
      <c r="C154" s="411"/>
      <c r="D154" s="499" t="s">
        <v>158</v>
      </c>
      <c r="E154" s="500"/>
      <c r="F154" s="500"/>
      <c r="G154" s="500"/>
      <c r="H154" s="500"/>
      <c r="I154" s="500"/>
      <c r="J154" s="500"/>
      <c r="K154" s="500"/>
      <c r="L154" s="500"/>
      <c r="M154" s="500"/>
      <c r="N154" s="501"/>
    </row>
    <row r="155" spans="2:14" s="140" customFormat="1" ht="30" customHeight="1">
      <c r="B155" s="418" t="s">
        <v>159</v>
      </c>
      <c r="C155" s="419"/>
      <c r="D155" s="419"/>
      <c r="E155" s="419"/>
      <c r="F155" s="419"/>
      <c r="G155" s="419"/>
      <c r="H155" s="419"/>
      <c r="I155" s="419"/>
      <c r="J155" s="419"/>
      <c r="K155" s="419"/>
      <c r="L155" s="419"/>
      <c r="M155" s="419"/>
      <c r="N155" s="420"/>
    </row>
    <row r="156" spans="2:14" s="93" customFormat="1" ht="24.95" customHeight="1">
      <c r="B156" s="410">
        <v>1</v>
      </c>
      <c r="C156" s="411"/>
      <c r="D156" s="477" t="s">
        <v>160</v>
      </c>
      <c r="E156" s="477"/>
      <c r="F156" s="477"/>
      <c r="G156" s="477"/>
      <c r="H156" s="477"/>
      <c r="I156" s="477"/>
      <c r="J156" s="477"/>
      <c r="K156" s="477"/>
      <c r="L156" s="477"/>
      <c r="M156" s="477"/>
      <c r="N156" s="478"/>
    </row>
    <row r="157" spans="2:14" s="93" customFormat="1" ht="24.95" customHeight="1">
      <c r="B157" s="410">
        <v>2</v>
      </c>
      <c r="C157" s="411"/>
      <c r="D157" s="477" t="s">
        <v>161</v>
      </c>
      <c r="E157" s="477"/>
      <c r="F157" s="477"/>
      <c r="G157" s="477"/>
      <c r="H157" s="477"/>
      <c r="I157" s="477"/>
      <c r="J157" s="477"/>
      <c r="K157" s="477"/>
      <c r="L157" s="477"/>
      <c r="M157" s="477"/>
      <c r="N157" s="478"/>
    </row>
    <row r="158" spans="2:14" s="93" customFormat="1" ht="49.9" customHeight="1">
      <c r="B158" s="410">
        <v>3</v>
      </c>
      <c r="C158" s="411"/>
      <c r="D158" s="496" t="s">
        <v>162</v>
      </c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0">
        <v>4</v>
      </c>
      <c r="C159" s="411"/>
      <c r="D159" s="477" t="s">
        <v>163</v>
      </c>
      <c r="E159" s="477"/>
      <c r="F159" s="477"/>
      <c r="G159" s="477"/>
      <c r="H159" s="477"/>
      <c r="I159" s="477"/>
      <c r="J159" s="477"/>
      <c r="K159" s="477"/>
      <c r="L159" s="477"/>
      <c r="M159" s="477"/>
      <c r="N159" s="478"/>
    </row>
    <row r="160" spans="2:14" s="140" customFormat="1" ht="30" customHeight="1">
      <c r="B160" s="418" t="s">
        <v>164</v>
      </c>
      <c r="C160" s="419"/>
      <c r="D160" s="419"/>
      <c r="E160" s="419"/>
      <c r="F160" s="419"/>
      <c r="G160" s="419"/>
      <c r="H160" s="419"/>
      <c r="I160" s="419"/>
      <c r="J160" s="419"/>
      <c r="K160" s="419"/>
      <c r="L160" s="419"/>
      <c r="M160" s="419"/>
      <c r="N160" s="420"/>
    </row>
    <row r="161" spans="2:14" s="93" customFormat="1" ht="24.95" customHeight="1">
      <c r="B161" s="410">
        <v>1</v>
      </c>
      <c r="C161" s="411"/>
      <c r="D161" s="477" t="s">
        <v>165</v>
      </c>
      <c r="E161" s="477"/>
      <c r="F161" s="477"/>
      <c r="G161" s="477"/>
      <c r="H161" s="477"/>
      <c r="I161" s="477"/>
      <c r="J161" s="477"/>
      <c r="K161" s="477"/>
      <c r="L161" s="477"/>
      <c r="M161" s="477"/>
      <c r="N161" s="478"/>
    </row>
    <row r="162" spans="2:14" s="93" customFormat="1" ht="24.95" customHeight="1">
      <c r="B162" s="410">
        <v>2</v>
      </c>
      <c r="C162" s="411"/>
      <c r="D162" s="477" t="s">
        <v>166</v>
      </c>
      <c r="E162" s="477"/>
      <c r="F162" s="477"/>
      <c r="G162" s="477"/>
      <c r="H162" s="477"/>
      <c r="I162" s="477"/>
      <c r="J162" s="477"/>
      <c r="K162" s="477"/>
      <c r="L162" s="477"/>
      <c r="M162" s="477"/>
      <c r="N162" s="478"/>
    </row>
    <row r="163" spans="2:14" s="93" customFormat="1" ht="24.95" customHeight="1">
      <c r="B163" s="410">
        <v>3</v>
      </c>
      <c r="C163" s="411"/>
      <c r="D163" s="477" t="s">
        <v>167</v>
      </c>
      <c r="E163" s="477"/>
      <c r="F163" s="477"/>
      <c r="G163" s="477"/>
      <c r="H163" s="477"/>
      <c r="I163" s="477"/>
      <c r="J163" s="477"/>
      <c r="K163" s="477"/>
      <c r="L163" s="477"/>
      <c r="M163" s="477"/>
      <c r="N163" s="478"/>
    </row>
    <row r="164" spans="2:14" s="93" customFormat="1" ht="24.95" customHeight="1">
      <c r="B164" s="410">
        <v>4</v>
      </c>
      <c r="C164" s="411"/>
      <c r="D164" s="477" t="s">
        <v>422</v>
      </c>
      <c r="E164" s="477"/>
      <c r="F164" s="477"/>
      <c r="G164" s="477"/>
      <c r="H164" s="477"/>
      <c r="I164" s="477"/>
      <c r="J164" s="477"/>
      <c r="K164" s="477"/>
      <c r="L164" s="477"/>
      <c r="M164" s="477"/>
      <c r="N164" s="478"/>
    </row>
    <row r="165" spans="2:14" s="93" customFormat="1" ht="24.95" customHeight="1">
      <c r="B165" s="459" t="s">
        <v>239</v>
      </c>
      <c r="C165" s="494"/>
      <c r="D165" s="494"/>
      <c r="E165" s="494"/>
      <c r="F165" s="494"/>
      <c r="G165" s="494"/>
      <c r="H165" s="494"/>
      <c r="I165" s="494"/>
      <c r="J165" s="494"/>
      <c r="K165" s="494"/>
      <c r="L165" s="494"/>
      <c r="M165" s="494"/>
      <c r="N165" s="495"/>
    </row>
    <row r="166" spans="2:14" s="93" customFormat="1" ht="24.95" customHeight="1">
      <c r="B166" s="459" t="s">
        <v>240</v>
      </c>
      <c r="C166" s="494"/>
      <c r="D166" s="494"/>
      <c r="E166" s="494"/>
      <c r="F166" s="494"/>
      <c r="G166" s="494"/>
      <c r="H166" s="494"/>
      <c r="I166" s="494"/>
      <c r="J166" s="494"/>
      <c r="K166" s="494"/>
      <c r="L166" s="494"/>
      <c r="M166" s="494"/>
      <c r="N166" s="495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41.25" customHeight="1">
      <c r="B169" s="488"/>
      <c r="C169" s="489"/>
      <c r="D169" s="489"/>
      <c r="E169" s="489"/>
      <c r="F169" s="489"/>
      <c r="G169" s="489"/>
      <c r="H169" s="489"/>
      <c r="I169" s="489"/>
      <c r="J169" s="489"/>
      <c r="K169" s="489"/>
      <c r="L169" s="489"/>
      <c r="M169" s="489"/>
      <c r="N169" s="490"/>
    </row>
    <row r="170" spans="2:14" s="93" customFormat="1" ht="39.950000000000003" customHeight="1" thickBot="1">
      <c r="B170" s="491"/>
      <c r="C170" s="492"/>
      <c r="D170" s="492"/>
      <c r="E170" s="492"/>
      <c r="F170" s="492"/>
      <c r="G170" s="492"/>
      <c r="H170" s="492"/>
      <c r="I170" s="492"/>
      <c r="J170" s="492"/>
      <c r="K170" s="492"/>
      <c r="L170" s="492"/>
      <c r="M170" s="492"/>
      <c r="N170" s="493"/>
    </row>
    <row r="171" spans="2:14" s="93" customFormat="1" ht="30" customHeight="1" thickTop="1">
      <c r="B171" s="473" t="s">
        <v>110</v>
      </c>
      <c r="C171" s="474"/>
      <c r="D171" s="474"/>
      <c r="E171" s="479"/>
      <c r="F171" s="480"/>
      <c r="G171" s="480"/>
      <c r="H171" s="480"/>
      <c r="I171" s="480"/>
      <c r="J171" s="480"/>
      <c r="K171" s="480"/>
      <c r="L171" s="481"/>
      <c r="M171" s="474" t="s">
        <v>204</v>
      </c>
      <c r="N171" s="475"/>
    </row>
    <row r="172" spans="2:14" s="93" customFormat="1" ht="33" customHeight="1" thickBot="1">
      <c r="B172" s="476" t="s">
        <v>107</v>
      </c>
      <c r="C172" s="471"/>
      <c r="D172" s="471"/>
      <c r="E172" s="482"/>
      <c r="F172" s="483"/>
      <c r="G172" s="483"/>
      <c r="H172" s="483"/>
      <c r="I172" s="483"/>
      <c r="J172" s="483"/>
      <c r="K172" s="483"/>
      <c r="L172" s="484"/>
      <c r="M172" s="471" t="s">
        <v>108</v>
      </c>
      <c r="N172" s="472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6:N126"/>
    <mergeCell ref="B125:C125"/>
    <mergeCell ref="D125:N125"/>
    <mergeCell ref="B114:C114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0:C130"/>
    <mergeCell ref="D130:N130"/>
    <mergeCell ref="B133:C133"/>
    <mergeCell ref="D133:N133"/>
    <mergeCell ref="B138:C138"/>
    <mergeCell ref="D138:N138"/>
    <mergeCell ref="B135:C135"/>
    <mergeCell ref="D135:N135"/>
    <mergeCell ref="B43:C43"/>
    <mergeCell ref="B44:C44"/>
    <mergeCell ref="B45:C45"/>
    <mergeCell ref="B137:C137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41:C141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136:C136"/>
    <mergeCell ref="D136:N136"/>
    <mergeCell ref="B131:C131"/>
    <mergeCell ref="D131:N131"/>
    <mergeCell ref="B132:C132"/>
    <mergeCell ref="D132:N132"/>
    <mergeCell ref="B20:C20"/>
    <mergeCell ref="B21:C21"/>
    <mergeCell ref="B22:C22"/>
    <mergeCell ref="B23:C23"/>
    <mergeCell ref="B41:C41"/>
    <mergeCell ref="B42:C42"/>
    <mergeCell ref="B134:N134"/>
    <mergeCell ref="B129:N129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43738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Harsha Tambi  Residence</v>
      </c>
      <c r="E3" s="519"/>
      <c r="F3" s="522" t="s">
        <v>245</v>
      </c>
      <c r="G3" s="523">
        <f>QUOTATION!N8</f>
        <v>43738</v>
      </c>
    </row>
    <row r="4" spans="3:13">
      <c r="C4" s="297" t="s">
        <v>242</v>
      </c>
      <c r="D4" s="520" t="str">
        <f>QUOTATION!M6</f>
        <v>ABPL-DE-19.20-2207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168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Wood Effect</v>
      </c>
      <c r="E8" s="519"/>
      <c r="F8" s="522"/>
      <c r="G8" s="524"/>
    </row>
    <row r="9" spans="3:13">
      <c r="C9" s="297" t="s">
        <v>177</v>
      </c>
      <c r="D9" s="519" t="str">
        <f>QUOTATION!I10</f>
        <v>Black</v>
      </c>
      <c r="E9" s="519"/>
      <c r="F9" s="522"/>
      <c r="G9" s="524"/>
    </row>
    <row r="10" spans="3:13">
      <c r="C10" s="297" t="s">
        <v>179</v>
      </c>
      <c r="D10" s="519" t="str">
        <f>QUOTATION!I8</f>
        <v>1.4Kpa</v>
      </c>
      <c r="E10" s="519"/>
      <c r="F10" s="522"/>
      <c r="G10" s="524"/>
    </row>
    <row r="11" spans="3:13">
      <c r="C11" s="297" t="s">
        <v>241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243</v>
      </c>
      <c r="D12" s="521">
        <f>QUOTATION!M7</f>
        <v>43738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16522.7</v>
      </c>
      <c r="F14" s="205"/>
      <c r="G14" s="206">
        <f>E14</f>
        <v>16522.7</v>
      </c>
    </row>
    <row r="15" spans="3:13">
      <c r="C15" s="194" t="s">
        <v>234</v>
      </c>
      <c r="D15" s="296">
        <f>'Changable Values'!D4</f>
        <v>83</v>
      </c>
      <c r="E15" s="199">
        <f>E14*D15</f>
        <v>1371384.1</v>
      </c>
      <c r="F15" s="205"/>
      <c r="G15" s="207">
        <f>E15</f>
        <v>1371384.1</v>
      </c>
    </row>
    <row r="16" spans="3:13">
      <c r="C16" s="195" t="s">
        <v>97</v>
      </c>
      <c r="D16" s="200">
        <f>'Changable Values'!D5</f>
        <v>0.1</v>
      </c>
      <c r="E16" s="199">
        <f>E15*D16</f>
        <v>137138.41</v>
      </c>
      <c r="F16" s="208">
        <f>'Changable Values'!D5</f>
        <v>0.1</v>
      </c>
      <c r="G16" s="207">
        <f>G15*F16</f>
        <v>137138.41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165937.4761</v>
      </c>
      <c r="F17" s="208">
        <f>'Changable Values'!D6</f>
        <v>0.11</v>
      </c>
      <c r="G17" s="207">
        <f>SUM(G15:G16)*F17</f>
        <v>165937.4761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8372.2999305000012</v>
      </c>
      <c r="F18" s="208">
        <f>'Changable Values'!D7</f>
        <v>5.0000000000000001E-3</v>
      </c>
      <c r="G18" s="207">
        <f>SUM(G15:G17)*F18</f>
        <v>8372.2999305000012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16828.322860305001</v>
      </c>
      <c r="F19" s="208">
        <f>'Changable Values'!D8</f>
        <v>0.01</v>
      </c>
      <c r="G19" s="207">
        <f>SUM(G15:G18)*F19</f>
        <v>16828.322860305001</v>
      </c>
    </row>
    <row r="20" spans="3:7">
      <c r="C20" s="195" t="s">
        <v>99</v>
      </c>
      <c r="D20" s="201"/>
      <c r="E20" s="199">
        <f>SUM(E15:E19)</f>
        <v>1699660.6088908052</v>
      </c>
      <c r="F20" s="208"/>
      <c r="G20" s="207">
        <f>SUM(G15:G19)</f>
        <v>1699660.6088908052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25494.909133362078</v>
      </c>
      <c r="F21" s="208">
        <f>'Changable Values'!D9</f>
        <v>1.4999999999999999E-2</v>
      </c>
      <c r="G21" s="207">
        <f>G20*F21</f>
        <v>25494.909133362078</v>
      </c>
    </row>
    <row r="22" spans="3:7">
      <c r="C22" s="195" t="s">
        <v>189</v>
      </c>
      <c r="D22" s="198"/>
      <c r="E22" s="199">
        <f>'Cost Calculation'!AB109</f>
        <v>20000</v>
      </c>
      <c r="F22" s="209"/>
      <c r="G22" s="207">
        <f t="shared" ref="G22:G28" si="0">E22</f>
        <v>20000</v>
      </c>
    </row>
    <row r="23" spans="3:7">
      <c r="C23" s="195" t="s">
        <v>228</v>
      </c>
      <c r="D23" s="198"/>
      <c r="E23" s="199">
        <f>'Cost Calculation'!AD109</f>
        <v>267073.48581500002</v>
      </c>
      <c r="F23" s="209"/>
      <c r="G23" s="207">
        <f t="shared" si="0"/>
        <v>267073.48581500002</v>
      </c>
    </row>
    <row r="24" spans="3:7">
      <c r="C24" s="195" t="s">
        <v>229</v>
      </c>
      <c r="D24" s="198"/>
      <c r="E24" s="199">
        <f>'Cost Calculation'!AH111</f>
        <v>58886.297999999995</v>
      </c>
      <c r="F24" s="209"/>
      <c r="G24" s="207">
        <f t="shared" si="0"/>
        <v>58886.297999999995</v>
      </c>
    </row>
    <row r="25" spans="3:7">
      <c r="C25" s="196" t="s">
        <v>237</v>
      </c>
      <c r="D25" s="198"/>
      <c r="E25" s="199">
        <f>'Cost Calculation'!AJ109</f>
        <v>47364.040737000003</v>
      </c>
      <c r="F25" s="209"/>
      <c r="G25" s="207">
        <f t="shared" si="0"/>
        <v>47364.040737000003</v>
      </c>
    </row>
    <row r="26" spans="3:7">
      <c r="C26" s="196" t="s">
        <v>238</v>
      </c>
      <c r="D26" s="198"/>
      <c r="E26" s="199">
        <f>'Cost Calculation'!AK109</f>
        <v>302390.19953999994</v>
      </c>
      <c r="F26" s="209"/>
      <c r="G26" s="207">
        <f t="shared" si="0"/>
        <v>302390.19953999994</v>
      </c>
    </row>
    <row r="27" spans="3:7">
      <c r="C27" s="195" t="s">
        <v>86</v>
      </c>
      <c r="D27" s="198"/>
      <c r="E27" s="199">
        <f>'Cost Calculation'!AL109</f>
        <v>191378.95779599994</v>
      </c>
      <c r="F27" s="209"/>
      <c r="G27" s="207">
        <f t="shared" si="0"/>
        <v>191378.95779599994</v>
      </c>
    </row>
    <row r="28" spans="3:7">
      <c r="C28" s="195" t="s">
        <v>88</v>
      </c>
      <c r="D28" s="198"/>
      <c r="E28" s="199">
        <f>'Cost Calculation'!AN109</f>
        <v>191378.95779599994</v>
      </c>
      <c r="F28" s="209"/>
      <c r="G28" s="207">
        <f t="shared" si="0"/>
        <v>191378.95779599994</v>
      </c>
    </row>
    <row r="29" spans="3:7">
      <c r="C29" s="293" t="s">
        <v>379</v>
      </c>
      <c r="D29" s="294"/>
      <c r="E29" s="295">
        <f>SUM(E20:E28)</f>
        <v>2803627.4577081669</v>
      </c>
      <c r="F29" s="209"/>
      <c r="G29" s="207">
        <f>SUM(G20:G21,G24)</f>
        <v>1784041.8160241672</v>
      </c>
    </row>
    <row r="30" spans="3:7">
      <c r="C30" s="293" t="s">
        <v>380</v>
      </c>
      <c r="D30" s="294"/>
      <c r="E30" s="295">
        <f>E29/E33</f>
        <v>1464.9611900889799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2230052.2700302089</v>
      </c>
      <c r="F31" s="214">
        <f>'Changable Values'!D23</f>
        <v>1.25</v>
      </c>
      <c r="G31" s="207">
        <f>G29*F31</f>
        <v>2230052.2700302089</v>
      </c>
    </row>
    <row r="32" spans="3:7">
      <c r="C32" s="290" t="s">
        <v>5</v>
      </c>
      <c r="D32" s="291"/>
      <c r="E32" s="292">
        <f>E31+E29</f>
        <v>5033679.7277383758</v>
      </c>
      <c r="F32" s="205"/>
      <c r="G32" s="207">
        <f>SUM(G25:G31,G22:G23)</f>
        <v>5033679.7277383758</v>
      </c>
    </row>
    <row r="33" spans="3:7">
      <c r="C33" s="300" t="s">
        <v>230</v>
      </c>
      <c r="D33" s="301"/>
      <c r="E33" s="308">
        <f>'Cost Calculation'!K109</f>
        <v>1913.7895779599992</v>
      </c>
      <c r="F33" s="210"/>
      <c r="G33" s="211">
        <f>E33</f>
        <v>1913.7895779599992</v>
      </c>
    </row>
    <row r="34" spans="3:7">
      <c r="C34" s="302" t="s">
        <v>9</v>
      </c>
      <c r="D34" s="303"/>
      <c r="E34" s="304">
        <f>QUOTATION!L116</f>
        <v>39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2630.2158741526946</v>
      </c>
      <c r="F35" s="212"/>
      <c r="G35" s="213">
        <f>G32/(G33)</f>
        <v>2630.2158741526946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2019-09-30T06:02:28Z</cp:lastPrinted>
  <dcterms:created xsi:type="dcterms:W3CDTF">2010-12-18T06:34:46Z</dcterms:created>
  <dcterms:modified xsi:type="dcterms:W3CDTF">2019-09-30T09:42:20Z</dcterms:modified>
</cp:coreProperties>
</file>