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Drawings!$C$2:$O$172</definedName>
    <definedName name="_xlnm.Print_Area" localSheetId="6">QUOTATION!$B$1:$N$172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12" i="158" l="1"/>
  <c r="R18" i="158"/>
  <c r="R13" i="158"/>
  <c r="Q17" i="158"/>
  <c r="Q15" i="158"/>
  <c r="Q14" i="158"/>
  <c r="Q11" i="158"/>
  <c r="Q10" i="158"/>
  <c r="Q9" i="158"/>
  <c r="Q8" i="158"/>
  <c r="Q7" i="158"/>
  <c r="Q6" i="158"/>
  <c r="Q5" i="158"/>
  <c r="Q4" i="158"/>
  <c r="K22" i="161"/>
  <c r="K19" i="161"/>
  <c r="K16" i="161"/>
  <c r="K14" i="161"/>
  <c r="K13" i="161"/>
  <c r="K12" i="161"/>
  <c r="K11" i="161"/>
  <c r="K9" i="161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I16" i="160" l="1"/>
  <c r="N2" i="169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AH56" i="159" s="1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5" i="159"/>
  <c r="R15" i="159" s="1"/>
  <c r="J4" i="158"/>
  <c r="M45" i="160" l="1"/>
  <c r="M47" i="160"/>
  <c r="M52" i="160"/>
  <c r="M40" i="160"/>
  <c r="M34" i="160"/>
  <c r="AH24" i="159"/>
  <c r="AH29" i="159"/>
  <c r="AH32" i="159"/>
  <c r="AH40" i="159"/>
  <c r="AH45" i="159"/>
  <c r="AH50" i="159"/>
  <c r="AH53" i="159"/>
  <c r="M50" i="160"/>
  <c r="M36" i="160"/>
  <c r="M41" i="160"/>
  <c r="M35" i="160"/>
  <c r="AH47" i="159"/>
  <c r="AH12" i="159"/>
  <c r="AH27" i="159"/>
  <c r="AH30" i="159"/>
  <c r="AH35" i="159"/>
  <c r="AH38" i="159"/>
  <c r="AH43" i="159"/>
  <c r="AH46" i="159"/>
  <c r="AH54" i="159"/>
  <c r="AH57" i="159"/>
  <c r="AH48" i="159"/>
  <c r="AH51" i="159"/>
  <c r="AH37" i="159"/>
  <c r="AH25" i="159"/>
  <c r="AH28" i="159"/>
  <c r="AH33" i="159"/>
  <c r="AH36" i="159"/>
  <c r="AH41" i="159"/>
  <c r="AH44" i="159"/>
  <c r="M31" i="160"/>
  <c r="M51" i="160"/>
  <c r="AH31" i="159"/>
  <c r="AH52" i="159"/>
  <c r="AH55" i="159"/>
  <c r="AH49" i="159"/>
  <c r="AH23" i="159"/>
  <c r="AH26" i="159"/>
  <c r="AH34" i="159"/>
  <c r="AH39" i="159"/>
  <c r="AH42" i="159"/>
  <c r="M38" i="160"/>
  <c r="AH22" i="159"/>
  <c r="M30" i="160"/>
  <c r="AH21" i="159"/>
  <c r="AH20" i="159"/>
  <c r="AH19" i="159"/>
  <c r="AH18" i="159"/>
  <c r="M26" i="160"/>
  <c r="AH17" i="159"/>
  <c r="AH16" i="159"/>
  <c r="AH15" i="159"/>
  <c r="AH14" i="159"/>
  <c r="AH13" i="159"/>
  <c r="AH11" i="159"/>
  <c r="AH10" i="159"/>
  <c r="AH9" i="159"/>
  <c r="AH8" i="159"/>
  <c r="M49" i="160"/>
  <c r="M43" i="160"/>
  <c r="M37" i="160"/>
  <c r="M25" i="160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V18" i="159" s="1"/>
  <c r="AQ81" i="159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9" i="159" l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25" i="159" l="1"/>
  <c r="AU25" i="159" s="1"/>
  <c r="AZ25" i="159" s="1"/>
  <c r="AT38" i="159"/>
  <c r="AU38" i="159" s="1"/>
  <c r="AZ38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F23" i="164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<sst xmlns="http://schemas.openxmlformats.org/spreadsheetml/2006/main" count="2012" uniqueCount="477">
  <si>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</si>
  <si>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</si>
  <si>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</si>
  <si>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</si>
  <si>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</si>
  <si>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</si>
  <si>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</si>
  <si>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</si>
  <si>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</si>
  <si>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</si>
  <si>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</si>
  <si>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</si>
  <si>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</si>
  <si>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</si>
  <si>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</si>
  <si>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</si>
  <si>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</si>
  <si>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</si>
  <si>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</si>
  <si>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</si>
  <si>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</si>
  <si>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</si>
  <si>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</si>
  <si>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</si>
  <si>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</si>
  <si>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</si>
  <si>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</si>
  <si>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</si>
  <si>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</si>
  <si>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</si>
  <si>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</si>
  <si>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</si>
  <si>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</si>
  <si>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</si>
  <si>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</si>
  <si>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</si>
  <si>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</si>
  <si>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</si>
  <si>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</si>
  <si>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</si>
  <si>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</si>
  <si>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</si>
  <si>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</si>
  <si>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</si>
  <si>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</si>
  <si>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</si>
  <si>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</si>
  <si>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</si>
  <si>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</si>
  <si>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</si>
  <si>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</si>
  <si>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</si>
  <si>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</si>
  <si>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</si>
  <si>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</si>
  <si>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</si>
  <si>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</si>
  <si>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</si>
  <si>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</si>
  <si>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</si>
  <si>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</si>
  <si>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</si>
  <si>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</si>
  <si>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</si>
  <si>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</si>
  <si>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</si>
  <si>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</si>
  <si>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</si>
  <si>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</si>
  <si>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</si>
  <si>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</si>
  <si>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</si>
  <si>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</si>
  <si>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</si>
  <si>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</si>
  <si>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</si>
  <si>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</si>
  <si>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</si>
  <si>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</si>
  <si>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</si>
  <si>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</si>
  <si>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</si>
  <si>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</si>
  <si>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</si>
  <si>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</si>
  <si>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</si>
  <si>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</si>
  <si>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</si>
  <si>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</si>
  <si>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</si>
  <si>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</si>
  <si>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</si>
  <si>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</si>
  <si>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</si>
  <si>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</si>
  <si>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</si>
  <si>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</si>
  <si>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</si>
  <si>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</si>
  <si>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</si>
  <si>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</si>
  <si>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</si>
  <si>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</si>
  <si>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</si>
  <si>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</si>
  <si>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</si>
  <si>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</si>
  <si>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</si>
  <si>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</si>
  <si>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</si>
  <si>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</si>
  <si>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</si>
  <si>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</si>
  <si>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</si>
  <si>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</si>
  <si>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</si>
  <si>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</si>
  <si>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</si>
  <si>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</si>
  <si>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</si>
  <si>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</si>
  <si>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</si>
  <si>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</si>
  <si>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</si>
  <si>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</si>
  <si>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</si>
  <si>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</si>
  <si>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</si>
  <si>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</si>
  <si>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</si>
  <si>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</si>
  <si>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</si>
  <si>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</si>
  <si>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</si>
  <si>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</si>
  <si>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</si>
  <si>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</si>
  <si>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</si>
  <si>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</si>
  <si>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</si>
  <si>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</si>
  <si>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</si>
  <si>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</si>
  <si>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</si>
  <si>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</si>
  <si>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</si>
  <si>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</si>
  <si>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</si>
  <si>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</si>
  <si>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</si>
  <si>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</si>
  <si>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</si>
  <si>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</si>
  <si>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</si>
  <si>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</si>
  <si>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</si>
  <si>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</si>
  <si>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</si>
  <si>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</si>
  <si>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</si>
  <si>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</si>
  <si>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</si>
  <si>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</si>
  <si>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</si>
  <si>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</si>
  <si>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</si>
  <si>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</si>
  <si>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</si>
  <si>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</si>
  <si>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</si>
  <si>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</si>
  <si>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</si>
  <si>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</si>
  <si>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</si>
  <si>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</si>
  <si>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</si>
  <si>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</si>
  <si>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</si>
  <si>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</si>
  <si>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</si>
  <si>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</si>
  <si>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</si>
  <si>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</si>
  <si>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</si>
  <si>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</si>
  <si>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</si>
  <si>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</si>
  <si>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</si>
  <si>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</si>
  <si>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</si>
  <si>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</si>
  <si>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</si>
  <si>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</si>
  <si>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</si>
  <si>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</si>
  <si>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</si>
  <si>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</si>
  <si>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</si>
  <si>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</si>
  <si>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</si>
  <si>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</si>
  <si>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</si>
  <si>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</si>
  <si>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</si>
  <si>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</si>
  <si>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</si>
  <si>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</si>
  <si>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</si>
  <si>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</si>
  <si>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</si>
  <si>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</si>
  <si>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</si>
  <si>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</si>
  <si>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</si>
  <si>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</si>
  <si>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</si>
  <si>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</si>
  <si>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</si>
  <si>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</si>
  <si>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</si>
  <si>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</si>
  <si>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</si>
  <si>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</si>
  <si>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</si>
  <si>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</si>
  <si>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</si>
  <si>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</si>
  <si>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</si>
  <si>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</si>
  <si>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</si>
  <si>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</si>
  <si>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</si>
  <si>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</si>
  <si>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</si>
  <si>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</si>
  <si>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</si>
  <si>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</si>
  <si>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</si>
  <si>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</si>
  <si>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</si>
  <si>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</si>
  <si>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</si>
  <si>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</si>
  <si>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</si>
  <si>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</si>
  <si>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</si>
  <si>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</si>
  <si>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</si>
  <si>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</si>
  <si>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</si>
  <si>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</si>
  <si>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</si>
  <si>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</si>
  <si>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</si>
  <si>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</si>
  <si>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</si>
  <si>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</si>
  <si>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</si>
  <si>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</si>
  <si>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</si>
  <si>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</si>
  <si>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</si>
  <si>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</si>
  <si>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</si>
  <si>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</si>
  <si>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</si>
  <si>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</si>
  <si>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</si>
  <si>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</si>
  <si>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</si>
  <si>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</si>
  <si>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</si>
  <si>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</si>
  <si>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</si>
  <si>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</si>
  <si>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</si>
  <si>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</si>
  <si>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</si>
  <si>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</si>
  <si>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</si>
  <si>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</si>
  <si>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</si>
  <si>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</si>
  <si>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</si>
  <si>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</si>
  <si>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</si>
  <si>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</si>
  <si>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</si>
  <si>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</si>
  <si>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</si>
  <si>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</si>
  <si>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</si>
  <si>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</si>
  <si>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</si>
  <si>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</si>
  <si>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</si>
  <si>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</si>
  <si>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</si>
  <si>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</si>
  <si>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</si>
  <si>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</si>
  <si>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</si>
  <si>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</si>
  <si>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</si>
  <si>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</si>
  <si>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</si>
  <si>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</si>
  <si>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</si>
  <si>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</si>
  <si>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</si>
  <si>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</si>
  <si>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</si>
  <si>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</si>
  <si>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</si>
  <si>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</si>
  <si>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</si>
  <si>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</si>
  <si>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</si>
  <si>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</si>
  <si>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</si>
  <si>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</si>
  <si>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</si>
  <si>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</si>
  <si>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</si>
  <si>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</si>
  <si>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</si>
  <si>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</si>
  <si>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</si>
  <si>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</si>
  <si>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</si>
  <si>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</si>
  <si>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</si>
  <si>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</si>
  <si>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</si>
  <si>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</si>
  <si>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</si>
  <si>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</si>
  <si>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</si>
  <si>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</si>
  <si>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</si>
  <si>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</si>
  <si>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</si>
  <si>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</si>
  <si>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</si>
  <si>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</si>
  <si>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</si>
  <si>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</si>
  <si>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</si>
  <si>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</si>
  <si>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</si>
  <si>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</si>
  <si>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</si>
  <si>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</si>
  <si>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</si>
  <si>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</si>
  <si>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</si>
  <si>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</si>
  <si>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</si>
  <si>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</si>
  <si>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</si>
  <si>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</si>
  <si>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</si>
  <si>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</si>
  <si>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</si>
  <si>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</si>
  <si>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</si>
  <si>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</si>
  <si>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</si>
  <si>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</si>
  <si>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</si>
  <si>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</si>
  <si>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</si>
  <si>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</si>
  <si>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</si>
  <si>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</si>
  <si>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</si>
  <si>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</si>
  <si>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</si>
  <si>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</si>
  <si>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</si>
  <si>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</si>
  <si>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</si>
  <si>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</si>
  <si>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</si>
  <si>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</si>
  <si>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</si>
  <si>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</si>
  <si>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</si>
  <si>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</si>
  <si>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</si>
  <si>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</si>
  <si>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</si>
  <si>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</si>
  <si>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</si>
  <si>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</si>
  <si>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</si>
  <si>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</si>
  <si>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</si>
  <si>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</si>
  <si>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</si>
  <si>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</si>
  <si>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</si>
  <si>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</si>
  <si>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</si>
  <si>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</si>
  <si>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</si>
  <si>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</si>
  <si>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</si>
  <si>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</si>
  <si>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</si>
  <si>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</si>
  <si>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</si>
  <si>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</si>
  <si>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</si>
  <si>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</si>
  <si>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</si>
  <si>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</si>
  <si>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</si>
  <si>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</si>
  <si>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</si>
  <si>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</si>
  <si>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</si>
  <si>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</si>
  <si>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Installation charges at Rs.150/sft.</t>
  </si>
  <si>
    <t>Any Structural support required should be provided by client.</t>
  </si>
  <si>
    <t>Mr. Madhav reddy</t>
  </si>
  <si>
    <t>Hyderabad</t>
  </si>
  <si>
    <t>Powder Coating Black Matt</t>
  </si>
  <si>
    <t>ABPL-DE-19.20-2208</t>
  </si>
  <si>
    <t>W1</t>
  </si>
  <si>
    <t>M900</t>
  </si>
  <si>
    <t>3 TRACK 2 SHUTTER SLIDING WINDOW</t>
  </si>
  <si>
    <t>20MM</t>
  </si>
  <si>
    <t>SS</t>
  </si>
  <si>
    <t>GF - POOJA ROOM</t>
  </si>
  <si>
    <t>W2</t>
  </si>
  <si>
    <t>M14600</t>
  </si>
  <si>
    <t>3 TRACK 2 SHUTTER SLIDING DOOR</t>
  </si>
  <si>
    <t>GF - DINING</t>
  </si>
  <si>
    <t>W3</t>
  </si>
  <si>
    <t>GF - KITCHEN</t>
  </si>
  <si>
    <t>W4</t>
  </si>
  <si>
    <t>GF - STORE</t>
  </si>
  <si>
    <t>W5</t>
  </si>
  <si>
    <t>GF - GUEST BEDROOM</t>
  </si>
  <si>
    <t>W6</t>
  </si>
  <si>
    <t>GF - GBR, 1F - BR &amp; MBR</t>
  </si>
  <si>
    <t>W8</t>
  </si>
  <si>
    <t>GF - LIVING</t>
  </si>
  <si>
    <t>W7</t>
  </si>
  <si>
    <t>W9</t>
  </si>
  <si>
    <t>M15000</t>
  </si>
  <si>
    <t>TOP HUNG WINDOW</t>
  </si>
  <si>
    <t>ROLL UP</t>
  </si>
  <si>
    <t>24MM (F)</t>
  </si>
  <si>
    <t>GF - POWDER ROOM</t>
  </si>
  <si>
    <t>W10</t>
  </si>
  <si>
    <t>TOP HUNG WINDOW WITH BOTTOM FIXED</t>
  </si>
  <si>
    <t>STAIRCASE</t>
  </si>
  <si>
    <t>W11</t>
  </si>
  <si>
    <t>TOILETS</t>
  </si>
  <si>
    <t>20MM (F)</t>
  </si>
  <si>
    <t>W12</t>
  </si>
  <si>
    <t>1F - FAMILY</t>
  </si>
  <si>
    <t>W13</t>
  </si>
  <si>
    <t>FIXED GLASS</t>
  </si>
  <si>
    <t>NO</t>
  </si>
  <si>
    <t>1F - STAIRCASE</t>
  </si>
  <si>
    <t>W14</t>
  </si>
  <si>
    <t>1F - GYM &amp; LIVING</t>
  </si>
  <si>
    <t>W15</t>
  </si>
  <si>
    <t>2 SIDE HUNG DOORS WITH CORNOR FIXED</t>
  </si>
  <si>
    <t>RETRACTABLE</t>
  </si>
  <si>
    <t>1F - DAUGHTER BEDROOM</t>
  </si>
  <si>
    <t>20mm :- 5mm Clear Toughened Glass + 10mm Spacer + 5mm Clear Toughened Glass</t>
  </si>
  <si>
    <t>24mm (F) :- 6mm Frosted Toughened Glass + 12mm Spacer + 6mm Clear Toughened Glass</t>
  </si>
  <si>
    <t>20mm (F) :- 5mm Frosted Toughened Glass + 10mm Spacer + 5mm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</si>
</sst>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1544781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166</xdr:row>
      <xdr:rowOff>119150</xdr:rowOff>
    </xdr:from>
    <xdr:to>
      <xdr:col>13</xdr:col>
      <xdr:colOff>1461655</xdr:colOff>
      <xdr:row>169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588065</xdr:colOff>
      <xdr:row>9</xdr:row>
      <xdr:rowOff>231913</xdr:rowOff>
    </xdr:from>
    <xdr:to>
      <xdr:col>6</xdr:col>
      <xdr:colOff>82827</xdr:colOff>
      <xdr:row>15</xdr:row>
      <xdr:rowOff>39809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0326" y="2020956"/>
          <a:ext cx="2170044" cy="16963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405847</xdr:colOff>
      <xdr:row>19</xdr:row>
      <xdr:rowOff>82826</xdr:rowOff>
    </xdr:from>
    <xdr:to>
      <xdr:col>6</xdr:col>
      <xdr:colOff>265044</xdr:colOff>
      <xdr:row>27</xdr:row>
      <xdr:rowOff>226215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8108" y="4870174"/>
          <a:ext cx="2534479" cy="26613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24846</xdr:colOff>
      <xdr:row>31</xdr:row>
      <xdr:rowOff>198782</xdr:rowOff>
    </xdr:from>
    <xdr:to>
      <xdr:col>7</xdr:col>
      <xdr:colOff>165387</xdr:colOff>
      <xdr:row>36</xdr:row>
      <xdr:rowOff>8282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107" y="8613912"/>
          <a:ext cx="3205106" cy="13831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256758</xdr:colOff>
      <xdr:row>42</xdr:row>
      <xdr:rowOff>165651</xdr:rowOff>
    </xdr:from>
    <xdr:to>
      <xdr:col>5</xdr:col>
      <xdr:colOff>1764195</xdr:colOff>
      <xdr:row>47</xdr:row>
      <xdr:rowOff>237921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4758" y="11893825"/>
          <a:ext cx="1507437" cy="16459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472107</xdr:colOff>
      <xdr:row>53</xdr:row>
      <xdr:rowOff>215348</xdr:rowOff>
    </xdr:from>
    <xdr:to>
      <xdr:col>5</xdr:col>
      <xdr:colOff>1938129</xdr:colOff>
      <xdr:row>57</xdr:row>
      <xdr:rowOff>292377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4368" y="15256565"/>
          <a:ext cx="2161761" cy="1335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173933</xdr:colOff>
      <xdr:row>63</xdr:row>
      <xdr:rowOff>190499</xdr:rowOff>
    </xdr:from>
    <xdr:to>
      <xdr:col>5</xdr:col>
      <xdr:colOff>1963102</xdr:colOff>
      <xdr:row>71</xdr:row>
      <xdr:rowOff>173934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1933" y="18230021"/>
          <a:ext cx="1789169" cy="25013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637761</xdr:colOff>
      <xdr:row>74</xdr:row>
      <xdr:rowOff>107673</xdr:rowOff>
    </xdr:from>
    <xdr:to>
      <xdr:col>6</xdr:col>
      <xdr:colOff>132523</xdr:colOff>
      <xdr:row>82</xdr:row>
      <xdr:rowOff>244663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022" y="21460238"/>
          <a:ext cx="2170044" cy="26549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99391</xdr:colOff>
      <xdr:row>85</xdr:row>
      <xdr:rowOff>57978</xdr:rowOff>
    </xdr:from>
    <xdr:to>
      <xdr:col>5</xdr:col>
      <xdr:colOff>1929848</xdr:colOff>
      <xdr:row>93</xdr:row>
      <xdr:rowOff>230296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391" y="24723587"/>
          <a:ext cx="1830457" cy="26902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646042</xdr:colOff>
      <xdr:row>98</xdr:row>
      <xdr:rowOff>182217</xdr:rowOff>
    </xdr:from>
    <xdr:to>
      <xdr:col>5</xdr:col>
      <xdr:colOff>1249872</xdr:colOff>
      <xdr:row>102</xdr:row>
      <xdr:rowOff>182217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8303" y="28790347"/>
          <a:ext cx="1299569" cy="12589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231913</xdr:colOff>
      <xdr:row>107</xdr:row>
      <xdr:rowOff>74543</xdr:rowOff>
    </xdr:from>
    <xdr:to>
      <xdr:col>5</xdr:col>
      <xdr:colOff>1200979</xdr:colOff>
      <xdr:row>115</xdr:row>
      <xdr:rowOff>196983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9913" y="31366239"/>
          <a:ext cx="969066" cy="2640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604630</xdr:colOff>
      <xdr:row>119</xdr:row>
      <xdr:rowOff>273326</xdr:rowOff>
    </xdr:from>
    <xdr:to>
      <xdr:col>5</xdr:col>
      <xdr:colOff>1267239</xdr:colOff>
      <xdr:row>124</xdr:row>
      <xdr:rowOff>213678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891" y="35192804"/>
          <a:ext cx="1358348" cy="1514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157369</xdr:colOff>
      <xdr:row>129</xdr:row>
      <xdr:rowOff>66261</xdr:rowOff>
    </xdr:from>
    <xdr:to>
      <xdr:col>5</xdr:col>
      <xdr:colOff>1946413</xdr:colOff>
      <xdr:row>137</xdr:row>
      <xdr:rowOff>220613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5369" y="37984044"/>
          <a:ext cx="1789044" cy="2672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57977</xdr:colOff>
      <xdr:row>142</xdr:row>
      <xdr:rowOff>1</xdr:rowOff>
    </xdr:from>
    <xdr:to>
      <xdr:col>5</xdr:col>
      <xdr:colOff>1293721</xdr:colOff>
      <xdr:row>146</xdr:row>
      <xdr:rowOff>149088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977" y="41860305"/>
          <a:ext cx="1235744" cy="14080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265043</xdr:colOff>
      <xdr:row>151</xdr:row>
      <xdr:rowOff>265043</xdr:rowOff>
    </xdr:from>
    <xdr:to>
      <xdr:col>6</xdr:col>
      <xdr:colOff>372718</xdr:colOff>
      <xdr:row>159</xdr:row>
      <xdr:rowOff>32559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7304" y="44808913"/>
          <a:ext cx="2782957" cy="2285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306455</xdr:colOff>
      <xdr:row>162</xdr:row>
      <xdr:rowOff>91109</xdr:rowOff>
    </xdr:from>
    <xdr:to>
      <xdr:col>8</xdr:col>
      <xdr:colOff>372716</xdr:colOff>
      <xdr:row>170</xdr:row>
      <xdr:rowOff>187434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651" y="47948022"/>
          <a:ext cx="3983935" cy="2614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3" sqref="D23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6">
      <c r="C19" s="175"/>
      <c r="D19" s="175" t="s">
        <v>225</v>
      </c>
      <c r="E19" s="175" t="s">
        <v>226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100</v>
      </c>
      <c r="E21" s="175">
        <f>D21*10.764</f>
        <v>1076.3999999999999</v>
      </c>
    </row>
    <row r="22" spans="3:6">
      <c r="C22" s="175"/>
      <c r="D22" s="175"/>
      <c r="E22" s="175"/>
    </row>
    <row r="23" spans="3:6">
      <c r="C23" s="175" t="s">
        <v>4</v>
      </c>
      <c r="D23" s="177">
        <v>1.8</v>
      </c>
      <c r="E23" s="175"/>
      <c r="F23" s="159">
        <f>QUOTATION!N117</f>
        <v>2022843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169" sqref="Q169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ABPL-DE-19.20-2208</v>
      </c>
      <c r="O2" s="540"/>
      <c r="P2" s="219" t="s">
        <v>256</v>
      </c>
    </row>
    <row r="3" spans="2:16">
      <c r="B3" s="218"/>
      <c r="C3" s="539" t="s">
        <v>126</v>
      </c>
      <c r="D3" s="539"/>
      <c r="E3" s="539"/>
      <c r="F3" s="540" t="str">
        <f>QUOTATION!F7</f>
        <v>Mr. Madhav reddy</v>
      </c>
      <c r="G3" s="540"/>
      <c r="H3" s="540"/>
      <c r="I3" s="540"/>
      <c r="J3" s="540"/>
      <c r="K3" s="540"/>
      <c r="L3" s="540"/>
      <c r="M3" s="284" t="s">
        <v>104</v>
      </c>
      <c r="N3" s="546">
        <f>QUOTATION!M7</f>
        <v>43738</v>
      </c>
      <c r="O3" s="547"/>
      <c r="P3" s="219" t="s">
        <v>255</v>
      </c>
    </row>
    <row r="4" spans="2:16">
      <c r="B4" s="218"/>
      <c r="C4" s="539" t="s">
        <v>127</v>
      </c>
      <c r="D4" s="539"/>
      <c r="E4" s="539"/>
      <c r="F4" s="285" t="str">
        <f>QUOTATION!F8</f>
        <v>Hyderabad</v>
      </c>
      <c r="G4" s="539"/>
      <c r="H4" s="539"/>
      <c r="I4" s="541" t="s">
        <v>179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R0</v>
      </c>
      <c r="O4" s="287">
        <f>QUOTATION!N8</f>
        <v>43738</v>
      </c>
    </row>
    <row r="5" spans="2:16">
      <c r="B5" s="218"/>
      <c r="C5" s="539" t="s">
        <v>168</v>
      </c>
      <c r="D5" s="539"/>
      <c r="E5" s="539"/>
      <c r="F5" s="540" t="str">
        <f>QUOTATION!F9</f>
        <v>Ms. Rachana : 9154030271</v>
      </c>
      <c r="G5" s="540"/>
      <c r="H5" s="540"/>
      <c r="I5" s="540"/>
      <c r="J5" s="540"/>
      <c r="K5" s="540"/>
      <c r="L5" s="540"/>
      <c r="M5" s="284" t="s">
        <v>178</v>
      </c>
      <c r="N5" s="540" t="str">
        <f>QUOTATION!M9</f>
        <v>Nikhil</v>
      </c>
      <c r="O5" s="540"/>
    </row>
    <row r="6" spans="2:16">
      <c r="B6" s="218"/>
      <c r="C6" s="539" t="s">
        <v>176</v>
      </c>
      <c r="D6" s="539"/>
      <c r="E6" s="539"/>
      <c r="F6" s="285" t="str">
        <f>QUOTATION!F10</f>
        <v>Powder Coating Black Matt</v>
      </c>
      <c r="G6" s="539"/>
      <c r="H6" s="539"/>
      <c r="I6" s="541" t="s">
        <v>177</v>
      </c>
      <c r="J6" s="541"/>
      <c r="K6" s="540" t="str">
        <f>QUOTATION!I10</f>
        <v>Black</v>
      </c>
      <c r="L6" s="540"/>
      <c r="M6" s="320" t="s">
        <v>374</v>
      </c>
      <c r="N6" s="548">
        <f>'BD Team'!J5</f>
        <v>0</v>
      </c>
      <c r="O6" s="549"/>
    </row>
    <row r="7" spans="2:16"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</row>
    <row r="8" spans="2:16" ht="25.15" customHeight="1">
      <c r="C8" s="538" t="s">
        <v>253</v>
      </c>
      <c r="D8" s="539"/>
      <c r="E8" s="286" t="str">
        <f>'BD Team'!B9</f>
        <v>W1</v>
      </c>
      <c r="F8" s="288" t="s">
        <v>254</v>
      </c>
      <c r="G8" s="540" t="str">
        <f>'BD Team'!D9</f>
        <v>3 TRACK 2 SHUTTER SLIDING WINDOW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8" t="s">
        <v>127</v>
      </c>
      <c r="M9" s="539"/>
      <c r="N9" s="542" t="str">
        <f>'BD Team'!G9</f>
        <v>GF - POOJA ROOM</v>
      </c>
      <c r="O9" s="542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8" t="s">
        <v>246</v>
      </c>
      <c r="M10" s="539"/>
      <c r="N10" s="540" t="str">
        <f>$F$6</f>
        <v>Powder Coating Black Matt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8" t="s">
        <v>177</v>
      </c>
      <c r="M11" s="539"/>
      <c r="N11" s="540" t="str">
        <f>$K$6</f>
        <v>Black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8" t="s">
        <v>247</v>
      </c>
      <c r="M12" s="539"/>
      <c r="N12" s="545" t="s">
        <v>255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8" t="s">
        <v>248</v>
      </c>
      <c r="M13" s="539"/>
      <c r="N13" s="540" t="str">
        <f>CONCATENATE('BD Team'!H9," X ",'BD Team'!I9)</f>
        <v>1430 X 630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8" t="s">
        <v>249</v>
      </c>
      <c r="M14" s="539"/>
      <c r="N14" s="543">
        <f>'BD Team'!J9</f>
        <v>1</v>
      </c>
      <c r="O14" s="543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8" t="s">
        <v>250</v>
      </c>
      <c r="M15" s="539"/>
      <c r="N15" s="540" t="str">
        <f>'BD Team'!C9</f>
        <v>M900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8" t="s">
        <v>251</v>
      </c>
      <c r="M16" s="539"/>
      <c r="N16" s="540" t="str">
        <f>'BD Team'!E9</f>
        <v>20MM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8" t="s">
        <v>252</v>
      </c>
      <c r="M17" s="539"/>
      <c r="N17" s="540" t="str">
        <f>'BD Team'!F9</f>
        <v>SS</v>
      </c>
      <c r="O17" s="540"/>
    </row>
    <row r="18" spans="3:15">
      <c r="C18" s="544"/>
      <c r="D18" s="544"/>
      <c r="E18" s="544"/>
      <c r="F18" s="544"/>
      <c r="G18" s="544"/>
      <c r="H18" s="544"/>
      <c r="I18" s="544"/>
      <c r="J18" s="544"/>
      <c r="K18" s="544"/>
      <c r="L18" s="544"/>
      <c r="M18" s="544"/>
      <c r="N18" s="544"/>
      <c r="O18" s="544"/>
    </row>
    <row r="19" spans="3:15" ht="25.15" customHeight="1">
      <c r="C19" s="538" t="s">
        <v>253</v>
      </c>
      <c r="D19" s="539"/>
      <c r="E19" s="286" t="str">
        <f>'BD Team'!B10</f>
        <v>W2</v>
      </c>
      <c r="F19" s="288" t="s">
        <v>254</v>
      </c>
      <c r="G19" s="540" t="str">
        <f>'BD Team'!D10</f>
        <v>3 TRACK 2 SHUTTER SLIDING DOOR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8" t="s">
        <v>127</v>
      </c>
      <c r="M20" s="539"/>
      <c r="N20" s="542" t="str">
        <f>'BD Team'!G10</f>
        <v>GF - DINING</v>
      </c>
      <c r="O20" s="542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8" t="s">
        <v>246</v>
      </c>
      <c r="M21" s="539"/>
      <c r="N21" s="540" t="str">
        <f>$F$6</f>
        <v>Powder Coating Black Matt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8" t="s">
        <v>177</v>
      </c>
      <c r="M22" s="539"/>
      <c r="N22" s="540" t="str">
        <f>$K$6</f>
        <v>Black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8" t="s">
        <v>247</v>
      </c>
      <c r="M23" s="539"/>
      <c r="N23" s="542" t="s">
        <v>255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8" t="s">
        <v>248</v>
      </c>
      <c r="M24" s="539"/>
      <c r="N24" s="540" t="str">
        <f>CONCATENATE('BD Team'!H10," X ",'BD Team'!I10)</f>
        <v>2620 X 2210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8" t="s">
        <v>249</v>
      </c>
      <c r="M25" s="539"/>
      <c r="N25" s="543">
        <f>'BD Team'!J10</f>
        <v>1</v>
      </c>
      <c r="O25" s="543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8" t="s">
        <v>250</v>
      </c>
      <c r="M26" s="539"/>
      <c r="N26" s="540" t="str">
        <f>'BD Team'!C10</f>
        <v>M14600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8" t="s">
        <v>251</v>
      </c>
      <c r="M27" s="539"/>
      <c r="N27" s="540" t="str">
        <f>'BD Team'!E10</f>
        <v>24MM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8" t="s">
        <v>252</v>
      </c>
      <c r="M28" s="539"/>
      <c r="N28" s="540" t="str">
        <f>'BD Team'!F10</f>
        <v>SS</v>
      </c>
      <c r="O28" s="540"/>
    </row>
    <row r="29" spans="3:15">
      <c r="C29" s="544"/>
      <c r="D29" s="544"/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4"/>
    </row>
    <row r="30" spans="3:15" ht="25.15" customHeight="1">
      <c r="C30" s="538" t="s">
        <v>253</v>
      </c>
      <c r="D30" s="539"/>
      <c r="E30" s="286" t="str">
        <f>'BD Team'!B11</f>
        <v>W3</v>
      </c>
      <c r="F30" s="288" t="s">
        <v>254</v>
      </c>
      <c r="G30" s="540" t="str">
        <f>'BD Team'!D11</f>
        <v>3 TRACK 2 SHUTTER SLIDING WINDOW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8" t="s">
        <v>127</v>
      </c>
      <c r="M31" s="539"/>
      <c r="N31" s="542" t="str">
        <f>'BD Team'!G11</f>
        <v>GF - KITCHEN</v>
      </c>
      <c r="O31" s="542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8" t="s">
        <v>246</v>
      </c>
      <c r="M32" s="539"/>
      <c r="N32" s="540" t="str">
        <f>$F$6</f>
        <v>Powder Coating Black Matt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8" t="s">
        <v>177</v>
      </c>
      <c r="M33" s="539"/>
      <c r="N33" s="540" t="str">
        <f>$K$6</f>
        <v>Black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8" t="s">
        <v>247</v>
      </c>
      <c r="M34" s="539"/>
      <c r="N34" s="542" t="s">
        <v>255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8" t="s">
        <v>248</v>
      </c>
      <c r="M35" s="539"/>
      <c r="N35" s="540" t="str">
        <f>CONCATENATE('BD Team'!H11," X ",'BD Team'!I11)</f>
        <v>2420 X 460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8" t="s">
        <v>249</v>
      </c>
      <c r="M36" s="539"/>
      <c r="N36" s="543">
        <f>'BD Team'!J11</f>
        <v>1</v>
      </c>
      <c r="O36" s="543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8" t="s">
        <v>250</v>
      </c>
      <c r="M37" s="539"/>
      <c r="N37" s="540" t="str">
        <f>'BD Team'!C11</f>
        <v>M900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8" t="s">
        <v>251</v>
      </c>
      <c r="M38" s="539"/>
      <c r="N38" s="540" t="str">
        <f>'BD Team'!E11</f>
        <v>20MM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8" t="s">
        <v>252</v>
      </c>
      <c r="M39" s="539"/>
      <c r="N39" s="540" t="str">
        <f>'BD Team'!F11</f>
        <v>SS</v>
      </c>
      <c r="O39" s="540"/>
    </row>
    <row r="40" spans="3:15"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</row>
    <row r="41" spans="3:15" ht="25.15" customHeight="1">
      <c r="C41" s="538" t="s">
        <v>253</v>
      </c>
      <c r="D41" s="539"/>
      <c r="E41" s="286" t="str">
        <f>'BD Team'!B12</f>
        <v>W4</v>
      </c>
      <c r="F41" s="288" t="s">
        <v>254</v>
      </c>
      <c r="G41" s="540" t="str">
        <f>'BD Team'!D12</f>
        <v>3 TRACK 2 SHUTTER SLIDING WINDOW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8" t="s">
        <v>127</v>
      </c>
      <c r="M42" s="539"/>
      <c r="N42" s="542" t="str">
        <f>'BD Team'!G12</f>
        <v>GF - STORE</v>
      </c>
      <c r="O42" s="542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8" t="s">
        <v>246</v>
      </c>
      <c r="M43" s="539"/>
      <c r="N43" s="540" t="str">
        <f>$F$6</f>
        <v>Powder Coating Black Matt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8" t="s">
        <v>177</v>
      </c>
      <c r="M44" s="539"/>
      <c r="N44" s="540" t="str">
        <f>$K$6</f>
        <v>Black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8" t="s">
        <v>247</v>
      </c>
      <c r="M45" s="539"/>
      <c r="N45" s="542" t="s">
        <v>255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8" t="s">
        <v>248</v>
      </c>
      <c r="M46" s="539"/>
      <c r="N46" s="540" t="str">
        <f>CONCATENATE('BD Team'!H12," X ",'BD Team'!I12)</f>
        <v>925 X 600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8" t="s">
        <v>249</v>
      </c>
      <c r="M47" s="539"/>
      <c r="N47" s="543">
        <f>'BD Team'!J12</f>
        <v>1</v>
      </c>
      <c r="O47" s="543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8" t="s">
        <v>250</v>
      </c>
      <c r="M48" s="539"/>
      <c r="N48" s="540" t="str">
        <f>'BD Team'!C12</f>
        <v>M900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8" t="s">
        <v>251</v>
      </c>
      <c r="M49" s="539"/>
      <c r="N49" s="540" t="str">
        <f>'BD Team'!E12</f>
        <v>20MM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8" t="s">
        <v>252</v>
      </c>
      <c r="M50" s="539"/>
      <c r="N50" s="540" t="str">
        <f>'BD Team'!F12</f>
        <v>SS</v>
      </c>
      <c r="O50" s="540"/>
    </row>
    <row r="51" spans="3:15">
      <c r="C51" s="544"/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4"/>
      <c r="O51" s="544"/>
    </row>
    <row r="52" spans="3:15" ht="25.15" customHeight="1">
      <c r="C52" s="538" t="s">
        <v>253</v>
      </c>
      <c r="D52" s="539"/>
      <c r="E52" s="286" t="str">
        <f>'BD Team'!B13</f>
        <v>W5</v>
      </c>
      <c r="F52" s="288" t="s">
        <v>254</v>
      </c>
      <c r="G52" s="540" t="str">
        <f>'BD Team'!D13</f>
        <v>3 TRACK 2 SHUTTER SLIDING WINDOW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8" t="s">
        <v>127</v>
      </c>
      <c r="M53" s="539"/>
      <c r="N53" s="542" t="str">
        <f>'BD Team'!G13</f>
        <v>GF - GUEST BEDROOM</v>
      </c>
      <c r="O53" s="542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8" t="s">
        <v>246</v>
      </c>
      <c r="M54" s="539"/>
      <c r="N54" s="540" t="str">
        <f>$F$6</f>
        <v>Powder Coating Black Matt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8" t="s">
        <v>177</v>
      </c>
      <c r="M55" s="539"/>
      <c r="N55" s="540" t="str">
        <f>$K$6</f>
        <v>Black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8" t="s">
        <v>247</v>
      </c>
      <c r="M56" s="539"/>
      <c r="N56" s="542" t="s">
        <v>255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8" t="s">
        <v>248</v>
      </c>
      <c r="M57" s="539"/>
      <c r="N57" s="540" t="str">
        <f>CONCATENATE('BD Team'!H13," X ",'BD Team'!I13)</f>
        <v>1829 X 609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8" t="s">
        <v>249</v>
      </c>
      <c r="M58" s="539"/>
      <c r="N58" s="543">
        <f>'BD Team'!J13</f>
        <v>2</v>
      </c>
      <c r="O58" s="543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8" t="s">
        <v>250</v>
      </c>
      <c r="M59" s="539"/>
      <c r="N59" s="540" t="str">
        <f>'BD Team'!C13</f>
        <v>M900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8" t="s">
        <v>251</v>
      </c>
      <c r="M60" s="539"/>
      <c r="N60" s="540" t="str">
        <f>'BD Team'!E13</f>
        <v>20MM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8" t="s">
        <v>252</v>
      </c>
      <c r="M61" s="539"/>
      <c r="N61" s="540" t="str">
        <f>'BD Team'!F13</f>
        <v>SS</v>
      </c>
      <c r="O61" s="540"/>
    </row>
    <row r="62" spans="3:15">
      <c r="C62" s="544"/>
      <c r="D62" s="544"/>
      <c r="E62" s="544"/>
      <c r="F62" s="544"/>
      <c r="G62" s="544"/>
      <c r="H62" s="544"/>
      <c r="I62" s="544"/>
      <c r="J62" s="544"/>
      <c r="K62" s="544"/>
      <c r="L62" s="544"/>
      <c r="M62" s="544"/>
      <c r="N62" s="544"/>
      <c r="O62" s="544"/>
    </row>
    <row r="63" spans="3:15" ht="25.15" customHeight="1">
      <c r="C63" s="538" t="s">
        <v>253</v>
      </c>
      <c r="D63" s="539"/>
      <c r="E63" s="286" t="str">
        <f>'BD Team'!B14</f>
        <v>W6</v>
      </c>
      <c r="F63" s="288" t="s">
        <v>254</v>
      </c>
      <c r="G63" s="540" t="str">
        <f>'BD Team'!D14</f>
        <v>3 TRACK 2 SHUTTER SLIDING WINDOW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8" t="s">
        <v>127</v>
      </c>
      <c r="M64" s="539"/>
      <c r="N64" s="542" t="str">
        <f>'BD Team'!G14</f>
        <v>GF - GBR, 1F - BR &amp; MBR</v>
      </c>
      <c r="O64" s="542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8" t="s">
        <v>246</v>
      </c>
      <c r="M65" s="539"/>
      <c r="N65" s="540" t="str">
        <f>$F$6</f>
        <v>Powder Coating Black Matt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8" t="s">
        <v>177</v>
      </c>
      <c r="M66" s="539"/>
      <c r="N66" s="540" t="str">
        <f>$K$6</f>
        <v>Black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8" t="s">
        <v>247</v>
      </c>
      <c r="M67" s="539"/>
      <c r="N67" s="542" t="s">
        <v>255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8" t="s">
        <v>248</v>
      </c>
      <c r="M68" s="539"/>
      <c r="N68" s="540" t="str">
        <f>CONCATENATE('BD Team'!H14," X ",'BD Team'!I14)</f>
        <v>1317 X 1473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8" t="s">
        <v>249</v>
      </c>
      <c r="M69" s="539"/>
      <c r="N69" s="543">
        <f>'BD Team'!J14</f>
        <v>5</v>
      </c>
      <c r="O69" s="543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8" t="s">
        <v>250</v>
      </c>
      <c r="M70" s="539"/>
      <c r="N70" s="540" t="str">
        <f>'BD Team'!C14</f>
        <v>M900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8" t="s">
        <v>251</v>
      </c>
      <c r="M71" s="539"/>
      <c r="N71" s="540" t="str">
        <f>'BD Team'!E14</f>
        <v>20MM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8" t="s">
        <v>252</v>
      </c>
      <c r="M72" s="539"/>
      <c r="N72" s="540" t="str">
        <f>'BD Team'!F14</f>
        <v>SS</v>
      </c>
      <c r="O72" s="540"/>
    </row>
    <row r="73" spans="3:15">
      <c r="C73" s="544"/>
      <c r="D73" s="544"/>
      <c r="E73" s="544"/>
      <c r="F73" s="544"/>
      <c r="G73" s="544"/>
      <c r="H73" s="544"/>
      <c r="I73" s="544"/>
      <c r="J73" s="544"/>
      <c r="K73" s="544"/>
      <c r="L73" s="544"/>
      <c r="M73" s="544"/>
      <c r="N73" s="544"/>
      <c r="O73" s="544"/>
    </row>
    <row r="74" spans="3:15" ht="25.15" customHeight="1">
      <c r="C74" s="538" t="s">
        <v>253</v>
      </c>
      <c r="D74" s="539"/>
      <c r="E74" s="286" t="str">
        <f>'BD Team'!B15</f>
        <v>W8</v>
      </c>
      <c r="F74" s="288" t="s">
        <v>254</v>
      </c>
      <c r="G74" s="540" t="str">
        <f>'BD Team'!D15</f>
        <v>3 TRACK 2 SHUTTER SLIDING DOOR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8" t="s">
        <v>127</v>
      </c>
      <c r="M75" s="539"/>
      <c r="N75" s="542" t="str">
        <f>'BD Team'!G15</f>
        <v>GF - LIVING</v>
      </c>
      <c r="O75" s="542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8" t="s">
        <v>246</v>
      </c>
      <c r="M76" s="539"/>
      <c r="N76" s="540" t="str">
        <f>$F$6</f>
        <v>Powder Coating Black Matt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8" t="s">
        <v>177</v>
      </c>
      <c r="M77" s="539"/>
      <c r="N77" s="540" t="str">
        <f>$K$6</f>
        <v>Black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8" t="s">
        <v>247</v>
      </c>
      <c r="M78" s="539"/>
      <c r="N78" s="542" t="s">
        <v>255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8" t="s">
        <v>248</v>
      </c>
      <c r="M79" s="539"/>
      <c r="N79" s="540" t="str">
        <f>CONCATENATE('BD Team'!H15," X ",'BD Team'!I15)</f>
        <v>2305 X 2330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8" t="s">
        <v>249</v>
      </c>
      <c r="M80" s="539"/>
      <c r="N80" s="543">
        <f>'BD Team'!J15</f>
        <v>1</v>
      </c>
      <c r="O80" s="543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8" t="s">
        <v>250</v>
      </c>
      <c r="M81" s="539"/>
      <c r="N81" s="540" t="str">
        <f>'BD Team'!C15</f>
        <v>M14600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8" t="s">
        <v>251</v>
      </c>
      <c r="M82" s="539"/>
      <c r="N82" s="540" t="str">
        <f>'BD Team'!E15</f>
        <v>24MM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8" t="s">
        <v>252</v>
      </c>
      <c r="M83" s="539"/>
      <c r="N83" s="540" t="str">
        <f>'BD Team'!F15</f>
        <v>SS</v>
      </c>
      <c r="O83" s="540"/>
    </row>
    <row r="84" spans="3:15">
      <c r="C84" s="544"/>
      <c r="D84" s="544"/>
      <c r="E84" s="544"/>
      <c r="F84" s="544"/>
      <c r="G84" s="544"/>
      <c r="H84" s="544"/>
      <c r="I84" s="544"/>
      <c r="J84" s="544"/>
      <c r="K84" s="544"/>
      <c r="L84" s="544"/>
      <c r="M84" s="544"/>
      <c r="N84" s="544"/>
      <c r="O84" s="544"/>
    </row>
    <row r="85" spans="3:15" ht="25.15" customHeight="1">
      <c r="C85" s="538" t="s">
        <v>253</v>
      </c>
      <c r="D85" s="539"/>
      <c r="E85" s="286" t="str">
        <f>'BD Team'!B16</f>
        <v>W7</v>
      </c>
      <c r="F85" s="288" t="s">
        <v>254</v>
      </c>
      <c r="G85" s="540" t="str">
        <f>'BD Team'!D16</f>
        <v>3 TRACK 2 SHUTTER SLIDING WINDOW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8" t="s">
        <v>127</v>
      </c>
      <c r="M86" s="539"/>
      <c r="N86" s="542" t="str">
        <f>'BD Team'!G16</f>
        <v>GF - LIVING</v>
      </c>
      <c r="O86" s="542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8" t="s">
        <v>246</v>
      </c>
      <c r="M87" s="539"/>
      <c r="N87" s="540" t="str">
        <f>$F$6</f>
        <v>Powder Coating Black Matt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8" t="s">
        <v>177</v>
      </c>
      <c r="M88" s="539"/>
      <c r="N88" s="540" t="str">
        <f>$K$6</f>
        <v>Black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8" t="s">
        <v>247</v>
      </c>
      <c r="M89" s="539"/>
      <c r="N89" s="542" t="s">
        <v>255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8" t="s">
        <v>248</v>
      </c>
      <c r="M90" s="539"/>
      <c r="N90" s="540" t="str">
        <f>CONCATENATE('BD Team'!H16," X ",'BD Team'!I16)</f>
        <v>1550 X 1917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8" t="s">
        <v>249</v>
      </c>
      <c r="M91" s="539"/>
      <c r="N91" s="543">
        <f>'BD Team'!J16</f>
        <v>2</v>
      </c>
      <c r="O91" s="543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8" t="s">
        <v>250</v>
      </c>
      <c r="M92" s="539"/>
      <c r="N92" s="540" t="str">
        <f>'BD Team'!C16</f>
        <v>M900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8" t="s">
        <v>251</v>
      </c>
      <c r="M93" s="539"/>
      <c r="N93" s="540" t="str">
        <f>'BD Team'!E16</f>
        <v>20MM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8" t="s">
        <v>252</v>
      </c>
      <c r="M94" s="539"/>
      <c r="N94" s="540" t="str">
        <f>'BD Team'!F16</f>
        <v>SS</v>
      </c>
      <c r="O94" s="540"/>
    </row>
    <row r="95" spans="3:15">
      <c r="C95" s="544"/>
      <c r="D95" s="544"/>
      <c r="E95" s="544"/>
      <c r="F95" s="544"/>
      <c r="G95" s="544"/>
      <c r="H95" s="544"/>
      <c r="I95" s="544"/>
      <c r="J95" s="544"/>
      <c r="K95" s="544"/>
      <c r="L95" s="544"/>
      <c r="M95" s="544"/>
      <c r="N95" s="544"/>
      <c r="O95" s="544"/>
    </row>
    <row r="96" spans="3:15" ht="25.15" customHeight="1">
      <c r="C96" s="538" t="s">
        <v>253</v>
      </c>
      <c r="D96" s="539"/>
      <c r="E96" s="286" t="str">
        <f>'BD Team'!B17</f>
        <v>W9</v>
      </c>
      <c r="F96" s="288" t="s">
        <v>254</v>
      </c>
      <c r="G96" s="540" t="str">
        <f>'BD Team'!D17</f>
        <v>TOP HUNG WINDOW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8" t="s">
        <v>127</v>
      </c>
      <c r="M97" s="539"/>
      <c r="N97" s="542" t="str">
        <f>'BD Team'!G17</f>
        <v>GF - POWDER ROOM</v>
      </c>
      <c r="O97" s="542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8" t="s">
        <v>246</v>
      </c>
      <c r="M98" s="539"/>
      <c r="N98" s="540" t="str">
        <f>$F$6</f>
        <v>Powder Coating Black Matt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8" t="s">
        <v>177</v>
      </c>
      <c r="M99" s="539"/>
      <c r="N99" s="540" t="str">
        <f>$K$6</f>
        <v>Black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8" t="s">
        <v>247</v>
      </c>
      <c r="M100" s="539"/>
      <c r="N100" s="542" t="s">
        <v>255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8" t="s">
        <v>248</v>
      </c>
      <c r="M101" s="539"/>
      <c r="N101" s="540" t="str">
        <f>CONCATENATE('BD Team'!H17," X ",'BD Team'!I17)</f>
        <v>620 X 600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8" t="s">
        <v>249</v>
      </c>
      <c r="M102" s="539"/>
      <c r="N102" s="543">
        <f>'BD Team'!J17</f>
        <v>1</v>
      </c>
      <c r="O102" s="543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8" t="s">
        <v>250</v>
      </c>
      <c r="M103" s="539"/>
      <c r="N103" s="540" t="str">
        <f>'BD Team'!C17</f>
        <v>M15000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8" t="s">
        <v>251</v>
      </c>
      <c r="M104" s="539"/>
      <c r="N104" s="540" t="str">
        <f>'BD Team'!E17</f>
        <v>24MM (F)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8" t="s">
        <v>252</v>
      </c>
      <c r="M105" s="539"/>
      <c r="N105" s="540" t="str">
        <f>'BD Team'!F17</f>
        <v>ROLL UP</v>
      </c>
      <c r="O105" s="540"/>
    </row>
    <row r="106" spans="3:15">
      <c r="C106" s="544"/>
      <c r="D106" s="544"/>
      <c r="E106" s="544"/>
      <c r="F106" s="544"/>
      <c r="G106" s="544"/>
      <c r="H106" s="544"/>
      <c r="I106" s="544"/>
      <c r="J106" s="544"/>
      <c r="K106" s="544"/>
      <c r="L106" s="544"/>
      <c r="M106" s="544"/>
      <c r="N106" s="544"/>
      <c r="O106" s="544"/>
    </row>
    <row r="107" spans="3:15" ht="25.15" customHeight="1">
      <c r="C107" s="538" t="s">
        <v>253</v>
      </c>
      <c r="D107" s="539"/>
      <c r="E107" s="286" t="str">
        <f>'BD Team'!B18</f>
        <v>W10</v>
      </c>
      <c r="F107" s="288" t="s">
        <v>254</v>
      </c>
      <c r="G107" s="540" t="str">
        <f>'BD Team'!D18</f>
        <v>TOP HUNG WINDOW WITH BOTTOM FIXED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8" t="s">
        <v>127</v>
      </c>
      <c r="M108" s="539"/>
      <c r="N108" s="542" t="str">
        <f>'BD Team'!G18</f>
        <v>STAIRCASE</v>
      </c>
      <c r="O108" s="542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8" t="s">
        <v>246</v>
      </c>
      <c r="M109" s="539"/>
      <c r="N109" s="540" t="str">
        <f>$F$6</f>
        <v>Powder Coating Black Matt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8" t="s">
        <v>177</v>
      </c>
      <c r="M110" s="539"/>
      <c r="N110" s="540" t="str">
        <f>$K$6</f>
        <v>Black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8" t="s">
        <v>247</v>
      </c>
      <c r="M111" s="539"/>
      <c r="N111" s="542" t="s">
        <v>255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8" t="s">
        <v>248</v>
      </c>
      <c r="M112" s="539"/>
      <c r="N112" s="540" t="str">
        <f>CONCATENATE('BD Team'!H18," X ",'BD Team'!I18)</f>
        <v>555 X 2378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8" t="s">
        <v>249</v>
      </c>
      <c r="M113" s="539"/>
      <c r="N113" s="543">
        <f>'BD Team'!J18</f>
        <v>4</v>
      </c>
      <c r="O113" s="543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8" t="s">
        <v>250</v>
      </c>
      <c r="M114" s="539"/>
      <c r="N114" s="540" t="str">
        <f>'BD Team'!C18</f>
        <v>M15000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8" t="s">
        <v>251</v>
      </c>
      <c r="M115" s="539"/>
      <c r="N115" s="540" t="str">
        <f>'BD Team'!E18</f>
        <v>24MM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8" t="s">
        <v>252</v>
      </c>
      <c r="M116" s="539"/>
      <c r="N116" s="540" t="str">
        <f>'BD Team'!F18</f>
        <v>ROLL UP</v>
      </c>
      <c r="O116" s="540"/>
    </row>
    <row r="117" spans="3:15">
      <c r="C117" s="544"/>
      <c r="D117" s="544"/>
      <c r="E117" s="544"/>
      <c r="F117" s="544"/>
      <c r="G117" s="544"/>
      <c r="H117" s="544"/>
      <c r="I117" s="544"/>
      <c r="J117" s="544"/>
      <c r="K117" s="544"/>
      <c r="L117" s="544"/>
      <c r="M117" s="544"/>
      <c r="N117" s="544"/>
      <c r="O117" s="544"/>
    </row>
    <row r="118" spans="3:15" ht="25.15" customHeight="1">
      <c r="C118" s="538" t="s">
        <v>253</v>
      </c>
      <c r="D118" s="539"/>
      <c r="E118" s="286" t="str">
        <f>'BD Team'!B19</f>
        <v>W11</v>
      </c>
      <c r="F118" s="288" t="s">
        <v>254</v>
      </c>
      <c r="G118" s="540" t="str">
        <f>'BD Team'!D19</f>
        <v>3 TRACK 2 SHUTTER SLIDING WINDOW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8" t="s">
        <v>127</v>
      </c>
      <c r="M119" s="539"/>
      <c r="N119" s="542" t="str">
        <f>'BD Team'!G19</f>
        <v>TOILETS</v>
      </c>
      <c r="O119" s="542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8" t="s">
        <v>246</v>
      </c>
      <c r="M120" s="539"/>
      <c r="N120" s="540" t="str">
        <f>$F$6</f>
        <v>Powder Coating Black Matt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8" t="s">
        <v>177</v>
      </c>
      <c r="M121" s="539"/>
      <c r="N121" s="540" t="str">
        <f>$K$6</f>
        <v>Black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8" t="s">
        <v>247</v>
      </c>
      <c r="M122" s="539"/>
      <c r="N122" s="542" t="s">
        <v>255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8" t="s">
        <v>248</v>
      </c>
      <c r="M123" s="539"/>
      <c r="N123" s="540" t="str">
        <f>CONCATENATE('BD Team'!H19," X ",'BD Team'!I19)</f>
        <v>932 X 618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8" t="s">
        <v>249</v>
      </c>
      <c r="M124" s="539"/>
      <c r="N124" s="543">
        <f>'BD Team'!J19</f>
        <v>5</v>
      </c>
      <c r="O124" s="543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8" t="s">
        <v>250</v>
      </c>
      <c r="M125" s="539"/>
      <c r="N125" s="540" t="str">
        <f>'BD Team'!C19</f>
        <v>M900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8" t="s">
        <v>251</v>
      </c>
      <c r="M126" s="539"/>
      <c r="N126" s="540" t="str">
        <f>'BD Team'!E19</f>
        <v>20MM (F)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8" t="s">
        <v>252</v>
      </c>
      <c r="M127" s="539"/>
      <c r="N127" s="540" t="str">
        <f>'BD Team'!F19</f>
        <v>SS</v>
      </c>
      <c r="O127" s="540"/>
    </row>
    <row r="128" spans="3:15">
      <c r="C128" s="544"/>
      <c r="D128" s="544"/>
      <c r="E128" s="544"/>
      <c r="F128" s="544"/>
      <c r="G128" s="544"/>
      <c r="H128" s="544"/>
      <c r="I128" s="544"/>
      <c r="J128" s="544"/>
      <c r="K128" s="544"/>
      <c r="L128" s="544"/>
      <c r="M128" s="544"/>
      <c r="N128" s="544"/>
      <c r="O128" s="544"/>
    </row>
    <row r="129" spans="3:15" ht="25.15" customHeight="1">
      <c r="C129" s="538" t="s">
        <v>253</v>
      </c>
      <c r="D129" s="539"/>
      <c r="E129" s="286" t="str">
        <f>'BD Team'!B20</f>
        <v>W12</v>
      </c>
      <c r="F129" s="288" t="s">
        <v>254</v>
      </c>
      <c r="G129" s="540" t="str">
        <f>'BD Team'!D20</f>
        <v>3 TRACK 2 SHUTTER SLIDING DOOR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8" t="s">
        <v>127</v>
      </c>
      <c r="M130" s="539"/>
      <c r="N130" s="542" t="str">
        <f>'BD Team'!G20</f>
        <v>1F - FAMILY</v>
      </c>
      <c r="O130" s="542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8" t="s">
        <v>246</v>
      </c>
      <c r="M131" s="539"/>
      <c r="N131" s="540" t="str">
        <f>$F$6</f>
        <v>Powder Coating Black Matt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8" t="s">
        <v>177</v>
      </c>
      <c r="M132" s="539"/>
      <c r="N132" s="540" t="str">
        <f>$K$6</f>
        <v>Black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8" t="s">
        <v>247</v>
      </c>
      <c r="M133" s="539"/>
      <c r="N133" s="542" t="s">
        <v>255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8" t="s">
        <v>248</v>
      </c>
      <c r="M134" s="539"/>
      <c r="N134" s="540" t="str">
        <f>CONCATENATE('BD Team'!H20," X ",'BD Team'!I20)</f>
        <v>1772 X 2223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8" t="s">
        <v>249</v>
      </c>
      <c r="M135" s="539"/>
      <c r="N135" s="543">
        <f>'BD Team'!J20</f>
        <v>2</v>
      </c>
      <c r="O135" s="543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8" t="s">
        <v>250</v>
      </c>
      <c r="M136" s="539"/>
      <c r="N136" s="540" t="str">
        <f>'BD Team'!C20</f>
        <v>M14600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8" t="s">
        <v>251</v>
      </c>
      <c r="M137" s="539"/>
      <c r="N137" s="540" t="str">
        <f>'BD Team'!E20</f>
        <v>24MM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8" t="s">
        <v>252</v>
      </c>
      <c r="M138" s="539"/>
      <c r="N138" s="540" t="str">
        <f>'BD Team'!F20</f>
        <v>SS</v>
      </c>
      <c r="O138" s="540"/>
    </row>
    <row r="139" spans="3:15">
      <c r="C139" s="544"/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4"/>
      <c r="O139" s="544"/>
    </row>
    <row r="140" spans="3:15" ht="25.15" customHeight="1">
      <c r="C140" s="538" t="s">
        <v>253</v>
      </c>
      <c r="D140" s="539"/>
      <c r="E140" s="286" t="str">
        <f>'BD Team'!B21</f>
        <v>W13</v>
      </c>
      <c r="F140" s="288" t="s">
        <v>254</v>
      </c>
      <c r="G140" s="540" t="str">
        <f>'BD Team'!D21</f>
        <v>FIXED GLASS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8" t="s">
        <v>127</v>
      </c>
      <c r="M141" s="539"/>
      <c r="N141" s="542" t="str">
        <f>'BD Team'!G21</f>
        <v>1F - STAIRCASE</v>
      </c>
      <c r="O141" s="542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8" t="s">
        <v>246</v>
      </c>
      <c r="M142" s="539"/>
      <c r="N142" s="540" t="str">
        <f>$F$6</f>
        <v>Powder Coating Black Matt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8" t="s">
        <v>177</v>
      </c>
      <c r="M143" s="539"/>
      <c r="N143" s="540" t="str">
        <f>$K$6</f>
        <v>Black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8" t="s">
        <v>247</v>
      </c>
      <c r="M144" s="539"/>
      <c r="N144" s="542" t="s">
        <v>255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8" t="s">
        <v>248</v>
      </c>
      <c r="M145" s="539"/>
      <c r="N145" s="540" t="str">
        <f>CONCATENATE('BD Team'!H21," X ",'BD Team'!I21)</f>
        <v>543 X 659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8" t="s">
        <v>249</v>
      </c>
      <c r="M146" s="539"/>
      <c r="N146" s="543">
        <f>'BD Team'!J21</f>
        <v>1</v>
      </c>
      <c r="O146" s="543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8" t="s">
        <v>250</v>
      </c>
      <c r="M147" s="539"/>
      <c r="N147" s="540" t="str">
        <f>'BD Team'!C21</f>
        <v>M15000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8" t="s">
        <v>251</v>
      </c>
      <c r="M148" s="539"/>
      <c r="N148" s="540" t="str">
        <f>'BD Team'!E21</f>
        <v>24MM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8" t="s">
        <v>252</v>
      </c>
      <c r="M149" s="539"/>
      <c r="N149" s="540" t="str">
        <f>'BD Team'!F21</f>
        <v>NO</v>
      </c>
      <c r="O149" s="540"/>
    </row>
    <row r="150" spans="3:15"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</row>
    <row r="151" spans="3:15" ht="25.15" customHeight="1">
      <c r="C151" s="538" t="s">
        <v>253</v>
      </c>
      <c r="D151" s="539"/>
      <c r="E151" s="286" t="str">
        <f>'BD Team'!B22</f>
        <v>W14</v>
      </c>
      <c r="F151" s="288" t="s">
        <v>254</v>
      </c>
      <c r="G151" s="540" t="str">
        <f>'BD Team'!D22</f>
        <v>3 TRACK 2 SHUTTER SLIDING WINDOW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8" t="s">
        <v>127</v>
      </c>
      <c r="M152" s="539"/>
      <c r="N152" s="542" t="str">
        <f>'BD Team'!G22</f>
        <v>1F - GYM &amp; LIVING</v>
      </c>
      <c r="O152" s="542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8" t="s">
        <v>246</v>
      </c>
      <c r="M153" s="539"/>
      <c r="N153" s="540" t="str">
        <f>$F$6</f>
        <v>Powder Coating Black Matt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8" t="s">
        <v>177</v>
      </c>
      <c r="M154" s="539"/>
      <c r="N154" s="540" t="str">
        <f>$K$6</f>
        <v>Black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8" t="s">
        <v>247</v>
      </c>
      <c r="M155" s="539"/>
      <c r="N155" s="542" t="s">
        <v>255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8" t="s">
        <v>248</v>
      </c>
      <c r="M156" s="539"/>
      <c r="N156" s="540" t="str">
        <f>CONCATENATE('BD Team'!H22," X ",'BD Team'!I22)</f>
        <v>2381 X 1473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8" t="s">
        <v>249</v>
      </c>
      <c r="M157" s="539"/>
      <c r="N157" s="543">
        <f>'BD Team'!J22</f>
        <v>2</v>
      </c>
      <c r="O157" s="543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8" t="s">
        <v>250</v>
      </c>
      <c r="M158" s="539"/>
      <c r="N158" s="540" t="str">
        <f>'BD Team'!C22</f>
        <v>M900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8" t="s">
        <v>251</v>
      </c>
      <c r="M159" s="539"/>
      <c r="N159" s="540" t="str">
        <f>'BD Team'!E22</f>
        <v>20MM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8" t="s">
        <v>252</v>
      </c>
      <c r="M160" s="539"/>
      <c r="N160" s="540" t="str">
        <f>'BD Team'!F22</f>
        <v>SS</v>
      </c>
      <c r="O160" s="540"/>
    </row>
    <row r="161" spans="3:15">
      <c r="C161" s="544"/>
      <c r="D161" s="544"/>
      <c r="E161" s="544"/>
      <c r="F161" s="544"/>
      <c r="G161" s="544"/>
      <c r="H161" s="544"/>
      <c r="I161" s="544"/>
      <c r="J161" s="544"/>
      <c r="K161" s="544"/>
      <c r="L161" s="544"/>
      <c r="M161" s="544"/>
      <c r="N161" s="544"/>
      <c r="O161" s="544"/>
    </row>
    <row r="162" spans="3:15" ht="25.15" customHeight="1">
      <c r="C162" s="538" t="s">
        <v>253</v>
      </c>
      <c r="D162" s="539"/>
      <c r="E162" s="286" t="str">
        <f>'BD Team'!B23</f>
        <v>W15</v>
      </c>
      <c r="F162" s="288" t="s">
        <v>254</v>
      </c>
      <c r="G162" s="540" t="str">
        <f>'BD Team'!D23</f>
        <v>2 SIDE HUNG DOORS WITH CORNOR FIXED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8" t="s">
        <v>127</v>
      </c>
      <c r="M163" s="539"/>
      <c r="N163" s="542" t="str">
        <f>'BD Team'!G23</f>
        <v>1F - DAUGHTER BEDROOM</v>
      </c>
      <c r="O163" s="542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8" t="s">
        <v>246</v>
      </c>
      <c r="M164" s="539"/>
      <c r="N164" s="540" t="str">
        <f>$F$6</f>
        <v>Powder Coating Black Matt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8" t="s">
        <v>177</v>
      </c>
      <c r="M165" s="539"/>
      <c r="N165" s="540" t="str">
        <f>$K$6</f>
        <v>Black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8" t="s">
        <v>247</v>
      </c>
      <c r="M166" s="539"/>
      <c r="N166" s="542" t="s">
        <v>255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8" t="s">
        <v>248</v>
      </c>
      <c r="M167" s="539"/>
      <c r="N167" s="540" t="str">
        <f>CONCATENATE('BD Team'!H23," X ",'BD Team'!I23)</f>
        <v>3737 X 1981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8" t="s">
        <v>249</v>
      </c>
      <c r="M168" s="539"/>
      <c r="N168" s="543">
        <f>'BD Team'!J23</f>
        <v>1</v>
      </c>
      <c r="O168" s="543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8" t="s">
        <v>250</v>
      </c>
      <c r="M169" s="539"/>
      <c r="N169" s="540" t="str">
        <f>'BD Team'!C23</f>
        <v>M15000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8" t="s">
        <v>251</v>
      </c>
      <c r="M170" s="539"/>
      <c r="N170" s="540" t="str">
        <f>'BD Team'!E23</f>
        <v>24MM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8" t="s">
        <v>252</v>
      </c>
      <c r="M171" s="539"/>
      <c r="N171" s="540" t="str">
        <f>'BD Team'!F23</f>
        <v>RETRACTABLE</v>
      </c>
      <c r="O171" s="540"/>
    </row>
    <row r="172" spans="3:15">
      <c r="C172" s="544"/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4"/>
      <c r="O172" s="544"/>
    </row>
    <row r="173" spans="3:15" ht="25.15" customHeight="1">
      <c r="C173" s="538" t="s">
        <v>253</v>
      </c>
      <c r="D173" s="539"/>
      <c r="E173" s="286">
        <f>'BD Team'!B24</f>
        <v>0</v>
      </c>
      <c r="F173" s="288" t="s">
        <v>254</v>
      </c>
      <c r="G173" s="540">
        <f>'BD Team'!D24</f>
        <v>0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8" t="s">
        <v>127</v>
      </c>
      <c r="M174" s="539"/>
      <c r="N174" s="542">
        <f>'BD Team'!G24</f>
        <v>0</v>
      </c>
      <c r="O174" s="542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8" t="s">
        <v>246</v>
      </c>
      <c r="M175" s="539"/>
      <c r="N175" s="540" t="str">
        <f>$F$6</f>
        <v>Powder Coating Black Matt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8" t="s">
        <v>177</v>
      </c>
      <c r="M176" s="539"/>
      <c r="N176" s="540" t="str">
        <f>$K$6</f>
        <v>Black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8" t="s">
        <v>247</v>
      </c>
      <c r="M177" s="539"/>
      <c r="N177" s="542" t="s">
        <v>255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8" t="s">
        <v>248</v>
      </c>
      <c r="M178" s="539"/>
      <c r="N178" s="540" t="str">
        <f>CONCATENATE('BD Team'!H24," X ",'BD Team'!I24)</f>
        <v xml:space="preserve"> X 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8" t="s">
        <v>249</v>
      </c>
      <c r="M179" s="539"/>
      <c r="N179" s="543">
        <f>'BD Team'!J24</f>
        <v>0</v>
      </c>
      <c r="O179" s="543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8" t="s">
        <v>250</v>
      </c>
      <c r="M180" s="539"/>
      <c r="N180" s="540">
        <f>'BD Team'!C24</f>
        <v>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8" t="s">
        <v>251</v>
      </c>
      <c r="M181" s="539"/>
      <c r="N181" s="540">
        <f>'BD Team'!E24</f>
        <v>0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8" t="s">
        <v>252</v>
      </c>
      <c r="M182" s="539"/>
      <c r="N182" s="540">
        <f>'BD Team'!F24</f>
        <v>0</v>
      </c>
      <c r="O182" s="540"/>
    </row>
    <row r="183" spans="3:15">
      <c r="C183" s="544"/>
      <c r="D183" s="544"/>
      <c r="E183" s="544"/>
      <c r="F183" s="544"/>
      <c r="G183" s="544"/>
      <c r="H183" s="544"/>
      <c r="I183" s="544"/>
      <c r="J183" s="544"/>
      <c r="K183" s="544"/>
      <c r="L183" s="544"/>
      <c r="M183" s="544"/>
      <c r="N183" s="544"/>
      <c r="O183" s="544"/>
    </row>
    <row r="184" spans="3:15" ht="25.15" customHeight="1">
      <c r="C184" s="538" t="s">
        <v>253</v>
      </c>
      <c r="D184" s="539"/>
      <c r="E184" s="286">
        <f>'BD Team'!B25</f>
        <v>0</v>
      </c>
      <c r="F184" s="288" t="s">
        <v>254</v>
      </c>
      <c r="G184" s="540">
        <f>'BD Team'!D25</f>
        <v>0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8" t="s">
        <v>127</v>
      </c>
      <c r="M185" s="539"/>
      <c r="N185" s="542">
        <f>'BD Team'!G25</f>
        <v>0</v>
      </c>
      <c r="O185" s="542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8" t="s">
        <v>246</v>
      </c>
      <c r="M186" s="539"/>
      <c r="N186" s="540" t="str">
        <f>$F$6</f>
        <v>Powder Coating Black Matt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8" t="s">
        <v>177</v>
      </c>
      <c r="M187" s="539"/>
      <c r="N187" s="540" t="str">
        <f>$K$6</f>
        <v>Black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8" t="s">
        <v>247</v>
      </c>
      <c r="M188" s="539"/>
      <c r="N188" s="542" t="s">
        <v>255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8" t="s">
        <v>248</v>
      </c>
      <c r="M189" s="539"/>
      <c r="N189" s="540" t="str">
        <f>CONCATENATE('BD Team'!H25," X ",'BD Team'!I25)</f>
        <v xml:space="preserve"> X 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8" t="s">
        <v>249</v>
      </c>
      <c r="M190" s="539"/>
      <c r="N190" s="543">
        <f>'BD Team'!J25</f>
        <v>0</v>
      </c>
      <c r="O190" s="543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8" t="s">
        <v>250</v>
      </c>
      <c r="M191" s="539"/>
      <c r="N191" s="540">
        <f>'BD Team'!C25</f>
        <v>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8" t="s">
        <v>251</v>
      </c>
      <c r="M192" s="539"/>
      <c r="N192" s="540">
        <f>'BD Team'!E25</f>
        <v>0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8" t="s">
        <v>252</v>
      </c>
      <c r="M193" s="539"/>
      <c r="N193" s="540">
        <f>'BD Team'!F25</f>
        <v>0</v>
      </c>
      <c r="O193" s="540"/>
    </row>
    <row r="194" spans="3:15">
      <c r="C194" s="544"/>
      <c r="D194" s="544"/>
      <c r="E194" s="544"/>
      <c r="F194" s="544"/>
      <c r="G194" s="544"/>
      <c r="H194" s="544"/>
      <c r="I194" s="544"/>
      <c r="J194" s="544"/>
      <c r="K194" s="544"/>
      <c r="L194" s="544"/>
      <c r="M194" s="544"/>
      <c r="N194" s="544"/>
      <c r="O194" s="544"/>
    </row>
    <row r="195" spans="3:15" ht="25.15" customHeight="1">
      <c r="C195" s="538" t="s">
        <v>253</v>
      </c>
      <c r="D195" s="539"/>
      <c r="E195" s="286">
        <f>'BD Team'!B26</f>
        <v>0</v>
      </c>
      <c r="F195" s="288" t="s">
        <v>254</v>
      </c>
      <c r="G195" s="540">
        <f>'BD Team'!D26</f>
        <v>0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8" t="s">
        <v>127</v>
      </c>
      <c r="M196" s="539"/>
      <c r="N196" s="542">
        <f>'BD Team'!G26</f>
        <v>0</v>
      </c>
      <c r="O196" s="542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8" t="s">
        <v>246</v>
      </c>
      <c r="M197" s="539"/>
      <c r="N197" s="540" t="str">
        <f>$F$6</f>
        <v>Powder Coating Black Matt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8" t="s">
        <v>177</v>
      </c>
      <c r="M198" s="539"/>
      <c r="N198" s="540" t="str">
        <f>$K$6</f>
        <v>Black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8" t="s">
        <v>247</v>
      </c>
      <c r="M199" s="539"/>
      <c r="N199" s="542" t="s">
        <v>255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8" t="s">
        <v>248</v>
      </c>
      <c r="M200" s="539"/>
      <c r="N200" s="540" t="str">
        <f>CONCATENATE('BD Team'!H26," X ",'BD Team'!I26)</f>
        <v xml:space="preserve"> X 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8" t="s">
        <v>249</v>
      </c>
      <c r="M201" s="539"/>
      <c r="N201" s="543">
        <f>'BD Team'!J26</f>
        <v>0</v>
      </c>
      <c r="O201" s="543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8" t="s">
        <v>250</v>
      </c>
      <c r="M202" s="539"/>
      <c r="N202" s="540">
        <f>'BD Team'!C26</f>
        <v>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8" t="s">
        <v>251</v>
      </c>
      <c r="M203" s="539"/>
      <c r="N203" s="540">
        <f>'BD Team'!E26</f>
        <v>0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8" t="s">
        <v>252</v>
      </c>
      <c r="M204" s="539"/>
      <c r="N204" s="540">
        <f>'BD Team'!F26</f>
        <v>0</v>
      </c>
      <c r="O204" s="540"/>
    </row>
    <row r="205" spans="3:15">
      <c r="C205" s="544"/>
      <c r="D205" s="544"/>
      <c r="E205" s="544"/>
      <c r="F205" s="544"/>
      <c r="G205" s="544"/>
      <c r="H205" s="544"/>
      <c r="I205" s="544"/>
      <c r="J205" s="544"/>
      <c r="K205" s="544"/>
      <c r="L205" s="544"/>
      <c r="M205" s="544"/>
      <c r="N205" s="544"/>
      <c r="O205" s="544"/>
    </row>
    <row r="206" spans="3:15" ht="25.15" customHeight="1">
      <c r="C206" s="538" t="s">
        <v>253</v>
      </c>
      <c r="D206" s="539"/>
      <c r="E206" s="286">
        <f>'BD Team'!B27</f>
        <v>0</v>
      </c>
      <c r="F206" s="288" t="s">
        <v>254</v>
      </c>
      <c r="G206" s="540">
        <f>'BD Team'!D27</f>
        <v>0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8" t="s">
        <v>127</v>
      </c>
      <c r="M207" s="539"/>
      <c r="N207" s="542">
        <f>'BD Team'!G27</f>
        <v>0</v>
      </c>
      <c r="O207" s="542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8" t="s">
        <v>246</v>
      </c>
      <c r="M208" s="539"/>
      <c r="N208" s="540" t="str">
        <f>$F$6</f>
        <v>Powder Coating Black Matt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8" t="s">
        <v>177</v>
      </c>
      <c r="M209" s="539"/>
      <c r="N209" s="540" t="str">
        <f>$K$6</f>
        <v>Black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8" t="s">
        <v>247</v>
      </c>
      <c r="M210" s="539"/>
      <c r="N210" s="542" t="s">
        <v>255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8" t="s">
        <v>248</v>
      </c>
      <c r="M211" s="539"/>
      <c r="N211" s="540" t="str">
        <f>CONCATENATE('BD Team'!H27," X ",'BD Team'!I27)</f>
        <v xml:space="preserve"> X 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8" t="s">
        <v>249</v>
      </c>
      <c r="M212" s="539"/>
      <c r="N212" s="543">
        <f>'BD Team'!J27</f>
        <v>0</v>
      </c>
      <c r="O212" s="543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8" t="s">
        <v>250</v>
      </c>
      <c r="M213" s="539"/>
      <c r="N213" s="540">
        <f>'BD Team'!C27</f>
        <v>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8" t="s">
        <v>251</v>
      </c>
      <c r="M214" s="539"/>
      <c r="N214" s="540">
        <f>'BD Team'!E27</f>
        <v>0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8" t="s">
        <v>252</v>
      </c>
      <c r="M215" s="539"/>
      <c r="N215" s="540">
        <f>'BD Team'!F27</f>
        <v>0</v>
      </c>
      <c r="O215" s="540"/>
    </row>
    <row r="216" spans="3:15">
      <c r="C216" s="544"/>
      <c r="D216" s="544"/>
      <c r="E216" s="544"/>
      <c r="F216" s="544"/>
      <c r="G216" s="544"/>
      <c r="H216" s="544"/>
      <c r="I216" s="544"/>
      <c r="J216" s="544"/>
      <c r="K216" s="544"/>
      <c r="L216" s="544"/>
      <c r="M216" s="544"/>
      <c r="N216" s="544"/>
      <c r="O216" s="544"/>
    </row>
    <row r="217" spans="3:15" ht="25.15" customHeight="1">
      <c r="C217" s="538" t="s">
        <v>253</v>
      </c>
      <c r="D217" s="539"/>
      <c r="E217" s="286">
        <f>'BD Team'!B28</f>
        <v>0</v>
      </c>
      <c r="F217" s="288" t="s">
        <v>254</v>
      </c>
      <c r="G217" s="540">
        <f>'BD Team'!D28</f>
        <v>0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8" t="s">
        <v>127</v>
      </c>
      <c r="M218" s="539"/>
      <c r="N218" s="542">
        <f>'BD Team'!G28</f>
        <v>0</v>
      </c>
      <c r="O218" s="542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8" t="s">
        <v>246</v>
      </c>
      <c r="M219" s="539"/>
      <c r="N219" s="540" t="str">
        <f>$F$6</f>
        <v>Powder Coating Black Matt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8" t="s">
        <v>177</v>
      </c>
      <c r="M220" s="539"/>
      <c r="N220" s="540" t="str">
        <f>$K$6</f>
        <v>Black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8" t="s">
        <v>247</v>
      </c>
      <c r="M221" s="539"/>
      <c r="N221" s="542" t="s">
        <v>255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8" t="s">
        <v>248</v>
      </c>
      <c r="M222" s="539"/>
      <c r="N222" s="540" t="str">
        <f>CONCATENATE('BD Team'!H28," X ",'BD Team'!I28)</f>
        <v xml:space="preserve"> X 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8" t="s">
        <v>249</v>
      </c>
      <c r="M223" s="539"/>
      <c r="N223" s="543">
        <f>'BD Team'!J28</f>
        <v>0</v>
      </c>
      <c r="O223" s="543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8" t="s">
        <v>250</v>
      </c>
      <c r="M224" s="539"/>
      <c r="N224" s="540">
        <f>'BD Team'!C28</f>
        <v>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8" t="s">
        <v>251</v>
      </c>
      <c r="M225" s="539"/>
      <c r="N225" s="540">
        <f>'BD Team'!E28</f>
        <v>0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8" t="s">
        <v>252</v>
      </c>
      <c r="M226" s="539"/>
      <c r="N226" s="540">
        <f>'BD Team'!F28</f>
        <v>0</v>
      </c>
      <c r="O226" s="540"/>
    </row>
    <row r="227" spans="3:15">
      <c r="C227" s="544"/>
      <c r="D227" s="544"/>
      <c r="E227" s="544"/>
      <c r="F227" s="544"/>
      <c r="G227" s="544"/>
      <c r="H227" s="544"/>
      <c r="I227" s="544"/>
      <c r="J227" s="544"/>
      <c r="K227" s="544"/>
      <c r="L227" s="544"/>
      <c r="M227" s="544"/>
      <c r="N227" s="544"/>
      <c r="O227" s="544"/>
    </row>
    <row r="228" spans="3:15" ht="25.15" customHeight="1">
      <c r="C228" s="538" t="s">
        <v>253</v>
      </c>
      <c r="D228" s="539"/>
      <c r="E228" s="286">
        <f>'BD Team'!B29</f>
        <v>0</v>
      </c>
      <c r="F228" s="288" t="s">
        <v>254</v>
      </c>
      <c r="G228" s="540">
        <f>'BD Team'!D29</f>
        <v>0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8" t="s">
        <v>127</v>
      </c>
      <c r="M229" s="539"/>
      <c r="N229" s="542">
        <f>'BD Team'!G29</f>
        <v>0</v>
      </c>
      <c r="O229" s="542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8" t="s">
        <v>246</v>
      </c>
      <c r="M230" s="539"/>
      <c r="N230" s="540" t="str">
        <f>$F$6</f>
        <v>Powder Coating Black Matt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8" t="s">
        <v>177</v>
      </c>
      <c r="M231" s="539"/>
      <c r="N231" s="540" t="str">
        <f>$K$6</f>
        <v>Black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8" t="s">
        <v>247</v>
      </c>
      <c r="M232" s="539"/>
      <c r="N232" s="542" t="s">
        <v>255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8" t="s">
        <v>248</v>
      </c>
      <c r="M233" s="539"/>
      <c r="N233" s="540" t="str">
        <f>CONCATENATE('BD Team'!H29," X ",'BD Team'!I29)</f>
        <v xml:space="preserve"> X 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8" t="s">
        <v>249</v>
      </c>
      <c r="M234" s="539"/>
      <c r="N234" s="543">
        <f>'BD Team'!J29</f>
        <v>0</v>
      </c>
      <c r="O234" s="543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8" t="s">
        <v>250</v>
      </c>
      <c r="M235" s="539"/>
      <c r="N235" s="540">
        <f>'BD Team'!C29</f>
        <v>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8" t="s">
        <v>251</v>
      </c>
      <c r="M236" s="539"/>
      <c r="N236" s="540">
        <f>'BD Team'!E29</f>
        <v>0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8" t="s">
        <v>252</v>
      </c>
      <c r="M237" s="539"/>
      <c r="N237" s="540">
        <f>'BD Team'!F29</f>
        <v>0</v>
      </c>
      <c r="O237" s="540"/>
    </row>
    <row r="238" spans="3:15">
      <c r="C238" s="544"/>
      <c r="D238" s="544"/>
      <c r="E238" s="544"/>
      <c r="F238" s="544"/>
      <c r="G238" s="544"/>
      <c r="H238" s="544"/>
      <c r="I238" s="544"/>
      <c r="J238" s="544"/>
      <c r="K238" s="544"/>
      <c r="L238" s="544"/>
      <c r="M238" s="544"/>
      <c r="N238" s="544"/>
      <c r="O238" s="544"/>
    </row>
    <row r="239" spans="3:15" ht="25.15" customHeight="1">
      <c r="C239" s="538" t="s">
        <v>253</v>
      </c>
      <c r="D239" s="539"/>
      <c r="E239" s="286">
        <f>'BD Team'!B30</f>
        <v>0</v>
      </c>
      <c r="F239" s="288" t="s">
        <v>254</v>
      </c>
      <c r="G239" s="540">
        <f>'BD Team'!D30</f>
        <v>0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8" t="s">
        <v>127</v>
      </c>
      <c r="M240" s="539"/>
      <c r="N240" s="542">
        <f>'BD Team'!G30</f>
        <v>0</v>
      </c>
      <c r="O240" s="542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8" t="s">
        <v>246</v>
      </c>
      <c r="M241" s="539"/>
      <c r="N241" s="540" t="str">
        <f>$F$6</f>
        <v>Powder Coating Black Matt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8" t="s">
        <v>177</v>
      </c>
      <c r="M242" s="539"/>
      <c r="N242" s="540" t="str">
        <f>$K$6</f>
        <v>Black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8" t="s">
        <v>247</v>
      </c>
      <c r="M243" s="539"/>
      <c r="N243" s="542" t="s">
        <v>255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8" t="s">
        <v>248</v>
      </c>
      <c r="M244" s="539"/>
      <c r="N244" s="540" t="str">
        <f>CONCATENATE('BD Team'!H30," X ",'BD Team'!I30)</f>
        <v xml:space="preserve"> X 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8" t="s">
        <v>249</v>
      </c>
      <c r="M245" s="539"/>
      <c r="N245" s="543">
        <f>'BD Team'!J30</f>
        <v>0</v>
      </c>
      <c r="O245" s="543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8" t="s">
        <v>250</v>
      </c>
      <c r="M246" s="539"/>
      <c r="N246" s="540">
        <f>'BD Team'!C30</f>
        <v>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8" t="s">
        <v>251</v>
      </c>
      <c r="M247" s="539"/>
      <c r="N247" s="540">
        <f>'BD Team'!E30</f>
        <v>0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8" t="s">
        <v>252</v>
      </c>
      <c r="M248" s="539"/>
      <c r="N248" s="540">
        <f>'BD Team'!F30</f>
        <v>0</v>
      </c>
      <c r="O248" s="540"/>
    </row>
    <row r="249" spans="3:15"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4"/>
      <c r="N249" s="544"/>
      <c r="O249" s="544"/>
    </row>
    <row r="250" spans="3:15" ht="25.15" customHeight="1">
      <c r="C250" s="538" t="s">
        <v>253</v>
      </c>
      <c r="D250" s="539"/>
      <c r="E250" s="286">
        <f>'BD Team'!B31</f>
        <v>0</v>
      </c>
      <c r="F250" s="288" t="s">
        <v>254</v>
      </c>
      <c r="G250" s="540">
        <f>'BD Team'!D31</f>
        <v>0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8" t="s">
        <v>127</v>
      </c>
      <c r="M251" s="539"/>
      <c r="N251" s="542">
        <f>'BD Team'!G31</f>
        <v>0</v>
      </c>
      <c r="O251" s="542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8" t="s">
        <v>246</v>
      </c>
      <c r="M252" s="539"/>
      <c r="N252" s="540" t="str">
        <f>$F$6</f>
        <v>Powder Coating Black Matt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8" t="s">
        <v>177</v>
      </c>
      <c r="M253" s="539"/>
      <c r="N253" s="540" t="str">
        <f>$K$6</f>
        <v>Black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8" t="s">
        <v>247</v>
      </c>
      <c r="M254" s="539"/>
      <c r="N254" s="542" t="s">
        <v>255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8" t="s">
        <v>248</v>
      </c>
      <c r="M255" s="539"/>
      <c r="N255" s="540" t="str">
        <f>CONCATENATE('BD Team'!H31," X ",'BD Team'!I31)</f>
        <v xml:space="preserve"> X 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8" t="s">
        <v>249</v>
      </c>
      <c r="M256" s="539"/>
      <c r="N256" s="543">
        <f>'BD Team'!J31</f>
        <v>0</v>
      </c>
      <c r="O256" s="543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8" t="s">
        <v>250</v>
      </c>
      <c r="M257" s="539"/>
      <c r="N257" s="540">
        <f>'BD Team'!C31</f>
        <v>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8" t="s">
        <v>251</v>
      </c>
      <c r="M258" s="539"/>
      <c r="N258" s="540">
        <f>'BD Team'!E31</f>
        <v>0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8" t="s">
        <v>252</v>
      </c>
      <c r="M259" s="539"/>
      <c r="N259" s="540">
        <f>'BD Team'!F31</f>
        <v>0</v>
      </c>
      <c r="O259" s="540"/>
    </row>
    <row r="260" spans="3:15">
      <c r="C260" s="544"/>
      <c r="D260" s="544"/>
      <c r="E260" s="544"/>
      <c r="F260" s="544"/>
      <c r="G260" s="544"/>
      <c r="H260" s="544"/>
      <c r="I260" s="544"/>
      <c r="J260" s="544"/>
      <c r="K260" s="544"/>
      <c r="L260" s="544"/>
      <c r="M260" s="544"/>
      <c r="N260" s="544"/>
      <c r="O260" s="544"/>
    </row>
    <row r="261" spans="3:15" ht="25.15" customHeight="1">
      <c r="C261" s="538" t="s">
        <v>253</v>
      </c>
      <c r="D261" s="539"/>
      <c r="E261" s="286">
        <f>'BD Team'!B32</f>
        <v>0</v>
      </c>
      <c r="F261" s="288" t="s">
        <v>254</v>
      </c>
      <c r="G261" s="540">
        <f>'BD Team'!D32</f>
        <v>0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8" t="s">
        <v>127</v>
      </c>
      <c r="M262" s="539"/>
      <c r="N262" s="542">
        <f>'BD Team'!G32</f>
        <v>0</v>
      </c>
      <c r="O262" s="542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8" t="s">
        <v>246</v>
      </c>
      <c r="M263" s="539"/>
      <c r="N263" s="540" t="str">
        <f>$F$6</f>
        <v>Powder Coating Black Matt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8" t="s">
        <v>177</v>
      </c>
      <c r="M264" s="539"/>
      <c r="N264" s="540" t="str">
        <f>$K$6</f>
        <v>Black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8" t="s">
        <v>247</v>
      </c>
      <c r="M265" s="539"/>
      <c r="N265" s="542" t="s">
        <v>255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8" t="s">
        <v>248</v>
      </c>
      <c r="M266" s="539"/>
      <c r="N266" s="540" t="str">
        <f>CONCATENATE('BD Team'!H32," X ",'BD Team'!I32)</f>
        <v xml:space="preserve"> X 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8" t="s">
        <v>249</v>
      </c>
      <c r="M267" s="539"/>
      <c r="N267" s="543">
        <f>'BD Team'!J32</f>
        <v>0</v>
      </c>
      <c r="O267" s="543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8" t="s">
        <v>250</v>
      </c>
      <c r="M268" s="539"/>
      <c r="N268" s="540">
        <f>'BD Team'!C32</f>
        <v>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8" t="s">
        <v>251</v>
      </c>
      <c r="M269" s="539"/>
      <c r="N269" s="540">
        <f>'BD Team'!E32</f>
        <v>0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8" t="s">
        <v>252</v>
      </c>
      <c r="M270" s="539"/>
      <c r="N270" s="540">
        <f>'BD Team'!F32</f>
        <v>0</v>
      </c>
      <c r="O270" s="540"/>
    </row>
    <row r="271" spans="3:15">
      <c r="C271" s="544"/>
      <c r="D271" s="544"/>
      <c r="E271" s="544"/>
      <c r="F271" s="544"/>
      <c r="G271" s="544"/>
      <c r="H271" s="544"/>
      <c r="I271" s="544"/>
      <c r="J271" s="544"/>
      <c r="K271" s="544"/>
      <c r="L271" s="544"/>
      <c r="M271" s="544"/>
      <c r="N271" s="544"/>
      <c r="O271" s="544"/>
    </row>
    <row r="272" spans="3:15" ht="25.15" customHeight="1">
      <c r="C272" s="538" t="s">
        <v>253</v>
      </c>
      <c r="D272" s="539"/>
      <c r="E272" s="286">
        <f>'BD Team'!B33</f>
        <v>0</v>
      </c>
      <c r="F272" s="288" t="s">
        <v>254</v>
      </c>
      <c r="G272" s="540">
        <f>'BD Team'!D33</f>
        <v>0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8" t="s">
        <v>127</v>
      </c>
      <c r="M273" s="539"/>
      <c r="N273" s="542">
        <f>'BD Team'!G33</f>
        <v>0</v>
      </c>
      <c r="O273" s="542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8" t="s">
        <v>246</v>
      </c>
      <c r="M274" s="539"/>
      <c r="N274" s="540" t="str">
        <f>$F$6</f>
        <v>Powder Coating Black Matt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8" t="s">
        <v>177</v>
      </c>
      <c r="M275" s="539"/>
      <c r="N275" s="540" t="str">
        <f>$K$6</f>
        <v>Black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8" t="s">
        <v>247</v>
      </c>
      <c r="M276" s="539"/>
      <c r="N276" s="542" t="s">
        <v>255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8" t="s">
        <v>248</v>
      </c>
      <c r="M277" s="539"/>
      <c r="N277" s="540" t="str">
        <f>CONCATENATE('BD Team'!H33," X ",'BD Team'!I33)</f>
        <v xml:space="preserve"> X 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8" t="s">
        <v>249</v>
      </c>
      <c r="M278" s="539"/>
      <c r="N278" s="543">
        <f>'BD Team'!J33</f>
        <v>0</v>
      </c>
      <c r="O278" s="543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8" t="s">
        <v>250</v>
      </c>
      <c r="M279" s="539"/>
      <c r="N279" s="540">
        <f>'BD Team'!C33</f>
        <v>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8" t="s">
        <v>251</v>
      </c>
      <c r="M280" s="539"/>
      <c r="N280" s="540">
        <f>'BD Team'!E33</f>
        <v>0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8" t="s">
        <v>252</v>
      </c>
      <c r="M281" s="539"/>
      <c r="N281" s="540">
        <f>'BD Team'!F33</f>
        <v>0</v>
      </c>
      <c r="O281" s="540"/>
    </row>
    <row r="282" spans="3:15">
      <c r="C282" s="544"/>
      <c r="D282" s="544"/>
      <c r="E282" s="544"/>
      <c r="F282" s="544"/>
      <c r="G282" s="544"/>
      <c r="H282" s="544"/>
      <c r="I282" s="544"/>
      <c r="J282" s="544"/>
      <c r="K282" s="544"/>
      <c r="L282" s="544"/>
      <c r="M282" s="544"/>
      <c r="N282" s="544"/>
      <c r="O282" s="544"/>
    </row>
    <row r="283" spans="3:15" ht="25.15" customHeight="1">
      <c r="C283" s="538" t="s">
        <v>253</v>
      </c>
      <c r="D283" s="539"/>
      <c r="E283" s="286">
        <f>'BD Team'!B34</f>
        <v>0</v>
      </c>
      <c r="F283" s="288" t="s">
        <v>254</v>
      </c>
      <c r="G283" s="540">
        <f>'BD Team'!D34</f>
        <v>0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8" t="s">
        <v>127</v>
      </c>
      <c r="M284" s="539"/>
      <c r="N284" s="542">
        <f>'BD Team'!G34</f>
        <v>0</v>
      </c>
      <c r="O284" s="542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8" t="s">
        <v>246</v>
      </c>
      <c r="M285" s="539"/>
      <c r="N285" s="540" t="str">
        <f>$F$6</f>
        <v>Powder Coating Black Matt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8" t="s">
        <v>177</v>
      </c>
      <c r="M286" s="539"/>
      <c r="N286" s="540" t="str">
        <f>$K$6</f>
        <v>Black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8" t="s">
        <v>247</v>
      </c>
      <c r="M287" s="539"/>
      <c r="N287" s="542" t="s">
        <v>255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8" t="s">
        <v>248</v>
      </c>
      <c r="M288" s="539"/>
      <c r="N288" s="540" t="str">
        <f>CONCATENATE('BD Team'!H34," X ",'BD Team'!I34)</f>
        <v xml:space="preserve"> X 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8" t="s">
        <v>249</v>
      </c>
      <c r="M289" s="539"/>
      <c r="N289" s="543">
        <f>'BD Team'!J34</f>
        <v>0</v>
      </c>
      <c r="O289" s="543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8" t="s">
        <v>250</v>
      </c>
      <c r="M290" s="539"/>
      <c r="N290" s="540">
        <f>'BD Team'!C34</f>
        <v>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8" t="s">
        <v>251</v>
      </c>
      <c r="M291" s="539"/>
      <c r="N291" s="540">
        <f>'BD Team'!E34</f>
        <v>0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8" t="s">
        <v>252</v>
      </c>
      <c r="M292" s="539"/>
      <c r="N292" s="540">
        <f>'BD Team'!F34</f>
        <v>0</v>
      </c>
      <c r="O292" s="540"/>
    </row>
    <row r="293" spans="3:15"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  <c r="O293" s="544"/>
    </row>
    <row r="294" spans="3:15" ht="25.15" customHeight="1">
      <c r="C294" s="538" t="s">
        <v>253</v>
      </c>
      <c r="D294" s="539"/>
      <c r="E294" s="286">
        <f>'BD Team'!B35</f>
        <v>0</v>
      </c>
      <c r="F294" s="288" t="s">
        <v>254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8" t="s">
        <v>127</v>
      </c>
      <c r="M295" s="539"/>
      <c r="N295" s="542">
        <f>'BD Team'!G35</f>
        <v>0</v>
      </c>
      <c r="O295" s="542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8" t="s">
        <v>246</v>
      </c>
      <c r="M296" s="539"/>
      <c r="N296" s="540" t="str">
        <f>$F$6</f>
        <v>Powder Coating Black Matt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8" t="s">
        <v>177</v>
      </c>
      <c r="M297" s="539"/>
      <c r="N297" s="540" t="str">
        <f>$K$6</f>
        <v>Black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8" t="s">
        <v>247</v>
      </c>
      <c r="M298" s="539"/>
      <c r="N298" s="542" t="s">
        <v>255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8" t="s">
        <v>248</v>
      </c>
      <c r="M299" s="539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8" t="s">
        <v>249</v>
      </c>
      <c r="M300" s="539"/>
      <c r="N300" s="543">
        <f>'BD Team'!J35</f>
        <v>0</v>
      </c>
      <c r="O300" s="543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8" t="s">
        <v>250</v>
      </c>
      <c r="M301" s="539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8" t="s">
        <v>251</v>
      </c>
      <c r="M302" s="539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8" t="s">
        <v>252</v>
      </c>
      <c r="M303" s="539"/>
      <c r="N303" s="540">
        <f>'BD Team'!F35</f>
        <v>0</v>
      </c>
      <c r="O303" s="540"/>
    </row>
    <row r="304" spans="3:15">
      <c r="C304" s="544"/>
      <c r="D304" s="544"/>
      <c r="E304" s="544"/>
      <c r="F304" s="544"/>
      <c r="G304" s="544"/>
      <c r="H304" s="544"/>
      <c r="I304" s="544"/>
      <c r="J304" s="544"/>
      <c r="K304" s="544"/>
      <c r="L304" s="544"/>
      <c r="M304" s="544"/>
      <c r="N304" s="544"/>
      <c r="O304" s="544"/>
    </row>
    <row r="305" spans="3:15" ht="25.15" customHeight="1">
      <c r="C305" s="538" t="s">
        <v>253</v>
      </c>
      <c r="D305" s="539"/>
      <c r="E305" s="286">
        <f>'BD Team'!B36</f>
        <v>0</v>
      </c>
      <c r="F305" s="288" t="s">
        <v>254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8" t="s">
        <v>127</v>
      </c>
      <c r="M306" s="539"/>
      <c r="N306" s="542">
        <f>'BD Team'!G36</f>
        <v>0</v>
      </c>
      <c r="O306" s="542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8" t="s">
        <v>246</v>
      </c>
      <c r="M307" s="539"/>
      <c r="N307" s="540" t="str">
        <f>$F$6</f>
        <v>Powder Coating Black Matt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8" t="s">
        <v>177</v>
      </c>
      <c r="M308" s="539"/>
      <c r="N308" s="540" t="str">
        <f>$K$6</f>
        <v>Black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8" t="s">
        <v>247</v>
      </c>
      <c r="M309" s="539"/>
      <c r="N309" s="542" t="s">
        <v>255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8" t="s">
        <v>248</v>
      </c>
      <c r="M310" s="539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8" t="s">
        <v>249</v>
      </c>
      <c r="M311" s="539"/>
      <c r="N311" s="543">
        <f>'BD Team'!J36</f>
        <v>0</v>
      </c>
      <c r="O311" s="543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8" t="s">
        <v>250</v>
      </c>
      <c r="M312" s="539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8" t="s">
        <v>251</v>
      </c>
      <c r="M313" s="539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8" t="s">
        <v>252</v>
      </c>
      <c r="M314" s="539"/>
      <c r="N314" s="540">
        <f>'BD Team'!F36</f>
        <v>0</v>
      </c>
      <c r="O314" s="540"/>
    </row>
    <row r="315" spans="3:15"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4"/>
      <c r="O315" s="544"/>
    </row>
    <row r="316" spans="3:15" ht="25.15" customHeight="1">
      <c r="C316" s="538" t="s">
        <v>253</v>
      </c>
      <c r="D316" s="539"/>
      <c r="E316" s="286">
        <f>'BD Team'!B37</f>
        <v>0</v>
      </c>
      <c r="F316" s="288" t="s">
        <v>254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8" t="s">
        <v>127</v>
      </c>
      <c r="M317" s="539"/>
      <c r="N317" s="542">
        <f>'BD Team'!G37</f>
        <v>0</v>
      </c>
      <c r="O317" s="542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8" t="s">
        <v>246</v>
      </c>
      <c r="M318" s="539"/>
      <c r="N318" s="540" t="str">
        <f>$F$6</f>
        <v>Powder Coating Black Matt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8" t="s">
        <v>177</v>
      </c>
      <c r="M319" s="539"/>
      <c r="N319" s="540" t="str">
        <f>$K$6</f>
        <v>Black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8" t="s">
        <v>247</v>
      </c>
      <c r="M320" s="539"/>
      <c r="N320" s="542" t="s">
        <v>255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8" t="s">
        <v>248</v>
      </c>
      <c r="M321" s="539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8" t="s">
        <v>249</v>
      </c>
      <c r="M322" s="539"/>
      <c r="N322" s="543">
        <f>'BD Team'!J37</f>
        <v>0</v>
      </c>
      <c r="O322" s="543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8" t="s">
        <v>250</v>
      </c>
      <c r="M323" s="539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8" t="s">
        <v>251</v>
      </c>
      <c r="M324" s="539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8" t="s">
        <v>252</v>
      </c>
      <c r="M325" s="539"/>
      <c r="N325" s="540">
        <f>'BD Team'!F37</f>
        <v>0</v>
      </c>
      <c r="O325" s="540"/>
    </row>
    <row r="326" spans="3:15">
      <c r="C326" s="544"/>
      <c r="D326" s="544"/>
      <c r="E326" s="544"/>
      <c r="F326" s="544"/>
      <c r="G326" s="544"/>
      <c r="H326" s="544"/>
      <c r="I326" s="544"/>
      <c r="J326" s="544"/>
      <c r="K326" s="544"/>
      <c r="L326" s="544"/>
      <c r="M326" s="544"/>
      <c r="N326" s="544"/>
      <c r="O326" s="544"/>
    </row>
    <row r="327" spans="3:15" ht="25.15" customHeight="1">
      <c r="C327" s="538" t="s">
        <v>253</v>
      </c>
      <c r="D327" s="539"/>
      <c r="E327" s="286">
        <f>'BD Team'!B38</f>
        <v>0</v>
      </c>
      <c r="F327" s="288" t="s">
        <v>254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8" t="s">
        <v>127</v>
      </c>
      <c r="M328" s="539"/>
      <c r="N328" s="542">
        <f>'BD Team'!G38</f>
        <v>0</v>
      </c>
      <c r="O328" s="542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8" t="s">
        <v>246</v>
      </c>
      <c r="M329" s="539"/>
      <c r="N329" s="540" t="str">
        <f>$F$6</f>
        <v>Powder Coating Black Matt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8" t="s">
        <v>177</v>
      </c>
      <c r="M330" s="539"/>
      <c r="N330" s="540" t="str">
        <f>$K$6</f>
        <v>Black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8" t="s">
        <v>247</v>
      </c>
      <c r="M331" s="539"/>
      <c r="N331" s="542" t="s">
        <v>255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8" t="s">
        <v>248</v>
      </c>
      <c r="M332" s="539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8" t="s">
        <v>249</v>
      </c>
      <c r="M333" s="539"/>
      <c r="N333" s="543">
        <f>'BD Team'!J38</f>
        <v>0</v>
      </c>
      <c r="O333" s="543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8" t="s">
        <v>250</v>
      </c>
      <c r="M334" s="539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8" t="s">
        <v>251</v>
      </c>
      <c r="M335" s="539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8" t="s">
        <v>252</v>
      </c>
      <c r="M336" s="539"/>
      <c r="N336" s="540">
        <f>'BD Team'!F38</f>
        <v>0</v>
      </c>
      <c r="O336" s="540"/>
    </row>
    <row r="337" spans="3:15">
      <c r="C337" s="544"/>
      <c r="D337" s="544"/>
      <c r="E337" s="544"/>
      <c r="F337" s="544"/>
      <c r="G337" s="544"/>
      <c r="H337" s="544"/>
      <c r="I337" s="544"/>
      <c r="J337" s="544"/>
      <c r="K337" s="544"/>
      <c r="L337" s="544"/>
      <c r="M337" s="544"/>
      <c r="N337" s="544"/>
      <c r="O337" s="544"/>
    </row>
    <row r="338" spans="3:15" ht="25.15" customHeight="1">
      <c r="C338" s="538" t="s">
        <v>253</v>
      </c>
      <c r="D338" s="539"/>
      <c r="E338" s="286">
        <f>'BD Team'!B39</f>
        <v>0</v>
      </c>
      <c r="F338" s="288" t="s">
        <v>254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8" t="s">
        <v>127</v>
      </c>
      <c r="M339" s="539"/>
      <c r="N339" s="542">
        <f>'BD Team'!G39</f>
        <v>0</v>
      </c>
      <c r="O339" s="542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8" t="s">
        <v>246</v>
      </c>
      <c r="M340" s="539"/>
      <c r="N340" s="540" t="str">
        <f>$F$6</f>
        <v>Powder Coating Black Matt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8" t="s">
        <v>177</v>
      </c>
      <c r="M341" s="539"/>
      <c r="N341" s="540" t="str">
        <f>$K$6</f>
        <v>Black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8" t="s">
        <v>247</v>
      </c>
      <c r="M342" s="539"/>
      <c r="N342" s="542" t="s">
        <v>255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8" t="s">
        <v>248</v>
      </c>
      <c r="M343" s="539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8" t="s">
        <v>249</v>
      </c>
      <c r="M344" s="539"/>
      <c r="N344" s="543">
        <f>'BD Team'!J39</f>
        <v>0</v>
      </c>
      <c r="O344" s="543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8" t="s">
        <v>250</v>
      </c>
      <c r="M345" s="539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8" t="s">
        <v>251</v>
      </c>
      <c r="M346" s="539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8" t="s">
        <v>252</v>
      </c>
      <c r="M347" s="539"/>
      <c r="N347" s="540">
        <f>'BD Team'!F39</f>
        <v>0</v>
      </c>
      <c r="O347" s="540"/>
    </row>
    <row r="348" spans="3:15">
      <c r="C348" s="544"/>
      <c r="D348" s="544"/>
      <c r="E348" s="544"/>
      <c r="F348" s="544"/>
      <c r="G348" s="544"/>
      <c r="H348" s="544"/>
      <c r="I348" s="544"/>
      <c r="J348" s="544"/>
      <c r="K348" s="544"/>
      <c r="L348" s="544"/>
      <c r="M348" s="544"/>
      <c r="N348" s="544"/>
      <c r="O348" s="544"/>
    </row>
    <row r="349" spans="3:15" ht="25.15" customHeight="1">
      <c r="C349" s="538" t="s">
        <v>253</v>
      </c>
      <c r="D349" s="539"/>
      <c r="E349" s="286">
        <f>'BD Team'!B40</f>
        <v>0</v>
      </c>
      <c r="F349" s="288" t="s">
        <v>254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8" t="s">
        <v>127</v>
      </c>
      <c r="M350" s="539"/>
      <c r="N350" s="542">
        <f>'BD Team'!G40</f>
        <v>0</v>
      </c>
      <c r="O350" s="542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8" t="s">
        <v>246</v>
      </c>
      <c r="M351" s="539"/>
      <c r="N351" s="540" t="str">
        <f>$F$6</f>
        <v>Powder Coating Black Matt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8" t="s">
        <v>177</v>
      </c>
      <c r="M352" s="539"/>
      <c r="N352" s="540" t="str">
        <f>$K$6</f>
        <v>Black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8" t="s">
        <v>247</v>
      </c>
      <c r="M353" s="539"/>
      <c r="N353" s="542" t="s">
        <v>255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8" t="s">
        <v>248</v>
      </c>
      <c r="M354" s="539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8" t="s">
        <v>249</v>
      </c>
      <c r="M355" s="539"/>
      <c r="N355" s="543">
        <f>'BD Team'!J40</f>
        <v>0</v>
      </c>
      <c r="O355" s="543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8" t="s">
        <v>250</v>
      </c>
      <c r="M356" s="539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8" t="s">
        <v>251</v>
      </c>
      <c r="M357" s="539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8" t="s">
        <v>252</v>
      </c>
      <c r="M358" s="539"/>
      <c r="N358" s="540">
        <f>'BD Team'!F40</f>
        <v>0</v>
      </c>
      <c r="O358" s="540"/>
    </row>
    <row r="359" spans="3:15">
      <c r="C359" s="544"/>
      <c r="D359" s="544"/>
      <c r="E359" s="544"/>
      <c r="F359" s="544"/>
      <c r="G359" s="544"/>
      <c r="H359" s="544"/>
      <c r="I359" s="544"/>
      <c r="J359" s="544"/>
      <c r="K359" s="544"/>
      <c r="L359" s="544"/>
      <c r="M359" s="544"/>
      <c r="N359" s="544"/>
      <c r="O359" s="544"/>
    </row>
    <row r="360" spans="3:15" ht="25.15" customHeight="1">
      <c r="C360" s="538" t="s">
        <v>253</v>
      </c>
      <c r="D360" s="539"/>
      <c r="E360" s="286">
        <f>'BD Team'!B41</f>
        <v>0</v>
      </c>
      <c r="F360" s="288" t="s">
        <v>254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8" t="s">
        <v>127</v>
      </c>
      <c r="M361" s="539"/>
      <c r="N361" s="542">
        <f>'BD Team'!G41</f>
        <v>0</v>
      </c>
      <c r="O361" s="542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8" t="s">
        <v>246</v>
      </c>
      <c r="M362" s="539"/>
      <c r="N362" s="540" t="str">
        <f>$F$6</f>
        <v>Powder Coating Black Matt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8" t="s">
        <v>177</v>
      </c>
      <c r="M363" s="539"/>
      <c r="N363" s="540" t="str">
        <f>$K$6</f>
        <v>Black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8" t="s">
        <v>247</v>
      </c>
      <c r="M364" s="539"/>
      <c r="N364" s="542" t="s">
        <v>255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8" t="s">
        <v>248</v>
      </c>
      <c r="M365" s="539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8" t="s">
        <v>249</v>
      </c>
      <c r="M366" s="539"/>
      <c r="N366" s="543">
        <f>'BD Team'!J41</f>
        <v>0</v>
      </c>
      <c r="O366" s="543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8" t="s">
        <v>250</v>
      </c>
      <c r="M367" s="539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8" t="s">
        <v>251</v>
      </c>
      <c r="M368" s="539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8" t="s">
        <v>252</v>
      </c>
      <c r="M369" s="539"/>
      <c r="N369" s="540">
        <f>'BD Team'!F41</f>
        <v>0</v>
      </c>
      <c r="O369" s="540"/>
    </row>
    <row r="370" spans="3:15">
      <c r="C370" s="544"/>
      <c r="D370" s="544"/>
      <c r="E370" s="544"/>
      <c r="F370" s="544"/>
      <c r="G370" s="544"/>
      <c r="H370" s="544"/>
      <c r="I370" s="544"/>
      <c r="J370" s="544"/>
      <c r="K370" s="544"/>
      <c r="L370" s="544"/>
      <c r="M370" s="544"/>
      <c r="N370" s="544"/>
      <c r="O370" s="544"/>
    </row>
    <row r="371" spans="3:15" ht="25.15" customHeight="1">
      <c r="C371" s="538" t="s">
        <v>253</v>
      </c>
      <c r="D371" s="539"/>
      <c r="E371" s="286">
        <f>'BD Team'!B42</f>
        <v>0</v>
      </c>
      <c r="F371" s="288" t="s">
        <v>254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8" t="s">
        <v>127</v>
      </c>
      <c r="M372" s="539"/>
      <c r="N372" s="542">
        <f>'BD Team'!G42</f>
        <v>0</v>
      </c>
      <c r="O372" s="542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8" t="s">
        <v>246</v>
      </c>
      <c r="M373" s="539"/>
      <c r="N373" s="540" t="str">
        <f>$F$6</f>
        <v>Powder Coating Black Matt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8" t="s">
        <v>177</v>
      </c>
      <c r="M374" s="539"/>
      <c r="N374" s="540" t="str">
        <f>$K$6</f>
        <v>Black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8" t="s">
        <v>247</v>
      </c>
      <c r="M375" s="539"/>
      <c r="N375" s="542" t="s">
        <v>255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8" t="s">
        <v>248</v>
      </c>
      <c r="M376" s="539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8" t="s">
        <v>249</v>
      </c>
      <c r="M377" s="539"/>
      <c r="N377" s="543">
        <f>'BD Team'!J42</f>
        <v>0</v>
      </c>
      <c r="O377" s="543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8" t="s">
        <v>250</v>
      </c>
      <c r="M378" s="539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8" t="s">
        <v>251</v>
      </c>
      <c r="M379" s="539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8" t="s">
        <v>252</v>
      </c>
      <c r="M380" s="539"/>
      <c r="N380" s="540">
        <f>'BD Team'!F42</f>
        <v>0</v>
      </c>
      <c r="O380" s="540"/>
    </row>
    <row r="381" spans="3:15">
      <c r="C381" s="544"/>
      <c r="D381" s="544"/>
      <c r="E381" s="544"/>
      <c r="F381" s="544"/>
      <c r="G381" s="544"/>
      <c r="H381" s="544"/>
      <c r="I381" s="544"/>
      <c r="J381" s="544"/>
      <c r="K381" s="544"/>
      <c r="L381" s="544"/>
      <c r="M381" s="544"/>
      <c r="N381" s="544"/>
      <c r="O381" s="544"/>
    </row>
    <row r="382" spans="3:15" ht="25.15" customHeight="1">
      <c r="C382" s="538" t="s">
        <v>253</v>
      </c>
      <c r="D382" s="539"/>
      <c r="E382" s="286">
        <f>'BD Team'!B43</f>
        <v>0</v>
      </c>
      <c r="F382" s="288" t="s">
        <v>254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8" t="s">
        <v>127</v>
      </c>
      <c r="M383" s="539"/>
      <c r="N383" s="542">
        <f>'BD Team'!G43</f>
        <v>0</v>
      </c>
      <c r="O383" s="542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8" t="s">
        <v>246</v>
      </c>
      <c r="M384" s="539"/>
      <c r="N384" s="540" t="str">
        <f>$F$6</f>
        <v>Powder Coating Black Matt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8" t="s">
        <v>177</v>
      </c>
      <c r="M385" s="539"/>
      <c r="N385" s="540" t="str">
        <f>$K$6</f>
        <v>Black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8" t="s">
        <v>247</v>
      </c>
      <c r="M386" s="539"/>
      <c r="N386" s="542" t="s">
        <v>255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8" t="s">
        <v>248</v>
      </c>
      <c r="M387" s="539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8" t="s">
        <v>249</v>
      </c>
      <c r="M388" s="539"/>
      <c r="N388" s="543">
        <f>'BD Team'!J43</f>
        <v>0</v>
      </c>
      <c r="O388" s="543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8" t="s">
        <v>250</v>
      </c>
      <c r="M389" s="539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8" t="s">
        <v>251</v>
      </c>
      <c r="M390" s="539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8" t="s">
        <v>252</v>
      </c>
      <c r="M391" s="539"/>
      <c r="N391" s="540">
        <f>'BD Team'!F43</f>
        <v>0</v>
      </c>
      <c r="O391" s="540"/>
    </row>
    <row r="392" spans="3:15">
      <c r="C392" s="544"/>
      <c r="D392" s="544"/>
      <c r="E392" s="544"/>
      <c r="F392" s="544"/>
      <c r="G392" s="544"/>
      <c r="H392" s="544"/>
      <c r="I392" s="544"/>
      <c r="J392" s="544"/>
      <c r="K392" s="544"/>
      <c r="L392" s="544"/>
      <c r="M392" s="544"/>
      <c r="N392" s="544"/>
      <c r="O392" s="544"/>
    </row>
    <row r="393" spans="3:15" ht="25.15" customHeight="1">
      <c r="C393" s="538" t="s">
        <v>253</v>
      </c>
      <c r="D393" s="539"/>
      <c r="E393" s="286">
        <f>'BD Team'!B44</f>
        <v>0</v>
      </c>
      <c r="F393" s="288" t="s">
        <v>254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8" t="s">
        <v>127</v>
      </c>
      <c r="M394" s="539"/>
      <c r="N394" s="542">
        <f>'BD Team'!G44</f>
        <v>0</v>
      </c>
      <c r="O394" s="542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8" t="s">
        <v>246</v>
      </c>
      <c r="M395" s="539"/>
      <c r="N395" s="540" t="str">
        <f>$F$6</f>
        <v>Powder Coating Black Matt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8" t="s">
        <v>177</v>
      </c>
      <c r="M396" s="539"/>
      <c r="N396" s="540" t="str">
        <f>$K$6</f>
        <v>Black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8" t="s">
        <v>247</v>
      </c>
      <c r="M397" s="539"/>
      <c r="N397" s="542" t="s">
        <v>255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8" t="s">
        <v>248</v>
      </c>
      <c r="M398" s="539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8" t="s">
        <v>249</v>
      </c>
      <c r="M399" s="539"/>
      <c r="N399" s="543">
        <f>'BD Team'!J44</f>
        <v>0</v>
      </c>
      <c r="O399" s="543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8" t="s">
        <v>250</v>
      </c>
      <c r="M400" s="539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8" t="s">
        <v>251</v>
      </c>
      <c r="M401" s="539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8" t="s">
        <v>252</v>
      </c>
      <c r="M402" s="539"/>
      <c r="N402" s="540">
        <f>'BD Team'!F44</f>
        <v>0</v>
      </c>
      <c r="O402" s="540"/>
    </row>
    <row r="403" spans="3:15">
      <c r="C403" s="544"/>
      <c r="D403" s="544"/>
      <c r="E403" s="544"/>
      <c r="F403" s="544"/>
      <c r="G403" s="544"/>
      <c r="H403" s="544"/>
      <c r="I403" s="544"/>
      <c r="J403" s="544"/>
      <c r="K403" s="544"/>
      <c r="L403" s="544"/>
      <c r="M403" s="544"/>
      <c r="N403" s="544"/>
      <c r="O403" s="544"/>
    </row>
    <row r="404" spans="3:15" ht="25.15" customHeight="1">
      <c r="C404" s="538" t="s">
        <v>253</v>
      </c>
      <c r="D404" s="539"/>
      <c r="E404" s="286">
        <f>'BD Team'!B45</f>
        <v>0</v>
      </c>
      <c r="F404" s="288" t="s">
        <v>254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8" t="s">
        <v>127</v>
      </c>
      <c r="M405" s="539"/>
      <c r="N405" s="542">
        <f>'BD Team'!G45</f>
        <v>0</v>
      </c>
      <c r="O405" s="542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8" t="s">
        <v>246</v>
      </c>
      <c r="M406" s="539"/>
      <c r="N406" s="540" t="str">
        <f>$F$6</f>
        <v>Powder Coating Black Matt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8" t="s">
        <v>177</v>
      </c>
      <c r="M407" s="539"/>
      <c r="N407" s="540" t="str">
        <f>$K$6</f>
        <v>Black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8" t="s">
        <v>247</v>
      </c>
      <c r="M408" s="539"/>
      <c r="N408" s="542" t="s">
        <v>255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8" t="s">
        <v>248</v>
      </c>
      <c r="M409" s="539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8" t="s">
        <v>249</v>
      </c>
      <c r="M410" s="539"/>
      <c r="N410" s="543">
        <f>'BD Team'!J45</f>
        <v>0</v>
      </c>
      <c r="O410" s="543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8" t="s">
        <v>250</v>
      </c>
      <c r="M411" s="539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8" t="s">
        <v>251</v>
      </c>
      <c r="M412" s="539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8" t="s">
        <v>252</v>
      </c>
      <c r="M413" s="539"/>
      <c r="N413" s="540">
        <f>'BD Team'!F45</f>
        <v>0</v>
      </c>
      <c r="O413" s="540"/>
    </row>
    <row r="414" spans="3:15">
      <c r="C414" s="544"/>
      <c r="D414" s="544"/>
      <c r="E414" s="544"/>
      <c r="F414" s="544"/>
      <c r="G414" s="544"/>
      <c r="H414" s="544"/>
      <c r="I414" s="544"/>
      <c r="J414" s="544"/>
      <c r="K414" s="544"/>
      <c r="L414" s="544"/>
      <c r="M414" s="544"/>
      <c r="N414" s="544"/>
      <c r="O414" s="544"/>
    </row>
    <row r="415" spans="3:15" ht="25.15" customHeight="1">
      <c r="C415" s="538" t="s">
        <v>253</v>
      </c>
      <c r="D415" s="539"/>
      <c r="E415" s="286">
        <f>'BD Team'!B46</f>
        <v>0</v>
      </c>
      <c r="F415" s="288" t="s">
        <v>254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8" t="s">
        <v>127</v>
      </c>
      <c r="M416" s="539"/>
      <c r="N416" s="542">
        <f>'BD Team'!G46</f>
        <v>0</v>
      </c>
      <c r="O416" s="542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8" t="s">
        <v>246</v>
      </c>
      <c r="M417" s="539"/>
      <c r="N417" s="540" t="str">
        <f>$F$6</f>
        <v>Powder Coating Black Matt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8" t="s">
        <v>177</v>
      </c>
      <c r="M418" s="539"/>
      <c r="N418" s="540" t="str">
        <f>$K$6</f>
        <v>Black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8" t="s">
        <v>247</v>
      </c>
      <c r="M419" s="539"/>
      <c r="N419" s="542" t="s">
        <v>255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8" t="s">
        <v>248</v>
      </c>
      <c r="M420" s="539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8" t="s">
        <v>249</v>
      </c>
      <c r="M421" s="539"/>
      <c r="N421" s="543">
        <f>'BD Team'!J46</f>
        <v>0</v>
      </c>
      <c r="O421" s="543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8" t="s">
        <v>250</v>
      </c>
      <c r="M422" s="539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8" t="s">
        <v>251</v>
      </c>
      <c r="M423" s="539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8" t="s">
        <v>252</v>
      </c>
      <c r="M424" s="539"/>
      <c r="N424" s="540">
        <f>'BD Team'!F46</f>
        <v>0</v>
      </c>
      <c r="O424" s="540"/>
    </row>
    <row r="425" spans="3:15"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4"/>
      <c r="O425" s="544"/>
    </row>
    <row r="426" spans="3:15" ht="25.15" customHeight="1">
      <c r="C426" s="538" t="s">
        <v>253</v>
      </c>
      <c r="D426" s="539"/>
      <c r="E426" s="286">
        <f>'BD Team'!B47</f>
        <v>0</v>
      </c>
      <c r="F426" s="288" t="s">
        <v>254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8" t="s">
        <v>127</v>
      </c>
      <c r="M427" s="539"/>
      <c r="N427" s="542">
        <f>'BD Team'!G47</f>
        <v>0</v>
      </c>
      <c r="O427" s="542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8" t="s">
        <v>246</v>
      </c>
      <c r="M428" s="539"/>
      <c r="N428" s="540" t="str">
        <f>$F$6</f>
        <v>Powder Coating Black Matt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8" t="s">
        <v>177</v>
      </c>
      <c r="M429" s="539"/>
      <c r="N429" s="540" t="str">
        <f>$K$6</f>
        <v>Black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8" t="s">
        <v>247</v>
      </c>
      <c r="M430" s="539"/>
      <c r="N430" s="542" t="s">
        <v>255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8" t="s">
        <v>248</v>
      </c>
      <c r="M431" s="539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8" t="s">
        <v>249</v>
      </c>
      <c r="M432" s="539"/>
      <c r="N432" s="543">
        <f>'BD Team'!J47</f>
        <v>0</v>
      </c>
      <c r="O432" s="543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8" t="s">
        <v>250</v>
      </c>
      <c r="M433" s="539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8" t="s">
        <v>251</v>
      </c>
      <c r="M434" s="539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8" t="s">
        <v>252</v>
      </c>
      <c r="M435" s="539"/>
      <c r="N435" s="540">
        <f>'BD Team'!F47</f>
        <v>0</v>
      </c>
      <c r="O435" s="540"/>
    </row>
    <row r="436" spans="3:15">
      <c r="C436" s="544"/>
      <c r="D436" s="544"/>
      <c r="E436" s="544"/>
      <c r="F436" s="544"/>
      <c r="G436" s="544"/>
      <c r="H436" s="544"/>
      <c r="I436" s="544"/>
      <c r="J436" s="544"/>
      <c r="K436" s="544"/>
      <c r="L436" s="544"/>
      <c r="M436" s="544"/>
      <c r="N436" s="544"/>
      <c r="O436" s="544"/>
    </row>
    <row r="437" spans="3:15" ht="25.15" customHeight="1">
      <c r="C437" s="538" t="s">
        <v>253</v>
      </c>
      <c r="D437" s="539"/>
      <c r="E437" s="286">
        <f>'BD Team'!B48</f>
        <v>0</v>
      </c>
      <c r="F437" s="288" t="s">
        <v>254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8" t="s">
        <v>127</v>
      </c>
      <c r="M438" s="539"/>
      <c r="N438" s="542">
        <f>'BD Team'!G48</f>
        <v>0</v>
      </c>
      <c r="O438" s="542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8" t="s">
        <v>246</v>
      </c>
      <c r="M439" s="539"/>
      <c r="N439" s="540" t="str">
        <f>$F$6</f>
        <v>Powder Coating Black Matt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8" t="s">
        <v>177</v>
      </c>
      <c r="M440" s="539"/>
      <c r="N440" s="540" t="str">
        <f>$K$6</f>
        <v>Black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8" t="s">
        <v>247</v>
      </c>
      <c r="M441" s="539"/>
      <c r="N441" s="542" t="s">
        <v>255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8" t="s">
        <v>248</v>
      </c>
      <c r="M442" s="539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8" t="s">
        <v>249</v>
      </c>
      <c r="M443" s="539"/>
      <c r="N443" s="543">
        <f>'BD Team'!J48</f>
        <v>0</v>
      </c>
      <c r="O443" s="543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8" t="s">
        <v>250</v>
      </c>
      <c r="M444" s="539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8" t="s">
        <v>251</v>
      </c>
      <c r="M445" s="539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8" t="s">
        <v>252</v>
      </c>
      <c r="M446" s="539"/>
      <c r="N446" s="540">
        <f>'BD Team'!F48</f>
        <v>0</v>
      </c>
      <c r="O446" s="540"/>
    </row>
    <row r="447" spans="3:15">
      <c r="C447" s="544"/>
      <c r="D447" s="544"/>
      <c r="E447" s="544"/>
      <c r="F447" s="544"/>
      <c r="G447" s="544"/>
      <c r="H447" s="544"/>
      <c r="I447" s="544"/>
      <c r="J447" s="544"/>
      <c r="K447" s="544"/>
      <c r="L447" s="544"/>
      <c r="M447" s="544"/>
      <c r="N447" s="544"/>
      <c r="O447" s="544"/>
    </row>
    <row r="448" spans="3:15" ht="25.15" customHeight="1">
      <c r="C448" s="538" t="s">
        <v>253</v>
      </c>
      <c r="D448" s="539"/>
      <c r="E448" s="286">
        <f>'BD Team'!B49</f>
        <v>0</v>
      </c>
      <c r="F448" s="288" t="s">
        <v>254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8" t="s">
        <v>127</v>
      </c>
      <c r="M449" s="539"/>
      <c r="N449" s="542">
        <f>'BD Team'!G49</f>
        <v>0</v>
      </c>
      <c r="O449" s="542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8" t="s">
        <v>246</v>
      </c>
      <c r="M450" s="539"/>
      <c r="N450" s="540" t="str">
        <f>$F$6</f>
        <v>Powder Coating Black Matt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8" t="s">
        <v>177</v>
      </c>
      <c r="M451" s="539"/>
      <c r="N451" s="540" t="str">
        <f>$K$6</f>
        <v>Black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8" t="s">
        <v>247</v>
      </c>
      <c r="M452" s="539"/>
      <c r="N452" s="542" t="s">
        <v>255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8" t="s">
        <v>248</v>
      </c>
      <c r="M453" s="539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8" t="s">
        <v>249</v>
      </c>
      <c r="M454" s="539"/>
      <c r="N454" s="543">
        <f>'BD Team'!J49</f>
        <v>0</v>
      </c>
      <c r="O454" s="543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8" t="s">
        <v>250</v>
      </c>
      <c r="M455" s="539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8" t="s">
        <v>251</v>
      </c>
      <c r="M456" s="539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8" t="s">
        <v>252</v>
      </c>
      <c r="M457" s="539"/>
      <c r="N457" s="540">
        <f>'BD Team'!F49</f>
        <v>0</v>
      </c>
      <c r="O457" s="540"/>
    </row>
    <row r="458" spans="3:15">
      <c r="C458" s="544"/>
      <c r="D458" s="544"/>
      <c r="E458" s="544"/>
      <c r="F458" s="544"/>
      <c r="G458" s="544"/>
      <c r="H458" s="544"/>
      <c r="I458" s="544"/>
      <c r="J458" s="544"/>
      <c r="K458" s="544"/>
      <c r="L458" s="544"/>
      <c r="M458" s="544"/>
      <c r="N458" s="544"/>
      <c r="O458" s="544"/>
    </row>
    <row r="459" spans="3:15" ht="25.15" customHeight="1">
      <c r="C459" s="538" t="s">
        <v>253</v>
      </c>
      <c r="D459" s="539"/>
      <c r="E459" s="286">
        <f>'BD Team'!B50</f>
        <v>0</v>
      </c>
      <c r="F459" s="288" t="s">
        <v>254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8" t="s">
        <v>127</v>
      </c>
      <c r="M460" s="539"/>
      <c r="N460" s="542">
        <f>'BD Team'!G50</f>
        <v>0</v>
      </c>
      <c r="O460" s="542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8" t="s">
        <v>246</v>
      </c>
      <c r="M461" s="539"/>
      <c r="N461" s="540" t="str">
        <f>$F$6</f>
        <v>Powder Coating Black Matt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8" t="s">
        <v>177</v>
      </c>
      <c r="M462" s="539"/>
      <c r="N462" s="540" t="str">
        <f>$K$6</f>
        <v>Black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8" t="s">
        <v>247</v>
      </c>
      <c r="M463" s="539"/>
      <c r="N463" s="542" t="s">
        <v>255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8" t="s">
        <v>248</v>
      </c>
      <c r="M464" s="539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8" t="s">
        <v>249</v>
      </c>
      <c r="M465" s="539"/>
      <c r="N465" s="543">
        <f>'BD Team'!J50</f>
        <v>0</v>
      </c>
      <c r="O465" s="543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8" t="s">
        <v>250</v>
      </c>
      <c r="M466" s="539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8" t="s">
        <v>251</v>
      </c>
      <c r="M467" s="539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8" t="s">
        <v>252</v>
      </c>
      <c r="M468" s="539"/>
      <c r="N468" s="540">
        <f>'BD Team'!F50</f>
        <v>0</v>
      </c>
      <c r="O468" s="540"/>
    </row>
    <row r="469" spans="3:15"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4"/>
      <c r="O469" s="544"/>
    </row>
    <row r="470" spans="3:15" ht="25.15" customHeight="1">
      <c r="C470" s="538" t="s">
        <v>253</v>
      </c>
      <c r="D470" s="539"/>
      <c r="E470" s="286">
        <f>'BD Team'!B51</f>
        <v>0</v>
      </c>
      <c r="F470" s="288" t="s">
        <v>254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8" t="s">
        <v>127</v>
      </c>
      <c r="M471" s="539"/>
      <c r="N471" s="542">
        <f>'BD Team'!G51</f>
        <v>0</v>
      </c>
      <c r="O471" s="542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8" t="s">
        <v>246</v>
      </c>
      <c r="M472" s="539"/>
      <c r="N472" s="540" t="str">
        <f>$F$6</f>
        <v>Powder Coating Black Matt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8" t="s">
        <v>177</v>
      </c>
      <c r="M473" s="539"/>
      <c r="N473" s="540" t="str">
        <f>$K$6</f>
        <v>Black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8" t="s">
        <v>247</v>
      </c>
      <c r="M474" s="539"/>
      <c r="N474" s="542" t="s">
        <v>255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8" t="s">
        <v>248</v>
      </c>
      <c r="M475" s="539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8" t="s">
        <v>249</v>
      </c>
      <c r="M476" s="539"/>
      <c r="N476" s="543">
        <f>'BD Team'!J51</f>
        <v>0</v>
      </c>
      <c r="O476" s="543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8" t="s">
        <v>250</v>
      </c>
      <c r="M477" s="539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8" t="s">
        <v>251</v>
      </c>
      <c r="M478" s="539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8" t="s">
        <v>252</v>
      </c>
      <c r="M479" s="539"/>
      <c r="N479" s="540">
        <f>'BD Team'!F51</f>
        <v>0</v>
      </c>
      <c r="O479" s="540"/>
    </row>
    <row r="480" spans="3:15">
      <c r="C480" s="544"/>
      <c r="D480" s="544"/>
      <c r="E480" s="544"/>
      <c r="F480" s="544"/>
      <c r="G480" s="544"/>
      <c r="H480" s="544"/>
      <c r="I480" s="544"/>
      <c r="J480" s="544"/>
      <c r="K480" s="544"/>
      <c r="L480" s="544"/>
      <c r="M480" s="544"/>
      <c r="N480" s="544"/>
      <c r="O480" s="544"/>
    </row>
    <row r="481" spans="3:15" ht="25.15" customHeight="1">
      <c r="C481" s="538" t="s">
        <v>253</v>
      </c>
      <c r="D481" s="539"/>
      <c r="E481" s="286">
        <f>'BD Team'!B52</f>
        <v>0</v>
      </c>
      <c r="F481" s="288" t="s">
        <v>254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8" t="s">
        <v>127</v>
      </c>
      <c r="M482" s="539"/>
      <c r="N482" s="542">
        <f>'BD Team'!G52</f>
        <v>0</v>
      </c>
      <c r="O482" s="542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8" t="s">
        <v>246</v>
      </c>
      <c r="M483" s="539"/>
      <c r="N483" s="540" t="str">
        <f>$F$6</f>
        <v>Powder Coating Black Matt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8" t="s">
        <v>177</v>
      </c>
      <c r="M484" s="539"/>
      <c r="N484" s="540" t="str">
        <f>$K$6</f>
        <v>Black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8" t="s">
        <v>247</v>
      </c>
      <c r="M485" s="539"/>
      <c r="N485" s="542" t="s">
        <v>255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8" t="s">
        <v>248</v>
      </c>
      <c r="M486" s="539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8" t="s">
        <v>249</v>
      </c>
      <c r="M487" s="539"/>
      <c r="N487" s="543">
        <f>'BD Team'!J52</f>
        <v>0</v>
      </c>
      <c r="O487" s="543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8" t="s">
        <v>250</v>
      </c>
      <c r="M488" s="539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8" t="s">
        <v>251</v>
      </c>
      <c r="M489" s="539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8" t="s">
        <v>252</v>
      </c>
      <c r="M490" s="539"/>
      <c r="N490" s="540">
        <f>'BD Team'!F52</f>
        <v>0</v>
      </c>
      <c r="O490" s="540"/>
    </row>
    <row r="491" spans="3:15">
      <c r="C491" s="544"/>
      <c r="D491" s="544"/>
      <c r="E491" s="544"/>
      <c r="F491" s="544"/>
      <c r="G491" s="544"/>
      <c r="H491" s="544"/>
      <c r="I491" s="544"/>
      <c r="J491" s="544"/>
      <c r="K491" s="544"/>
      <c r="L491" s="544"/>
      <c r="M491" s="544"/>
      <c r="N491" s="544"/>
      <c r="O491" s="544"/>
    </row>
    <row r="492" spans="3:15" ht="25.15" customHeight="1">
      <c r="C492" s="538" t="s">
        <v>253</v>
      </c>
      <c r="D492" s="539"/>
      <c r="E492" s="286">
        <f>'BD Team'!B53</f>
        <v>0</v>
      </c>
      <c r="F492" s="288" t="s">
        <v>254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8" t="s">
        <v>127</v>
      </c>
      <c r="M493" s="539"/>
      <c r="N493" s="542">
        <f>'BD Team'!G53</f>
        <v>0</v>
      </c>
      <c r="O493" s="542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8" t="s">
        <v>246</v>
      </c>
      <c r="M494" s="539"/>
      <c r="N494" s="540" t="str">
        <f>$F$6</f>
        <v>Powder Coating Black Matt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8" t="s">
        <v>177</v>
      </c>
      <c r="M495" s="539"/>
      <c r="N495" s="540" t="str">
        <f>$K$6</f>
        <v>Black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8" t="s">
        <v>247</v>
      </c>
      <c r="M496" s="539"/>
      <c r="N496" s="542" t="s">
        <v>255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8" t="s">
        <v>248</v>
      </c>
      <c r="M497" s="539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8" t="s">
        <v>249</v>
      </c>
      <c r="M498" s="539"/>
      <c r="N498" s="543">
        <f>'BD Team'!J53</f>
        <v>0</v>
      </c>
      <c r="O498" s="543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8" t="s">
        <v>250</v>
      </c>
      <c r="M499" s="539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8" t="s">
        <v>251</v>
      </c>
      <c r="M500" s="539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8" t="s">
        <v>252</v>
      </c>
      <c r="M501" s="539"/>
      <c r="N501" s="540">
        <f>'BD Team'!F53</f>
        <v>0</v>
      </c>
      <c r="O501" s="540"/>
    </row>
    <row r="502" spans="3:15">
      <c r="C502" s="544"/>
      <c r="D502" s="544"/>
      <c r="E502" s="544"/>
      <c r="F502" s="544"/>
      <c r="G502" s="544"/>
      <c r="H502" s="544"/>
      <c r="I502" s="544"/>
      <c r="J502" s="544"/>
      <c r="K502" s="544"/>
      <c r="L502" s="544"/>
      <c r="M502" s="544"/>
      <c r="N502" s="544"/>
      <c r="O502" s="544"/>
    </row>
    <row r="503" spans="3:15" ht="25.15" customHeight="1">
      <c r="C503" s="538" t="s">
        <v>253</v>
      </c>
      <c r="D503" s="539"/>
      <c r="E503" s="286">
        <f>'BD Team'!B54</f>
        <v>0</v>
      </c>
      <c r="F503" s="288" t="s">
        <v>254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8" t="s">
        <v>127</v>
      </c>
      <c r="M504" s="539"/>
      <c r="N504" s="542">
        <f>'BD Team'!G54</f>
        <v>0</v>
      </c>
      <c r="O504" s="542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8" t="s">
        <v>246</v>
      </c>
      <c r="M505" s="539"/>
      <c r="N505" s="540" t="str">
        <f>$F$6</f>
        <v>Powder Coating Black Matt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8" t="s">
        <v>177</v>
      </c>
      <c r="M506" s="539"/>
      <c r="N506" s="540" t="str">
        <f>$K$6</f>
        <v>Black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8" t="s">
        <v>247</v>
      </c>
      <c r="M507" s="539"/>
      <c r="N507" s="542" t="s">
        <v>255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8" t="s">
        <v>248</v>
      </c>
      <c r="M508" s="539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8" t="s">
        <v>249</v>
      </c>
      <c r="M509" s="539"/>
      <c r="N509" s="543">
        <f>'BD Team'!J54</f>
        <v>0</v>
      </c>
      <c r="O509" s="543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8" t="s">
        <v>250</v>
      </c>
      <c r="M510" s="539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8" t="s">
        <v>251</v>
      </c>
      <c r="M511" s="539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8" t="s">
        <v>252</v>
      </c>
      <c r="M512" s="539"/>
      <c r="N512" s="540">
        <f>'BD Team'!F54</f>
        <v>0</v>
      </c>
      <c r="O512" s="540"/>
    </row>
    <row r="513" spans="3:15">
      <c r="C513" s="544"/>
      <c r="D513" s="544"/>
      <c r="E513" s="544"/>
      <c r="F513" s="544"/>
      <c r="G513" s="544"/>
      <c r="H513" s="544"/>
      <c r="I513" s="544"/>
      <c r="J513" s="544"/>
      <c r="K513" s="544"/>
      <c r="L513" s="544"/>
      <c r="M513" s="544"/>
      <c r="N513" s="544"/>
      <c r="O513" s="544"/>
    </row>
    <row r="514" spans="3:15" ht="25.15" customHeight="1">
      <c r="C514" s="538" t="s">
        <v>253</v>
      </c>
      <c r="D514" s="539"/>
      <c r="E514" s="286">
        <f>'BD Team'!B55</f>
        <v>0</v>
      </c>
      <c r="F514" s="288" t="s">
        <v>254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8" t="s">
        <v>127</v>
      </c>
      <c r="M515" s="539"/>
      <c r="N515" s="542">
        <f>'BD Team'!G55</f>
        <v>0</v>
      </c>
      <c r="O515" s="542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8" t="s">
        <v>246</v>
      </c>
      <c r="M516" s="539"/>
      <c r="N516" s="540" t="str">
        <f>$F$6</f>
        <v>Powder Coating Black Matt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8" t="s">
        <v>177</v>
      </c>
      <c r="M517" s="539"/>
      <c r="N517" s="540" t="str">
        <f>$K$6</f>
        <v>Black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8" t="s">
        <v>247</v>
      </c>
      <c r="M518" s="539"/>
      <c r="N518" s="542" t="s">
        <v>255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8" t="s">
        <v>248</v>
      </c>
      <c r="M519" s="539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8" t="s">
        <v>249</v>
      </c>
      <c r="M520" s="539"/>
      <c r="N520" s="543">
        <f>'BD Team'!J55</f>
        <v>0</v>
      </c>
      <c r="O520" s="543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8" t="s">
        <v>250</v>
      </c>
      <c r="M521" s="539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8" t="s">
        <v>251</v>
      </c>
      <c r="M522" s="539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8" t="s">
        <v>252</v>
      </c>
      <c r="M523" s="539"/>
      <c r="N523" s="540">
        <f>'BD Team'!F55</f>
        <v>0</v>
      </c>
      <c r="O523" s="540"/>
    </row>
    <row r="524" spans="3:15"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4"/>
      <c r="O524" s="544"/>
    </row>
    <row r="525" spans="3:15" ht="25.15" customHeight="1">
      <c r="C525" s="538" t="s">
        <v>253</v>
      </c>
      <c r="D525" s="539"/>
      <c r="E525" s="286">
        <f>'BD Team'!B56</f>
        <v>0</v>
      </c>
      <c r="F525" s="288" t="s">
        <v>254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8" t="s">
        <v>127</v>
      </c>
      <c r="M526" s="539"/>
      <c r="N526" s="542">
        <f>'BD Team'!G56</f>
        <v>0</v>
      </c>
      <c r="O526" s="542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8" t="s">
        <v>246</v>
      </c>
      <c r="M527" s="539"/>
      <c r="N527" s="540" t="str">
        <f>$F$6</f>
        <v>Powder Coating Black Matt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8" t="s">
        <v>177</v>
      </c>
      <c r="M528" s="539"/>
      <c r="N528" s="540" t="str">
        <f>$K$6</f>
        <v>Black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8" t="s">
        <v>247</v>
      </c>
      <c r="M529" s="539"/>
      <c r="N529" s="542" t="s">
        <v>255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8" t="s">
        <v>248</v>
      </c>
      <c r="M530" s="539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8" t="s">
        <v>249</v>
      </c>
      <c r="M531" s="539"/>
      <c r="N531" s="543">
        <f>'BD Team'!J56</f>
        <v>0</v>
      </c>
      <c r="O531" s="543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8" t="s">
        <v>250</v>
      </c>
      <c r="M532" s="539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8" t="s">
        <v>251</v>
      </c>
      <c r="M533" s="539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8" t="s">
        <v>252</v>
      </c>
      <c r="M534" s="539"/>
      <c r="N534" s="540">
        <f>'BD Team'!F56</f>
        <v>0</v>
      </c>
      <c r="O534" s="540"/>
    </row>
    <row r="535" spans="3:15">
      <c r="C535" s="544"/>
      <c r="D535" s="544"/>
      <c r="E535" s="544"/>
      <c r="F535" s="544"/>
      <c r="G535" s="544"/>
      <c r="H535" s="544"/>
      <c r="I535" s="544"/>
      <c r="J535" s="544"/>
      <c r="K535" s="544"/>
      <c r="L535" s="544"/>
      <c r="M535" s="544"/>
      <c r="N535" s="544"/>
      <c r="O535" s="544"/>
    </row>
    <row r="536" spans="3:15" ht="25.15" customHeight="1">
      <c r="C536" s="538" t="s">
        <v>253</v>
      </c>
      <c r="D536" s="539"/>
      <c r="E536" s="286">
        <f>'BD Team'!B57</f>
        <v>0</v>
      </c>
      <c r="F536" s="288" t="s">
        <v>254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8" t="s">
        <v>127</v>
      </c>
      <c r="M537" s="539"/>
      <c r="N537" s="542">
        <f>'BD Team'!G57</f>
        <v>0</v>
      </c>
      <c r="O537" s="542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8" t="s">
        <v>246</v>
      </c>
      <c r="M538" s="539"/>
      <c r="N538" s="540" t="str">
        <f>$F$6</f>
        <v>Powder Coating Black Matt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8" t="s">
        <v>177</v>
      </c>
      <c r="M539" s="539"/>
      <c r="N539" s="540" t="str">
        <f>$K$6</f>
        <v>Black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8" t="s">
        <v>247</v>
      </c>
      <c r="M540" s="539"/>
      <c r="N540" s="542" t="s">
        <v>255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8" t="s">
        <v>248</v>
      </c>
      <c r="M541" s="539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8" t="s">
        <v>249</v>
      </c>
      <c r="M542" s="539"/>
      <c r="N542" s="543">
        <f>'BD Team'!J57</f>
        <v>0</v>
      </c>
      <c r="O542" s="543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8" t="s">
        <v>250</v>
      </c>
      <c r="M543" s="539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8" t="s">
        <v>251</v>
      </c>
      <c r="M544" s="539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8" t="s">
        <v>252</v>
      </c>
      <c r="M545" s="539"/>
      <c r="N545" s="540">
        <f>'BD Team'!F57</f>
        <v>0</v>
      </c>
      <c r="O545" s="540"/>
    </row>
    <row r="546" spans="3:15">
      <c r="C546" s="544"/>
      <c r="D546" s="544"/>
      <c r="E546" s="544"/>
      <c r="F546" s="544"/>
      <c r="G546" s="544"/>
      <c r="H546" s="544"/>
      <c r="I546" s="544"/>
      <c r="J546" s="544"/>
      <c r="K546" s="544"/>
      <c r="L546" s="544"/>
      <c r="M546" s="544"/>
      <c r="N546" s="544"/>
      <c r="O546" s="544"/>
    </row>
    <row r="547" spans="3:15" ht="25.15" customHeight="1">
      <c r="C547" s="538" t="s">
        <v>253</v>
      </c>
      <c r="D547" s="539"/>
      <c r="E547" s="286">
        <f>'BD Team'!B58</f>
        <v>0</v>
      </c>
      <c r="F547" s="288" t="s">
        <v>254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8" t="s">
        <v>127</v>
      </c>
      <c r="M548" s="539"/>
      <c r="N548" s="542">
        <f>'BD Team'!G58</f>
        <v>0</v>
      </c>
      <c r="O548" s="542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8" t="s">
        <v>246</v>
      </c>
      <c r="M549" s="539"/>
      <c r="N549" s="540" t="str">
        <f>$F$6</f>
        <v>Powder Coating Black Matt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8" t="s">
        <v>177</v>
      </c>
      <c r="M550" s="539"/>
      <c r="N550" s="540" t="str">
        <f>$K$6</f>
        <v>Black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8" t="s">
        <v>247</v>
      </c>
      <c r="M551" s="539"/>
      <c r="N551" s="542" t="s">
        <v>255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8" t="s">
        <v>248</v>
      </c>
      <c r="M552" s="539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8" t="s">
        <v>249</v>
      </c>
      <c r="M553" s="539"/>
      <c r="N553" s="543">
        <f>'BD Team'!J58</f>
        <v>0</v>
      </c>
      <c r="O553" s="543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8" t="s">
        <v>250</v>
      </c>
      <c r="M554" s="539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8" t="s">
        <v>251</v>
      </c>
      <c r="M555" s="539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8" t="s">
        <v>252</v>
      </c>
      <c r="M556" s="539"/>
      <c r="N556" s="540">
        <f>'BD Team'!F58</f>
        <v>0</v>
      </c>
      <c r="O556" s="540"/>
    </row>
    <row r="557" spans="3:15">
      <c r="C557" s="544"/>
      <c r="D557" s="544"/>
      <c r="E557" s="544"/>
      <c r="F557" s="544"/>
      <c r="G557" s="544"/>
      <c r="H557" s="544"/>
      <c r="I557" s="544"/>
      <c r="J557" s="544"/>
      <c r="K557" s="544"/>
      <c r="L557" s="544"/>
      <c r="M557" s="544"/>
      <c r="N557" s="544"/>
      <c r="O557" s="544"/>
    </row>
    <row r="558" spans="3:15" ht="25.15" customHeight="1">
      <c r="C558" s="538" t="s">
        <v>253</v>
      </c>
      <c r="D558" s="539"/>
      <c r="E558" s="289">
        <f>'BD Team'!B59</f>
        <v>0</v>
      </c>
      <c r="F558" s="288" t="s">
        <v>254</v>
      </c>
      <c r="G558" s="543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8" t="s">
        <v>127</v>
      </c>
      <c r="M559" s="539"/>
      <c r="N559" s="550">
        <f>'BD Team'!G59</f>
        <v>0</v>
      </c>
      <c r="O559" s="542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8" t="s">
        <v>246</v>
      </c>
      <c r="M560" s="539"/>
      <c r="N560" s="540" t="str">
        <f>$F$6</f>
        <v>Powder Coating Black Matt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8" t="s">
        <v>177</v>
      </c>
      <c r="M561" s="539"/>
      <c r="N561" s="540" t="str">
        <f>$K$6</f>
        <v>Black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8" t="s">
        <v>247</v>
      </c>
      <c r="M562" s="539"/>
      <c r="N562" s="542" t="s">
        <v>255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8" t="s">
        <v>248</v>
      </c>
      <c r="M563" s="539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8" t="s">
        <v>249</v>
      </c>
      <c r="M564" s="539"/>
      <c r="N564" s="543">
        <f>'BD Team'!J59</f>
        <v>0</v>
      </c>
      <c r="O564" s="543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8" t="s">
        <v>250</v>
      </c>
      <c r="M565" s="539"/>
      <c r="N565" s="543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8" t="s">
        <v>251</v>
      </c>
      <c r="M566" s="539"/>
      <c r="N566" s="543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8" t="s">
        <v>252</v>
      </c>
      <c r="M567" s="539"/>
      <c r="N567" s="543">
        <f>'BD Team'!F59</f>
        <v>0</v>
      </c>
      <c r="O567" s="540"/>
    </row>
    <row r="568" spans="3:15">
      <c r="C568" s="544"/>
      <c r="D568" s="544"/>
      <c r="E568" s="544"/>
      <c r="F568" s="544"/>
      <c r="G568" s="544"/>
      <c r="H568" s="544"/>
      <c r="I568" s="544"/>
      <c r="J568" s="544"/>
      <c r="K568" s="544"/>
      <c r="L568" s="544"/>
      <c r="M568" s="544"/>
      <c r="N568" s="544"/>
      <c r="O568" s="544"/>
    </row>
    <row r="569" spans="3:15" ht="25.15" customHeight="1">
      <c r="C569" s="538" t="s">
        <v>253</v>
      </c>
      <c r="D569" s="539"/>
      <c r="E569" s="289">
        <f>'BD Team'!B60</f>
        <v>0</v>
      </c>
      <c r="F569" s="288" t="s">
        <v>254</v>
      </c>
      <c r="G569" s="543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8" t="s">
        <v>127</v>
      </c>
      <c r="M570" s="539"/>
      <c r="N570" s="550">
        <f>'BD Team'!G60</f>
        <v>0</v>
      </c>
      <c r="O570" s="542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8" t="s">
        <v>246</v>
      </c>
      <c r="M571" s="539"/>
      <c r="N571" s="540" t="str">
        <f>$F$6</f>
        <v>Powder Coating Black Matt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8" t="s">
        <v>177</v>
      </c>
      <c r="M572" s="539"/>
      <c r="N572" s="540" t="str">
        <f>$K$6</f>
        <v>Black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8" t="s">
        <v>247</v>
      </c>
      <c r="M573" s="539"/>
      <c r="N573" s="542" t="s">
        <v>255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8" t="s">
        <v>248</v>
      </c>
      <c r="M574" s="539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8" t="s">
        <v>249</v>
      </c>
      <c r="M575" s="539"/>
      <c r="N575" s="543">
        <f>'BD Team'!J60</f>
        <v>0</v>
      </c>
      <c r="O575" s="543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8" t="s">
        <v>250</v>
      </c>
      <c r="M576" s="539"/>
      <c r="N576" s="543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8" t="s">
        <v>251</v>
      </c>
      <c r="M577" s="539"/>
      <c r="N577" s="543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8" t="s">
        <v>252</v>
      </c>
      <c r="M578" s="539"/>
      <c r="N578" s="543">
        <f>'BD Team'!F60</f>
        <v>0</v>
      </c>
      <c r="O578" s="540"/>
    </row>
    <row r="579" spans="3:15">
      <c r="C579" s="544"/>
      <c r="D579" s="544"/>
      <c r="E579" s="544"/>
      <c r="F579" s="544"/>
      <c r="G579" s="544"/>
      <c r="H579" s="544"/>
      <c r="I579" s="544"/>
      <c r="J579" s="544"/>
      <c r="K579" s="544"/>
      <c r="L579" s="544"/>
      <c r="M579" s="544"/>
      <c r="N579" s="544"/>
      <c r="O579" s="544"/>
    </row>
    <row r="580" spans="3:15" ht="25.15" customHeight="1">
      <c r="C580" s="538" t="s">
        <v>253</v>
      </c>
      <c r="D580" s="539"/>
      <c r="E580" s="289">
        <f>'BD Team'!B61</f>
        <v>0</v>
      </c>
      <c r="F580" s="288" t="s">
        <v>254</v>
      </c>
      <c r="G580" s="543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8" t="s">
        <v>127</v>
      </c>
      <c r="M581" s="539"/>
      <c r="N581" s="550">
        <f>'BD Team'!G61</f>
        <v>0</v>
      </c>
      <c r="O581" s="542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8" t="s">
        <v>246</v>
      </c>
      <c r="M582" s="539"/>
      <c r="N582" s="540" t="str">
        <f>$F$6</f>
        <v>Powder Coating Black Matt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8" t="s">
        <v>177</v>
      </c>
      <c r="M583" s="539"/>
      <c r="N583" s="540" t="str">
        <f>$K$6</f>
        <v>Black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8" t="s">
        <v>247</v>
      </c>
      <c r="M584" s="539"/>
      <c r="N584" s="542" t="s">
        <v>255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8" t="s">
        <v>248</v>
      </c>
      <c r="M585" s="539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8" t="s">
        <v>249</v>
      </c>
      <c r="M586" s="539"/>
      <c r="N586" s="543">
        <f>'BD Team'!J61</f>
        <v>0</v>
      </c>
      <c r="O586" s="543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8" t="s">
        <v>250</v>
      </c>
      <c r="M587" s="539"/>
      <c r="N587" s="543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8" t="s">
        <v>251</v>
      </c>
      <c r="M588" s="539"/>
      <c r="N588" s="543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8" t="s">
        <v>252</v>
      </c>
      <c r="M589" s="539"/>
      <c r="N589" s="543">
        <f>'BD Team'!F61</f>
        <v>0</v>
      </c>
      <c r="O589" s="540"/>
    </row>
    <row r="590" spans="3:15">
      <c r="C590" s="544"/>
      <c r="D590" s="544"/>
      <c r="E590" s="544"/>
      <c r="F590" s="544"/>
      <c r="G590" s="544"/>
      <c r="H590" s="544"/>
      <c r="I590" s="544"/>
      <c r="J590" s="544"/>
      <c r="K590" s="544"/>
      <c r="L590" s="544"/>
      <c r="M590" s="544"/>
      <c r="N590" s="544"/>
      <c r="O590" s="544"/>
    </row>
    <row r="591" spans="3:15" ht="25.15" customHeight="1">
      <c r="C591" s="538" t="s">
        <v>253</v>
      </c>
      <c r="D591" s="539"/>
      <c r="E591" s="289">
        <f>'BD Team'!B62</f>
        <v>0</v>
      </c>
      <c r="F591" s="288" t="s">
        <v>254</v>
      </c>
      <c r="G591" s="543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8" t="s">
        <v>127</v>
      </c>
      <c r="M592" s="539"/>
      <c r="N592" s="550">
        <f>'BD Team'!G62</f>
        <v>0</v>
      </c>
      <c r="O592" s="542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8" t="s">
        <v>246</v>
      </c>
      <c r="M593" s="539"/>
      <c r="N593" s="540" t="str">
        <f>$F$6</f>
        <v>Powder Coating Black Matt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8" t="s">
        <v>177</v>
      </c>
      <c r="M594" s="539"/>
      <c r="N594" s="540" t="str">
        <f>$K$6</f>
        <v>Black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8" t="s">
        <v>247</v>
      </c>
      <c r="M595" s="539"/>
      <c r="N595" s="542" t="s">
        <v>255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8" t="s">
        <v>248</v>
      </c>
      <c r="M596" s="539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8" t="s">
        <v>249</v>
      </c>
      <c r="M597" s="539"/>
      <c r="N597" s="543">
        <f>'BD Team'!J62</f>
        <v>0</v>
      </c>
      <c r="O597" s="543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8" t="s">
        <v>250</v>
      </c>
      <c r="M598" s="539"/>
      <c r="N598" s="543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8" t="s">
        <v>251</v>
      </c>
      <c r="M599" s="539"/>
      <c r="N599" s="543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8" t="s">
        <v>252</v>
      </c>
      <c r="M600" s="539"/>
      <c r="N600" s="543">
        <f>'BD Team'!F62</f>
        <v>0</v>
      </c>
      <c r="O600" s="540"/>
    </row>
    <row r="601" spans="3:15">
      <c r="C601" s="544"/>
      <c r="D601" s="544"/>
      <c r="E601" s="544"/>
      <c r="F601" s="544"/>
      <c r="G601" s="544"/>
      <c r="H601" s="544"/>
      <c r="I601" s="544"/>
      <c r="J601" s="544"/>
      <c r="K601" s="544"/>
      <c r="L601" s="544"/>
      <c r="M601" s="544"/>
      <c r="N601" s="544"/>
      <c r="O601" s="544"/>
    </row>
    <row r="602" spans="3:15" ht="25.15" customHeight="1">
      <c r="C602" s="538" t="s">
        <v>253</v>
      </c>
      <c r="D602" s="539"/>
      <c r="E602" s="289">
        <f>'BD Team'!B63</f>
        <v>0</v>
      </c>
      <c r="F602" s="288" t="s">
        <v>254</v>
      </c>
      <c r="G602" s="543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8" t="s">
        <v>127</v>
      </c>
      <c r="M603" s="539"/>
      <c r="N603" s="550">
        <f>'BD Team'!G63</f>
        <v>0</v>
      </c>
      <c r="O603" s="542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8" t="s">
        <v>246</v>
      </c>
      <c r="M604" s="539"/>
      <c r="N604" s="540" t="str">
        <f>$F$6</f>
        <v>Powder Coating Black Matt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8" t="s">
        <v>177</v>
      </c>
      <c r="M605" s="539"/>
      <c r="N605" s="540" t="str">
        <f>$K$6</f>
        <v>Black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8" t="s">
        <v>247</v>
      </c>
      <c r="M606" s="539"/>
      <c r="N606" s="542" t="s">
        <v>255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8" t="s">
        <v>248</v>
      </c>
      <c r="M607" s="539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8" t="s">
        <v>249</v>
      </c>
      <c r="M608" s="539"/>
      <c r="N608" s="543">
        <f>'BD Team'!J63</f>
        <v>0</v>
      </c>
      <c r="O608" s="543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8" t="s">
        <v>250</v>
      </c>
      <c r="M609" s="539"/>
      <c r="N609" s="543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8" t="s">
        <v>251</v>
      </c>
      <c r="M610" s="539"/>
      <c r="N610" s="543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8" t="s">
        <v>252</v>
      </c>
      <c r="M611" s="539"/>
      <c r="N611" s="543">
        <f>'BD Team'!F63</f>
        <v>0</v>
      </c>
      <c r="O611" s="540"/>
    </row>
    <row r="612" spans="3:15">
      <c r="C612" s="544"/>
      <c r="D612" s="544"/>
      <c r="E612" s="544"/>
      <c r="F612" s="544"/>
      <c r="G612" s="544"/>
      <c r="H612" s="544"/>
      <c r="I612" s="544"/>
      <c r="J612" s="544"/>
      <c r="K612" s="544"/>
      <c r="L612" s="544"/>
      <c r="M612" s="544"/>
      <c r="N612" s="544"/>
      <c r="O612" s="544"/>
    </row>
    <row r="613" spans="3:15" ht="25.15" customHeight="1">
      <c r="C613" s="538" t="s">
        <v>253</v>
      </c>
      <c r="D613" s="539"/>
      <c r="E613" s="289">
        <f>'BD Team'!B64</f>
        <v>0</v>
      </c>
      <c r="F613" s="288" t="s">
        <v>254</v>
      </c>
      <c r="G613" s="543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8" t="s">
        <v>127</v>
      </c>
      <c r="M614" s="539"/>
      <c r="N614" s="550">
        <f>'BD Team'!G64</f>
        <v>0</v>
      </c>
      <c r="O614" s="542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8" t="s">
        <v>246</v>
      </c>
      <c r="M615" s="539"/>
      <c r="N615" s="540" t="str">
        <f>$F$6</f>
        <v>Powder Coating Black Matt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8" t="s">
        <v>177</v>
      </c>
      <c r="M616" s="539"/>
      <c r="N616" s="540" t="str">
        <f>$K$6</f>
        <v>Black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8" t="s">
        <v>247</v>
      </c>
      <c r="M617" s="539"/>
      <c r="N617" s="542" t="s">
        <v>255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8" t="s">
        <v>248</v>
      </c>
      <c r="M618" s="539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8" t="s">
        <v>249</v>
      </c>
      <c r="M619" s="539"/>
      <c r="N619" s="543">
        <f>'BD Team'!J64</f>
        <v>0</v>
      </c>
      <c r="O619" s="543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8" t="s">
        <v>250</v>
      </c>
      <c r="M620" s="539"/>
      <c r="N620" s="543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8" t="s">
        <v>251</v>
      </c>
      <c r="M621" s="539"/>
      <c r="N621" s="543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8" t="s">
        <v>252</v>
      </c>
      <c r="M622" s="539"/>
      <c r="N622" s="543">
        <f>'BD Team'!F64</f>
        <v>0</v>
      </c>
      <c r="O622" s="540"/>
    </row>
    <row r="623" spans="3:15">
      <c r="C623" s="544"/>
      <c r="D623" s="544"/>
      <c r="E623" s="544"/>
      <c r="F623" s="544"/>
      <c r="G623" s="544"/>
      <c r="H623" s="544"/>
      <c r="I623" s="544"/>
      <c r="J623" s="544"/>
      <c r="K623" s="544"/>
      <c r="L623" s="544"/>
      <c r="M623" s="544"/>
      <c r="N623" s="544"/>
      <c r="O623" s="544"/>
    </row>
    <row r="624" spans="3:15" ht="25.15" customHeight="1">
      <c r="C624" s="538" t="s">
        <v>253</v>
      </c>
      <c r="D624" s="539"/>
      <c r="E624" s="289">
        <f>'BD Team'!B65</f>
        <v>0</v>
      </c>
      <c r="F624" s="288" t="s">
        <v>254</v>
      </c>
      <c r="G624" s="543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8" t="s">
        <v>127</v>
      </c>
      <c r="M625" s="539"/>
      <c r="N625" s="550">
        <f>'BD Team'!G65</f>
        <v>0</v>
      </c>
      <c r="O625" s="542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8" t="s">
        <v>246</v>
      </c>
      <c r="M626" s="539"/>
      <c r="N626" s="540" t="str">
        <f>$F$6</f>
        <v>Powder Coating Black Matt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8" t="s">
        <v>177</v>
      </c>
      <c r="M627" s="539"/>
      <c r="N627" s="540" t="str">
        <f>$K$6</f>
        <v>Black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8" t="s">
        <v>247</v>
      </c>
      <c r="M628" s="539"/>
      <c r="N628" s="542" t="s">
        <v>255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8" t="s">
        <v>248</v>
      </c>
      <c r="M629" s="539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8" t="s">
        <v>249</v>
      </c>
      <c r="M630" s="539"/>
      <c r="N630" s="543">
        <f>'BD Team'!J65</f>
        <v>0</v>
      </c>
      <c r="O630" s="543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8" t="s">
        <v>250</v>
      </c>
      <c r="M631" s="539"/>
      <c r="N631" s="543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8" t="s">
        <v>251</v>
      </c>
      <c r="M632" s="539"/>
      <c r="N632" s="543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8" t="s">
        <v>252</v>
      </c>
      <c r="M633" s="539"/>
      <c r="N633" s="543">
        <f>'BD Team'!F65</f>
        <v>0</v>
      </c>
      <c r="O633" s="540"/>
    </row>
    <row r="634" spans="3:15">
      <c r="C634" s="544"/>
      <c r="D634" s="544"/>
      <c r="E634" s="544"/>
      <c r="F634" s="544"/>
      <c r="G634" s="544"/>
      <c r="H634" s="544"/>
      <c r="I634" s="544"/>
      <c r="J634" s="544"/>
      <c r="K634" s="544"/>
      <c r="L634" s="544"/>
      <c r="M634" s="544"/>
      <c r="N634" s="544"/>
      <c r="O634" s="544"/>
    </row>
    <row r="635" spans="3:15" ht="25.15" customHeight="1">
      <c r="C635" s="538" t="s">
        <v>253</v>
      </c>
      <c r="D635" s="539"/>
      <c r="E635" s="289">
        <f>'BD Team'!B66</f>
        <v>0</v>
      </c>
      <c r="F635" s="288" t="s">
        <v>254</v>
      </c>
      <c r="G635" s="543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8" t="s">
        <v>127</v>
      </c>
      <c r="M636" s="539"/>
      <c r="N636" s="550">
        <f>'BD Team'!G66</f>
        <v>0</v>
      </c>
      <c r="O636" s="542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8" t="s">
        <v>246</v>
      </c>
      <c r="M637" s="539"/>
      <c r="N637" s="540" t="str">
        <f>$F$6</f>
        <v>Powder Coating Black Matt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8" t="s">
        <v>177</v>
      </c>
      <c r="M638" s="539"/>
      <c r="N638" s="540" t="str">
        <f>$K$6</f>
        <v>Black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8" t="s">
        <v>247</v>
      </c>
      <c r="M639" s="539"/>
      <c r="N639" s="542" t="s">
        <v>255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8" t="s">
        <v>248</v>
      </c>
      <c r="M640" s="539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8" t="s">
        <v>249</v>
      </c>
      <c r="M641" s="539"/>
      <c r="N641" s="543">
        <f>'BD Team'!J66</f>
        <v>0</v>
      </c>
      <c r="O641" s="543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8" t="s">
        <v>250</v>
      </c>
      <c r="M642" s="539"/>
      <c r="N642" s="543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8" t="s">
        <v>251</v>
      </c>
      <c r="M643" s="539"/>
      <c r="N643" s="543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8" t="s">
        <v>252</v>
      </c>
      <c r="M644" s="539"/>
      <c r="N644" s="543">
        <f>'BD Team'!F66</f>
        <v>0</v>
      </c>
      <c r="O644" s="540"/>
    </row>
    <row r="645" spans="3:15">
      <c r="C645" s="544"/>
      <c r="D645" s="544"/>
      <c r="E645" s="544"/>
      <c r="F645" s="544"/>
      <c r="G645" s="544"/>
      <c r="H645" s="544"/>
      <c r="I645" s="544"/>
      <c r="J645" s="544"/>
      <c r="K645" s="544"/>
      <c r="L645" s="544"/>
      <c r="M645" s="544"/>
      <c r="N645" s="544"/>
      <c r="O645" s="544"/>
    </row>
    <row r="646" spans="3:15" ht="25.15" customHeight="1">
      <c r="C646" s="538" t="s">
        <v>253</v>
      </c>
      <c r="D646" s="539"/>
      <c r="E646" s="289">
        <f>'BD Team'!B67</f>
        <v>0</v>
      </c>
      <c r="F646" s="288" t="s">
        <v>254</v>
      </c>
      <c r="G646" s="543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8" t="s">
        <v>127</v>
      </c>
      <c r="M647" s="539"/>
      <c r="N647" s="550">
        <f>'BD Team'!G67</f>
        <v>0</v>
      </c>
      <c r="O647" s="542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8" t="s">
        <v>246</v>
      </c>
      <c r="M648" s="539"/>
      <c r="N648" s="540" t="str">
        <f>$F$6</f>
        <v>Powder Coating Black Matt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8" t="s">
        <v>177</v>
      </c>
      <c r="M649" s="539"/>
      <c r="N649" s="540" t="str">
        <f>$K$6</f>
        <v>Black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8" t="s">
        <v>247</v>
      </c>
      <c r="M650" s="539"/>
      <c r="N650" s="542" t="s">
        <v>255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8" t="s">
        <v>248</v>
      </c>
      <c r="M651" s="539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8" t="s">
        <v>249</v>
      </c>
      <c r="M652" s="539"/>
      <c r="N652" s="543">
        <f>'BD Team'!J67</f>
        <v>0</v>
      </c>
      <c r="O652" s="543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8" t="s">
        <v>250</v>
      </c>
      <c r="M653" s="539"/>
      <c r="N653" s="543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8" t="s">
        <v>251</v>
      </c>
      <c r="M654" s="539"/>
      <c r="N654" s="543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8" t="s">
        <v>252</v>
      </c>
      <c r="M655" s="539"/>
      <c r="N655" s="543">
        <f>'BD Team'!F67</f>
        <v>0</v>
      </c>
      <c r="O655" s="540"/>
    </row>
    <row r="656" spans="3:15">
      <c r="C656" s="544"/>
      <c r="D656" s="544"/>
      <c r="E656" s="544"/>
      <c r="F656" s="544"/>
      <c r="G656" s="544"/>
      <c r="H656" s="544"/>
      <c r="I656" s="544"/>
      <c r="J656" s="544"/>
      <c r="K656" s="544"/>
      <c r="L656" s="544"/>
      <c r="M656" s="544"/>
      <c r="N656" s="544"/>
      <c r="O656" s="544"/>
    </row>
    <row r="657" spans="3:15" ht="25.15" customHeight="1">
      <c r="C657" s="538" t="s">
        <v>253</v>
      </c>
      <c r="D657" s="539"/>
      <c r="E657" s="289">
        <f>'BD Team'!B68</f>
        <v>0</v>
      </c>
      <c r="F657" s="288" t="s">
        <v>254</v>
      </c>
      <c r="G657" s="543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8" t="s">
        <v>127</v>
      </c>
      <c r="M658" s="539"/>
      <c r="N658" s="550">
        <f>'BD Team'!G68</f>
        <v>0</v>
      </c>
      <c r="O658" s="542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8" t="s">
        <v>246</v>
      </c>
      <c r="M659" s="539"/>
      <c r="N659" s="540" t="str">
        <f>$F$6</f>
        <v>Powder Coating Black Matt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8" t="s">
        <v>177</v>
      </c>
      <c r="M660" s="539"/>
      <c r="N660" s="540" t="str">
        <f>$K$6</f>
        <v>Black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8" t="s">
        <v>247</v>
      </c>
      <c r="M661" s="539"/>
      <c r="N661" s="542" t="s">
        <v>255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8" t="s">
        <v>248</v>
      </c>
      <c r="M662" s="539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8" t="s">
        <v>249</v>
      </c>
      <c r="M663" s="539"/>
      <c r="N663" s="543">
        <f>'BD Team'!J68</f>
        <v>0</v>
      </c>
      <c r="O663" s="543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8" t="s">
        <v>250</v>
      </c>
      <c r="M664" s="539"/>
      <c r="N664" s="543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8" t="s">
        <v>251</v>
      </c>
      <c r="M665" s="539"/>
      <c r="N665" s="543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8" t="s">
        <v>252</v>
      </c>
      <c r="M666" s="539"/>
      <c r="N666" s="543">
        <f>'BD Team'!F68</f>
        <v>0</v>
      </c>
      <c r="O666" s="540"/>
    </row>
    <row r="667" spans="3:15">
      <c r="C667" s="544"/>
      <c r="D667" s="544"/>
      <c r="E667" s="544"/>
      <c r="F667" s="544"/>
      <c r="G667" s="544"/>
      <c r="H667" s="544"/>
      <c r="I667" s="544"/>
      <c r="J667" s="544"/>
      <c r="K667" s="544"/>
      <c r="L667" s="544"/>
      <c r="M667" s="544"/>
      <c r="N667" s="544"/>
      <c r="O667" s="544"/>
    </row>
    <row r="668" spans="3:15" ht="25.15" customHeight="1">
      <c r="C668" s="538" t="s">
        <v>253</v>
      </c>
      <c r="D668" s="539"/>
      <c r="E668" s="289">
        <f>'BD Team'!B69</f>
        <v>0</v>
      </c>
      <c r="F668" s="288" t="s">
        <v>254</v>
      </c>
      <c r="G668" s="543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8" t="s">
        <v>127</v>
      </c>
      <c r="M669" s="539"/>
      <c r="N669" s="550">
        <f>'BD Team'!G69</f>
        <v>0</v>
      </c>
      <c r="O669" s="542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8" t="s">
        <v>246</v>
      </c>
      <c r="M670" s="539"/>
      <c r="N670" s="540" t="str">
        <f>$F$6</f>
        <v>Powder Coating Black Matt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8" t="s">
        <v>177</v>
      </c>
      <c r="M671" s="539"/>
      <c r="N671" s="540" t="str">
        <f>$K$6</f>
        <v>Black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8" t="s">
        <v>247</v>
      </c>
      <c r="M672" s="539"/>
      <c r="N672" s="542" t="s">
        <v>255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8" t="s">
        <v>248</v>
      </c>
      <c r="M673" s="539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8" t="s">
        <v>249</v>
      </c>
      <c r="M674" s="539"/>
      <c r="N674" s="543">
        <f>'BD Team'!J69</f>
        <v>0</v>
      </c>
      <c r="O674" s="543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8" t="s">
        <v>250</v>
      </c>
      <c r="M675" s="539"/>
      <c r="N675" s="543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8" t="s">
        <v>251</v>
      </c>
      <c r="M676" s="539"/>
      <c r="N676" s="543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8" t="s">
        <v>252</v>
      </c>
      <c r="M677" s="539"/>
      <c r="N677" s="543">
        <f>'BD Team'!F69</f>
        <v>0</v>
      </c>
      <c r="O677" s="540"/>
    </row>
    <row r="678" spans="3:15">
      <c r="C678" s="544"/>
      <c r="D678" s="544"/>
      <c r="E678" s="544"/>
      <c r="F678" s="544"/>
      <c r="G678" s="544"/>
      <c r="H678" s="544"/>
      <c r="I678" s="544"/>
      <c r="J678" s="544"/>
      <c r="K678" s="544"/>
      <c r="L678" s="544"/>
      <c r="M678" s="544"/>
      <c r="N678" s="544"/>
      <c r="O678" s="544"/>
    </row>
    <row r="679" spans="3:15" ht="25.15" customHeight="1">
      <c r="C679" s="538" t="s">
        <v>253</v>
      </c>
      <c r="D679" s="539"/>
      <c r="E679" s="289">
        <f>'BD Team'!B70</f>
        <v>0</v>
      </c>
      <c r="F679" s="288" t="s">
        <v>254</v>
      </c>
      <c r="G679" s="543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8" t="s">
        <v>127</v>
      </c>
      <c r="M680" s="539"/>
      <c r="N680" s="550">
        <f>'BD Team'!G70</f>
        <v>0</v>
      </c>
      <c r="O680" s="542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8" t="s">
        <v>246</v>
      </c>
      <c r="M681" s="539"/>
      <c r="N681" s="540" t="str">
        <f>$F$6</f>
        <v>Powder Coating Black Matt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8" t="s">
        <v>177</v>
      </c>
      <c r="M682" s="539"/>
      <c r="N682" s="540" t="str">
        <f>$K$6</f>
        <v>Black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8" t="s">
        <v>247</v>
      </c>
      <c r="M683" s="539"/>
      <c r="N683" s="542" t="s">
        <v>255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8" t="s">
        <v>248</v>
      </c>
      <c r="M684" s="539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8" t="s">
        <v>249</v>
      </c>
      <c r="M685" s="539"/>
      <c r="N685" s="543">
        <f>'BD Team'!J70</f>
        <v>0</v>
      </c>
      <c r="O685" s="543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8" t="s">
        <v>250</v>
      </c>
      <c r="M686" s="539"/>
      <c r="N686" s="543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8" t="s">
        <v>251</v>
      </c>
      <c r="M687" s="539"/>
      <c r="N687" s="543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8" t="s">
        <v>252</v>
      </c>
      <c r="M688" s="539"/>
      <c r="N688" s="543">
        <f>'BD Team'!F70</f>
        <v>0</v>
      </c>
      <c r="O688" s="540"/>
    </row>
    <row r="689" spans="3:15">
      <c r="C689" s="544"/>
      <c r="D689" s="544"/>
      <c r="E689" s="544"/>
      <c r="F689" s="544"/>
      <c r="G689" s="544"/>
      <c r="H689" s="544"/>
      <c r="I689" s="544"/>
      <c r="J689" s="544"/>
      <c r="K689" s="544"/>
      <c r="L689" s="544"/>
      <c r="M689" s="544"/>
      <c r="N689" s="544"/>
      <c r="O689" s="544"/>
    </row>
    <row r="690" spans="3:15" ht="25.15" customHeight="1">
      <c r="C690" s="538" t="s">
        <v>253</v>
      </c>
      <c r="D690" s="539"/>
      <c r="E690" s="289">
        <f>'BD Team'!B71</f>
        <v>0</v>
      </c>
      <c r="F690" s="288" t="s">
        <v>254</v>
      </c>
      <c r="G690" s="543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8" t="s">
        <v>127</v>
      </c>
      <c r="M691" s="539"/>
      <c r="N691" s="550">
        <f>'BD Team'!G71</f>
        <v>0</v>
      </c>
      <c r="O691" s="542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8" t="s">
        <v>246</v>
      </c>
      <c r="M692" s="539"/>
      <c r="N692" s="540" t="str">
        <f>$F$6</f>
        <v>Powder Coating Black Matt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8" t="s">
        <v>177</v>
      </c>
      <c r="M693" s="539"/>
      <c r="N693" s="540" t="str">
        <f>$K$6</f>
        <v>Black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8" t="s">
        <v>247</v>
      </c>
      <c r="M694" s="539"/>
      <c r="N694" s="542" t="s">
        <v>255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8" t="s">
        <v>248</v>
      </c>
      <c r="M695" s="539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8" t="s">
        <v>249</v>
      </c>
      <c r="M696" s="539"/>
      <c r="N696" s="543">
        <f>'BD Team'!J71</f>
        <v>0</v>
      </c>
      <c r="O696" s="543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8" t="s">
        <v>250</v>
      </c>
      <c r="M697" s="539"/>
      <c r="N697" s="543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8" t="s">
        <v>251</v>
      </c>
      <c r="M698" s="539"/>
      <c r="N698" s="543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8" t="s">
        <v>252</v>
      </c>
      <c r="M699" s="539"/>
      <c r="N699" s="543">
        <f>'BD Team'!F71</f>
        <v>0</v>
      </c>
      <c r="O699" s="540"/>
    </row>
    <row r="700" spans="3:15">
      <c r="C700" s="544"/>
      <c r="D700" s="544"/>
      <c r="E700" s="544"/>
      <c r="F700" s="544"/>
      <c r="G700" s="544"/>
      <c r="H700" s="544"/>
      <c r="I700" s="544"/>
      <c r="J700" s="544"/>
      <c r="K700" s="544"/>
      <c r="L700" s="544"/>
      <c r="M700" s="544"/>
      <c r="N700" s="544"/>
      <c r="O700" s="544"/>
    </row>
    <row r="701" spans="3:15" ht="25.15" customHeight="1">
      <c r="C701" s="538" t="s">
        <v>253</v>
      </c>
      <c r="D701" s="539"/>
      <c r="E701" s="289">
        <f>'BD Team'!B72</f>
        <v>0</v>
      </c>
      <c r="F701" s="288" t="s">
        <v>254</v>
      </c>
      <c r="G701" s="543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8" t="s">
        <v>127</v>
      </c>
      <c r="M702" s="539"/>
      <c r="N702" s="550">
        <f>'BD Team'!G72</f>
        <v>0</v>
      </c>
      <c r="O702" s="542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8" t="s">
        <v>246</v>
      </c>
      <c r="M703" s="539"/>
      <c r="N703" s="540" t="str">
        <f>$F$6</f>
        <v>Powder Coating Black Matt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8" t="s">
        <v>177</v>
      </c>
      <c r="M704" s="539"/>
      <c r="N704" s="540" t="str">
        <f>$K$6</f>
        <v>Black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8" t="s">
        <v>247</v>
      </c>
      <c r="M705" s="539"/>
      <c r="N705" s="542" t="s">
        <v>255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8" t="s">
        <v>248</v>
      </c>
      <c r="M706" s="539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8" t="s">
        <v>249</v>
      </c>
      <c r="M707" s="539"/>
      <c r="N707" s="543">
        <f>'BD Team'!J72</f>
        <v>0</v>
      </c>
      <c r="O707" s="543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8" t="s">
        <v>250</v>
      </c>
      <c r="M708" s="539"/>
      <c r="N708" s="543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8" t="s">
        <v>251</v>
      </c>
      <c r="M709" s="539"/>
      <c r="N709" s="543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8" t="s">
        <v>252</v>
      </c>
      <c r="M710" s="539"/>
      <c r="N710" s="543">
        <f>'BD Team'!F72</f>
        <v>0</v>
      </c>
      <c r="O710" s="540"/>
    </row>
    <row r="711" spans="3:15">
      <c r="C711" s="544"/>
      <c r="D711" s="544"/>
      <c r="E711" s="544"/>
      <c r="F711" s="544"/>
      <c r="G711" s="544"/>
      <c r="H711" s="544"/>
      <c r="I711" s="544"/>
      <c r="J711" s="544"/>
      <c r="K711" s="544"/>
      <c r="L711" s="544"/>
      <c r="M711" s="544"/>
      <c r="N711" s="544"/>
      <c r="O711" s="544"/>
    </row>
    <row r="712" spans="3:15" ht="25.15" customHeight="1">
      <c r="C712" s="538" t="s">
        <v>253</v>
      </c>
      <c r="D712" s="539"/>
      <c r="E712" s="289">
        <f>'BD Team'!B73</f>
        <v>0</v>
      </c>
      <c r="F712" s="288" t="s">
        <v>254</v>
      </c>
      <c r="G712" s="543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8" t="s">
        <v>127</v>
      </c>
      <c r="M713" s="539"/>
      <c r="N713" s="550">
        <f>'BD Team'!G73</f>
        <v>0</v>
      </c>
      <c r="O713" s="542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8" t="s">
        <v>246</v>
      </c>
      <c r="M714" s="539"/>
      <c r="N714" s="540" t="str">
        <f>$F$6</f>
        <v>Powder Coating Black Matt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8" t="s">
        <v>177</v>
      </c>
      <c r="M715" s="539"/>
      <c r="N715" s="540" t="str">
        <f>$K$6</f>
        <v>Black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8" t="s">
        <v>247</v>
      </c>
      <c r="M716" s="539"/>
      <c r="N716" s="542" t="s">
        <v>255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8" t="s">
        <v>248</v>
      </c>
      <c r="M717" s="539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8" t="s">
        <v>249</v>
      </c>
      <c r="M718" s="539"/>
      <c r="N718" s="543">
        <f>'BD Team'!J73</f>
        <v>0</v>
      </c>
      <c r="O718" s="543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8" t="s">
        <v>250</v>
      </c>
      <c r="M719" s="539"/>
      <c r="N719" s="543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8" t="s">
        <v>251</v>
      </c>
      <c r="M720" s="539"/>
      <c r="N720" s="543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8" t="s">
        <v>252</v>
      </c>
      <c r="M721" s="539"/>
      <c r="N721" s="543">
        <f>'BD Team'!F73</f>
        <v>0</v>
      </c>
      <c r="O721" s="540"/>
    </row>
    <row r="722" spans="3:15">
      <c r="C722" s="544"/>
      <c r="D722" s="544"/>
      <c r="E722" s="544"/>
      <c r="F722" s="544"/>
      <c r="G722" s="544"/>
      <c r="H722" s="544"/>
      <c r="I722" s="544"/>
      <c r="J722" s="544"/>
      <c r="K722" s="544"/>
      <c r="L722" s="544"/>
      <c r="M722" s="544"/>
      <c r="N722" s="544"/>
      <c r="O722" s="544"/>
    </row>
    <row r="723" spans="3:15" ht="25.15" customHeight="1">
      <c r="C723" s="538" t="s">
        <v>253</v>
      </c>
      <c r="D723" s="539"/>
      <c r="E723" s="289">
        <f>'BD Team'!B74</f>
        <v>0</v>
      </c>
      <c r="F723" s="288" t="s">
        <v>254</v>
      </c>
      <c r="G723" s="543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8" t="s">
        <v>127</v>
      </c>
      <c r="M724" s="539"/>
      <c r="N724" s="550">
        <f>'BD Team'!G74</f>
        <v>0</v>
      </c>
      <c r="O724" s="542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8" t="s">
        <v>246</v>
      </c>
      <c r="M725" s="539"/>
      <c r="N725" s="540" t="str">
        <f>$F$6</f>
        <v>Powder Coating Black Matt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8" t="s">
        <v>177</v>
      </c>
      <c r="M726" s="539"/>
      <c r="N726" s="540" t="str">
        <f>$K$6</f>
        <v>Black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8" t="s">
        <v>247</v>
      </c>
      <c r="M727" s="539"/>
      <c r="N727" s="542" t="s">
        <v>255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8" t="s">
        <v>248</v>
      </c>
      <c r="M728" s="539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8" t="s">
        <v>249</v>
      </c>
      <c r="M729" s="539"/>
      <c r="N729" s="543">
        <f>'BD Team'!J74</f>
        <v>0</v>
      </c>
      <c r="O729" s="543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8" t="s">
        <v>250</v>
      </c>
      <c r="M730" s="539"/>
      <c r="N730" s="543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8" t="s">
        <v>251</v>
      </c>
      <c r="M731" s="539"/>
      <c r="N731" s="543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8" t="s">
        <v>252</v>
      </c>
      <c r="M732" s="539"/>
      <c r="N732" s="543">
        <f>'BD Team'!F74</f>
        <v>0</v>
      </c>
      <c r="O732" s="540"/>
    </row>
    <row r="733" spans="3:15">
      <c r="C733" s="544"/>
      <c r="D733" s="544"/>
      <c r="E733" s="544"/>
      <c r="F733" s="544"/>
      <c r="G733" s="544"/>
      <c r="H733" s="544"/>
      <c r="I733" s="544"/>
      <c r="J733" s="544"/>
      <c r="K733" s="544"/>
      <c r="L733" s="544"/>
      <c r="M733" s="544"/>
      <c r="N733" s="544"/>
      <c r="O733" s="544"/>
    </row>
    <row r="734" spans="3:15" ht="25.15" customHeight="1">
      <c r="C734" s="538" t="s">
        <v>253</v>
      </c>
      <c r="D734" s="539"/>
      <c r="E734" s="289">
        <f>'BD Team'!B75</f>
        <v>0</v>
      </c>
      <c r="F734" s="288" t="s">
        <v>254</v>
      </c>
      <c r="G734" s="543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8" t="s">
        <v>127</v>
      </c>
      <c r="M735" s="539"/>
      <c r="N735" s="550">
        <f>'BD Team'!G75</f>
        <v>0</v>
      </c>
      <c r="O735" s="542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8" t="s">
        <v>246</v>
      </c>
      <c r="M736" s="539"/>
      <c r="N736" s="540" t="str">
        <f>$F$6</f>
        <v>Powder Coating Black Matt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8" t="s">
        <v>177</v>
      </c>
      <c r="M737" s="539"/>
      <c r="N737" s="540" t="str">
        <f>$K$6</f>
        <v>Black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8" t="s">
        <v>247</v>
      </c>
      <c r="M738" s="539"/>
      <c r="N738" s="542" t="s">
        <v>255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8" t="s">
        <v>248</v>
      </c>
      <c r="M739" s="539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8" t="s">
        <v>249</v>
      </c>
      <c r="M740" s="539"/>
      <c r="N740" s="543">
        <f>'BD Team'!J75</f>
        <v>0</v>
      </c>
      <c r="O740" s="543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8" t="s">
        <v>250</v>
      </c>
      <c r="M741" s="539"/>
      <c r="N741" s="543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8" t="s">
        <v>251</v>
      </c>
      <c r="M742" s="539"/>
      <c r="N742" s="543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8" t="s">
        <v>252</v>
      </c>
      <c r="M743" s="539"/>
      <c r="N743" s="543">
        <f>'BD Team'!F75</f>
        <v>0</v>
      </c>
      <c r="O743" s="540"/>
    </row>
    <row r="744" spans="3:15">
      <c r="C744" s="544"/>
      <c r="D744" s="544"/>
      <c r="E744" s="544"/>
      <c r="F744" s="544"/>
      <c r="G744" s="544"/>
      <c r="H744" s="544"/>
      <c r="I744" s="544"/>
      <c r="J744" s="544"/>
      <c r="K744" s="544"/>
      <c r="L744" s="544"/>
      <c r="M744" s="544"/>
      <c r="N744" s="544"/>
      <c r="O744" s="544"/>
    </row>
    <row r="745" spans="3:15" ht="25.15" customHeight="1">
      <c r="C745" s="538" t="s">
        <v>253</v>
      </c>
      <c r="D745" s="539"/>
      <c r="E745" s="289">
        <f>'BD Team'!B76</f>
        <v>0</v>
      </c>
      <c r="F745" s="288" t="s">
        <v>254</v>
      </c>
      <c r="G745" s="543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8" t="s">
        <v>127</v>
      </c>
      <c r="M746" s="539"/>
      <c r="N746" s="550">
        <f>'BD Team'!G76</f>
        <v>0</v>
      </c>
      <c r="O746" s="542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8" t="s">
        <v>246</v>
      </c>
      <c r="M747" s="539"/>
      <c r="N747" s="540" t="str">
        <f>$F$6</f>
        <v>Powder Coating Black Matt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8" t="s">
        <v>177</v>
      </c>
      <c r="M748" s="539"/>
      <c r="N748" s="540" t="str">
        <f>$K$6</f>
        <v>Black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8" t="s">
        <v>247</v>
      </c>
      <c r="M749" s="539"/>
      <c r="N749" s="542" t="s">
        <v>255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8" t="s">
        <v>248</v>
      </c>
      <c r="M750" s="539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8" t="s">
        <v>249</v>
      </c>
      <c r="M751" s="539"/>
      <c r="N751" s="543">
        <f>'BD Team'!J76</f>
        <v>0</v>
      </c>
      <c r="O751" s="543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8" t="s">
        <v>250</v>
      </c>
      <c r="M752" s="539"/>
      <c r="N752" s="543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8" t="s">
        <v>251</v>
      </c>
      <c r="M753" s="539"/>
      <c r="N753" s="543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8" t="s">
        <v>252</v>
      </c>
      <c r="M754" s="539"/>
      <c r="N754" s="543">
        <f>'BD Team'!F76</f>
        <v>0</v>
      </c>
      <c r="O754" s="540"/>
    </row>
    <row r="755" spans="3:15">
      <c r="C755" s="544"/>
      <c r="D755" s="544"/>
      <c r="E755" s="544"/>
      <c r="F755" s="544"/>
      <c r="G755" s="544"/>
      <c r="H755" s="544"/>
      <c r="I755" s="544"/>
      <c r="J755" s="544"/>
      <c r="K755" s="544"/>
      <c r="L755" s="544"/>
      <c r="M755" s="544"/>
      <c r="N755" s="544"/>
      <c r="O755" s="544"/>
    </row>
    <row r="756" spans="3:15" ht="25.15" customHeight="1">
      <c r="C756" s="538" t="s">
        <v>253</v>
      </c>
      <c r="D756" s="539"/>
      <c r="E756" s="289">
        <f>'BD Team'!B77</f>
        <v>0</v>
      </c>
      <c r="F756" s="288" t="s">
        <v>254</v>
      </c>
      <c r="G756" s="543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8" t="s">
        <v>127</v>
      </c>
      <c r="M757" s="539"/>
      <c r="N757" s="550">
        <f>'BD Team'!G77</f>
        <v>0</v>
      </c>
      <c r="O757" s="542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8" t="s">
        <v>246</v>
      </c>
      <c r="M758" s="539"/>
      <c r="N758" s="540" t="str">
        <f>$F$6</f>
        <v>Powder Coating Black Matt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8" t="s">
        <v>177</v>
      </c>
      <c r="M759" s="539"/>
      <c r="N759" s="540" t="str">
        <f>$K$6</f>
        <v>Black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8" t="s">
        <v>247</v>
      </c>
      <c r="M760" s="539"/>
      <c r="N760" s="542" t="s">
        <v>255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8" t="s">
        <v>248</v>
      </c>
      <c r="M761" s="539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8" t="s">
        <v>249</v>
      </c>
      <c r="M762" s="539"/>
      <c r="N762" s="543">
        <f>'BD Team'!J77</f>
        <v>0</v>
      </c>
      <c r="O762" s="543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8" t="s">
        <v>250</v>
      </c>
      <c r="M763" s="539"/>
      <c r="N763" s="543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8" t="s">
        <v>251</v>
      </c>
      <c r="M764" s="539"/>
      <c r="N764" s="543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8" t="s">
        <v>252</v>
      </c>
      <c r="M765" s="539"/>
      <c r="N765" s="543">
        <f>'BD Team'!F77</f>
        <v>0</v>
      </c>
      <c r="O765" s="540"/>
    </row>
    <row r="766" spans="3:15">
      <c r="C766" s="544"/>
      <c r="D766" s="544"/>
      <c r="E766" s="544"/>
      <c r="F766" s="544"/>
      <c r="G766" s="544"/>
      <c r="H766" s="544"/>
      <c r="I766" s="544"/>
      <c r="J766" s="544"/>
      <c r="K766" s="544"/>
      <c r="L766" s="544"/>
      <c r="M766" s="544"/>
      <c r="N766" s="544"/>
      <c r="O766" s="544"/>
    </row>
    <row r="767" spans="3:15" ht="25.15" customHeight="1">
      <c r="C767" s="538" t="s">
        <v>253</v>
      </c>
      <c r="D767" s="539"/>
      <c r="E767" s="289">
        <f>'BD Team'!B78</f>
        <v>0</v>
      </c>
      <c r="F767" s="288" t="s">
        <v>254</v>
      </c>
      <c r="G767" s="543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8" t="s">
        <v>127</v>
      </c>
      <c r="M768" s="539"/>
      <c r="N768" s="550">
        <f>'BD Team'!G78</f>
        <v>0</v>
      </c>
      <c r="O768" s="542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8" t="s">
        <v>246</v>
      </c>
      <c r="M769" s="539"/>
      <c r="N769" s="540" t="str">
        <f>$F$6</f>
        <v>Powder Coating Black Matt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8" t="s">
        <v>177</v>
      </c>
      <c r="M770" s="539"/>
      <c r="N770" s="540" t="str">
        <f>$K$6</f>
        <v>Black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8" t="s">
        <v>247</v>
      </c>
      <c r="M771" s="539"/>
      <c r="N771" s="542" t="s">
        <v>255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8" t="s">
        <v>248</v>
      </c>
      <c r="M772" s="539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8" t="s">
        <v>249</v>
      </c>
      <c r="M773" s="539"/>
      <c r="N773" s="543">
        <f>'BD Team'!J78</f>
        <v>0</v>
      </c>
      <c r="O773" s="543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8" t="s">
        <v>250</v>
      </c>
      <c r="M774" s="539"/>
      <c r="N774" s="543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8" t="s">
        <v>251</v>
      </c>
      <c r="M775" s="539"/>
      <c r="N775" s="543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8" t="s">
        <v>252</v>
      </c>
      <c r="M776" s="539"/>
      <c r="N776" s="543">
        <f>'BD Team'!F78</f>
        <v>0</v>
      </c>
      <c r="O776" s="540"/>
    </row>
    <row r="777" spans="3:15">
      <c r="C777" s="544"/>
      <c r="D777" s="544"/>
      <c r="E777" s="544"/>
      <c r="F777" s="544"/>
      <c r="G777" s="544"/>
      <c r="H777" s="544"/>
      <c r="I777" s="544"/>
      <c r="J777" s="544"/>
      <c r="K777" s="544"/>
      <c r="L777" s="544"/>
      <c r="M777" s="544"/>
      <c r="N777" s="544"/>
      <c r="O777" s="544"/>
    </row>
    <row r="778" spans="3:15" ht="25.15" customHeight="1">
      <c r="C778" s="538" t="s">
        <v>253</v>
      </c>
      <c r="D778" s="539"/>
      <c r="E778" s="289">
        <f>'BD Team'!B79</f>
        <v>0</v>
      </c>
      <c r="F778" s="288" t="s">
        <v>254</v>
      </c>
      <c r="G778" s="543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8" t="s">
        <v>127</v>
      </c>
      <c r="M779" s="539"/>
      <c r="N779" s="550">
        <f>'BD Team'!G79</f>
        <v>0</v>
      </c>
      <c r="O779" s="542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8" t="s">
        <v>246</v>
      </c>
      <c r="M780" s="539"/>
      <c r="N780" s="540" t="str">
        <f>$F$6</f>
        <v>Powder Coating Black Matt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8" t="s">
        <v>177</v>
      </c>
      <c r="M781" s="539"/>
      <c r="N781" s="540" t="str">
        <f>$K$6</f>
        <v>Black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8" t="s">
        <v>247</v>
      </c>
      <c r="M782" s="539"/>
      <c r="N782" s="542" t="s">
        <v>255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8" t="s">
        <v>248</v>
      </c>
      <c r="M783" s="539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8" t="s">
        <v>249</v>
      </c>
      <c r="M784" s="539"/>
      <c r="N784" s="543">
        <f>'BD Team'!J79</f>
        <v>0</v>
      </c>
      <c r="O784" s="543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8" t="s">
        <v>250</v>
      </c>
      <c r="M785" s="539"/>
      <c r="N785" s="543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8" t="s">
        <v>251</v>
      </c>
      <c r="M786" s="539"/>
      <c r="N786" s="543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8" t="s">
        <v>252</v>
      </c>
      <c r="M787" s="539"/>
      <c r="N787" s="543">
        <f>'BD Team'!F79</f>
        <v>0</v>
      </c>
      <c r="O787" s="540"/>
    </row>
    <row r="788" spans="3:15">
      <c r="C788" s="544"/>
      <c r="D788" s="544"/>
      <c r="E788" s="544"/>
      <c r="F788" s="544"/>
      <c r="G788" s="544"/>
      <c r="H788" s="544"/>
      <c r="I788" s="544"/>
      <c r="J788" s="544"/>
      <c r="K788" s="544"/>
      <c r="L788" s="544"/>
      <c r="M788" s="544"/>
      <c r="N788" s="544"/>
      <c r="O788" s="544"/>
    </row>
    <row r="789" spans="3:15" ht="25.15" customHeight="1">
      <c r="C789" s="538" t="s">
        <v>253</v>
      </c>
      <c r="D789" s="539"/>
      <c r="E789" s="289">
        <f>'BD Team'!B80</f>
        <v>0</v>
      </c>
      <c r="F789" s="288" t="s">
        <v>254</v>
      </c>
      <c r="G789" s="543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8" t="s">
        <v>127</v>
      </c>
      <c r="M790" s="539"/>
      <c r="N790" s="550">
        <f>'BD Team'!G80</f>
        <v>0</v>
      </c>
      <c r="O790" s="542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8" t="s">
        <v>246</v>
      </c>
      <c r="M791" s="539"/>
      <c r="N791" s="540" t="str">
        <f>$F$6</f>
        <v>Powder Coating Black Matt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8" t="s">
        <v>177</v>
      </c>
      <c r="M792" s="539"/>
      <c r="N792" s="540" t="str">
        <f>$K$6</f>
        <v>Black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8" t="s">
        <v>247</v>
      </c>
      <c r="M793" s="539"/>
      <c r="N793" s="542" t="s">
        <v>255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8" t="s">
        <v>248</v>
      </c>
      <c r="M794" s="539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8" t="s">
        <v>249</v>
      </c>
      <c r="M795" s="539"/>
      <c r="N795" s="543">
        <f>'BD Team'!J80</f>
        <v>0</v>
      </c>
      <c r="O795" s="543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8" t="s">
        <v>250</v>
      </c>
      <c r="M796" s="539"/>
      <c r="N796" s="543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8" t="s">
        <v>251</v>
      </c>
      <c r="M797" s="539"/>
      <c r="N797" s="543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8" t="s">
        <v>252</v>
      </c>
      <c r="M798" s="539"/>
      <c r="N798" s="543">
        <f>'BD Team'!F80</f>
        <v>0</v>
      </c>
      <c r="O798" s="540"/>
    </row>
    <row r="799" spans="3:15">
      <c r="C799" s="544"/>
      <c r="D799" s="544"/>
      <c r="E799" s="544"/>
      <c r="F799" s="544"/>
      <c r="G799" s="544"/>
      <c r="H799" s="544"/>
      <c r="I799" s="544"/>
      <c r="J799" s="544"/>
      <c r="K799" s="544"/>
      <c r="L799" s="544"/>
      <c r="M799" s="544"/>
      <c r="N799" s="544"/>
      <c r="O799" s="544"/>
    </row>
    <row r="800" spans="3:15" ht="25.15" customHeight="1">
      <c r="C800" s="538" t="s">
        <v>253</v>
      </c>
      <c r="D800" s="539"/>
      <c r="E800" s="289">
        <f>'BD Team'!B81</f>
        <v>0</v>
      </c>
      <c r="F800" s="288" t="s">
        <v>254</v>
      </c>
      <c r="G800" s="543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8" t="s">
        <v>127</v>
      </c>
      <c r="M801" s="539"/>
      <c r="N801" s="550">
        <f>'BD Team'!G81</f>
        <v>0</v>
      </c>
      <c r="O801" s="542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8" t="s">
        <v>246</v>
      </c>
      <c r="M802" s="539"/>
      <c r="N802" s="540" t="str">
        <f>$F$6</f>
        <v>Powder Coating Black Matt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8" t="s">
        <v>177</v>
      </c>
      <c r="M803" s="539"/>
      <c r="N803" s="540" t="str">
        <f>$K$6</f>
        <v>Black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8" t="s">
        <v>247</v>
      </c>
      <c r="M804" s="539"/>
      <c r="N804" s="542" t="s">
        <v>255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8" t="s">
        <v>248</v>
      </c>
      <c r="M805" s="539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8" t="s">
        <v>249</v>
      </c>
      <c r="M806" s="539"/>
      <c r="N806" s="543">
        <f>'BD Team'!J81</f>
        <v>0</v>
      </c>
      <c r="O806" s="543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8" t="s">
        <v>250</v>
      </c>
      <c r="M807" s="539"/>
      <c r="N807" s="543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8" t="s">
        <v>251</v>
      </c>
      <c r="M808" s="539"/>
      <c r="N808" s="543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8" t="s">
        <v>252</v>
      </c>
      <c r="M809" s="539"/>
      <c r="N809" s="543">
        <f>'BD Team'!F81</f>
        <v>0</v>
      </c>
      <c r="O809" s="540"/>
    </row>
    <row r="810" spans="3:15">
      <c r="C810" s="544"/>
      <c r="D810" s="544"/>
      <c r="E810" s="544"/>
      <c r="F810" s="544"/>
      <c r="G810" s="544"/>
      <c r="H810" s="544"/>
      <c r="I810" s="544"/>
      <c r="J810" s="544"/>
      <c r="K810" s="544"/>
      <c r="L810" s="544"/>
      <c r="M810" s="544"/>
      <c r="N810" s="544"/>
      <c r="O810" s="544"/>
    </row>
    <row r="811" spans="3:15" ht="25.15" customHeight="1">
      <c r="C811" s="538" t="s">
        <v>253</v>
      </c>
      <c r="D811" s="539"/>
      <c r="E811" s="289">
        <f>'BD Team'!B82</f>
        <v>0</v>
      </c>
      <c r="F811" s="288" t="s">
        <v>254</v>
      </c>
      <c r="G811" s="543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8" t="s">
        <v>127</v>
      </c>
      <c r="M812" s="539"/>
      <c r="N812" s="550">
        <f>'BD Team'!G82</f>
        <v>0</v>
      </c>
      <c r="O812" s="542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8" t="s">
        <v>246</v>
      </c>
      <c r="M813" s="539"/>
      <c r="N813" s="540" t="str">
        <f>$F$6</f>
        <v>Powder Coating Black Matt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8" t="s">
        <v>177</v>
      </c>
      <c r="M814" s="539"/>
      <c r="N814" s="540" t="str">
        <f>$K$6</f>
        <v>Black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8" t="s">
        <v>247</v>
      </c>
      <c r="M815" s="539"/>
      <c r="N815" s="542" t="s">
        <v>255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8" t="s">
        <v>248</v>
      </c>
      <c r="M816" s="539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8" t="s">
        <v>249</v>
      </c>
      <c r="M817" s="539"/>
      <c r="N817" s="543">
        <f>'BD Team'!J82</f>
        <v>0</v>
      </c>
      <c r="O817" s="543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8" t="s">
        <v>250</v>
      </c>
      <c r="M818" s="539"/>
      <c r="N818" s="543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8" t="s">
        <v>251</v>
      </c>
      <c r="M819" s="539"/>
      <c r="N819" s="543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8" t="s">
        <v>252</v>
      </c>
      <c r="M820" s="539"/>
      <c r="N820" s="543">
        <f>'BD Team'!F82</f>
        <v>0</v>
      </c>
      <c r="O820" s="540"/>
    </row>
    <row r="821" spans="3:15">
      <c r="C821" s="544"/>
      <c r="D821" s="544"/>
      <c r="E821" s="544"/>
      <c r="F821" s="544"/>
      <c r="G821" s="544"/>
      <c r="H821" s="544"/>
      <c r="I821" s="544"/>
      <c r="J821" s="544"/>
      <c r="K821" s="544"/>
      <c r="L821" s="544"/>
      <c r="M821" s="544"/>
      <c r="N821" s="544"/>
      <c r="O821" s="544"/>
    </row>
    <row r="822" spans="3:15" ht="25.15" customHeight="1">
      <c r="C822" s="538" t="s">
        <v>253</v>
      </c>
      <c r="D822" s="539"/>
      <c r="E822" s="289">
        <f>'BD Team'!B83</f>
        <v>0</v>
      </c>
      <c r="F822" s="288" t="s">
        <v>254</v>
      </c>
      <c r="G822" s="543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8" t="s">
        <v>127</v>
      </c>
      <c r="M823" s="539"/>
      <c r="N823" s="550">
        <f>'BD Team'!G83</f>
        <v>0</v>
      </c>
      <c r="O823" s="542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8" t="s">
        <v>246</v>
      </c>
      <c r="M824" s="539"/>
      <c r="N824" s="540" t="str">
        <f>$F$6</f>
        <v>Powder Coating Black Matt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8" t="s">
        <v>177</v>
      </c>
      <c r="M825" s="539"/>
      <c r="N825" s="540" t="str">
        <f>$K$6</f>
        <v>Black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8" t="s">
        <v>247</v>
      </c>
      <c r="M826" s="539"/>
      <c r="N826" s="542" t="s">
        <v>255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8" t="s">
        <v>248</v>
      </c>
      <c r="M827" s="539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8" t="s">
        <v>249</v>
      </c>
      <c r="M828" s="539"/>
      <c r="N828" s="543">
        <f>'BD Team'!J83</f>
        <v>0</v>
      </c>
      <c r="O828" s="543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8" t="s">
        <v>250</v>
      </c>
      <c r="M829" s="539"/>
      <c r="N829" s="543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8" t="s">
        <v>251</v>
      </c>
      <c r="M830" s="539"/>
      <c r="N830" s="543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8" t="s">
        <v>252</v>
      </c>
      <c r="M831" s="539"/>
      <c r="N831" s="543">
        <f>'BD Team'!F83</f>
        <v>0</v>
      </c>
      <c r="O831" s="540"/>
    </row>
    <row r="832" spans="3:15">
      <c r="C832" s="544"/>
      <c r="D832" s="544"/>
      <c r="E832" s="544"/>
      <c r="F832" s="544"/>
      <c r="G832" s="544"/>
      <c r="H832" s="544"/>
      <c r="I832" s="544"/>
      <c r="J832" s="544"/>
      <c r="K832" s="544"/>
      <c r="L832" s="544"/>
      <c r="M832" s="544"/>
      <c r="N832" s="544"/>
      <c r="O832" s="544"/>
    </row>
    <row r="833" spans="3:15" ht="25.15" customHeight="1">
      <c r="C833" s="538" t="s">
        <v>253</v>
      </c>
      <c r="D833" s="539"/>
      <c r="E833" s="289">
        <f>'BD Team'!B84</f>
        <v>0</v>
      </c>
      <c r="F833" s="288" t="s">
        <v>254</v>
      </c>
      <c r="G833" s="543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8" t="s">
        <v>127</v>
      </c>
      <c r="M834" s="539"/>
      <c r="N834" s="550">
        <f>'BD Team'!G84</f>
        <v>0</v>
      </c>
      <c r="O834" s="542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8" t="s">
        <v>246</v>
      </c>
      <c r="M835" s="539"/>
      <c r="N835" s="540" t="str">
        <f>$F$6</f>
        <v>Powder Coating Black Matt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8" t="s">
        <v>177</v>
      </c>
      <c r="M836" s="539"/>
      <c r="N836" s="540" t="str">
        <f>$K$6</f>
        <v>Black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8" t="s">
        <v>247</v>
      </c>
      <c r="M837" s="539"/>
      <c r="N837" s="542" t="s">
        <v>255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8" t="s">
        <v>248</v>
      </c>
      <c r="M838" s="539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8" t="s">
        <v>249</v>
      </c>
      <c r="M839" s="539"/>
      <c r="N839" s="543">
        <f>'BD Team'!J84</f>
        <v>0</v>
      </c>
      <c r="O839" s="543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8" t="s">
        <v>250</v>
      </c>
      <c r="M840" s="539"/>
      <c r="N840" s="543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8" t="s">
        <v>251</v>
      </c>
      <c r="M841" s="539"/>
      <c r="N841" s="543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8" t="s">
        <v>252</v>
      </c>
      <c r="M842" s="539"/>
      <c r="N842" s="543">
        <f>'BD Team'!F84</f>
        <v>0</v>
      </c>
      <c r="O842" s="540"/>
    </row>
    <row r="843" spans="3:15">
      <c r="C843" s="544"/>
      <c r="D843" s="544"/>
      <c r="E843" s="544"/>
      <c r="F843" s="544"/>
      <c r="G843" s="544"/>
      <c r="H843" s="544"/>
      <c r="I843" s="544"/>
      <c r="J843" s="544"/>
      <c r="K843" s="544"/>
      <c r="L843" s="544"/>
      <c r="M843" s="544"/>
      <c r="N843" s="544"/>
      <c r="O843" s="544"/>
    </row>
    <row r="844" spans="3:15" ht="25.15" customHeight="1">
      <c r="C844" s="538" t="s">
        <v>253</v>
      </c>
      <c r="D844" s="539"/>
      <c r="E844" s="289">
        <f>'BD Team'!B85</f>
        <v>0</v>
      </c>
      <c r="F844" s="288" t="s">
        <v>254</v>
      </c>
      <c r="G844" s="543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8" t="s">
        <v>127</v>
      </c>
      <c r="M845" s="539"/>
      <c r="N845" s="550">
        <f>'BD Team'!G85</f>
        <v>0</v>
      </c>
      <c r="O845" s="542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8" t="s">
        <v>246</v>
      </c>
      <c r="M846" s="539"/>
      <c r="N846" s="540" t="str">
        <f>$F$6</f>
        <v>Powder Coating Black Matt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8" t="s">
        <v>177</v>
      </c>
      <c r="M847" s="539"/>
      <c r="N847" s="540" t="str">
        <f>$K$6</f>
        <v>Black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8" t="s">
        <v>247</v>
      </c>
      <c r="M848" s="539"/>
      <c r="N848" s="542" t="s">
        <v>255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8" t="s">
        <v>248</v>
      </c>
      <c r="M849" s="539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8" t="s">
        <v>249</v>
      </c>
      <c r="M850" s="539"/>
      <c r="N850" s="543">
        <f>'BD Team'!J85</f>
        <v>0</v>
      </c>
      <c r="O850" s="543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8" t="s">
        <v>250</v>
      </c>
      <c r="M851" s="539"/>
      <c r="N851" s="543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8" t="s">
        <v>251</v>
      </c>
      <c r="M852" s="539"/>
      <c r="N852" s="543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8" t="s">
        <v>252</v>
      </c>
      <c r="M853" s="539"/>
      <c r="N853" s="543">
        <f>'BD Team'!F85</f>
        <v>0</v>
      </c>
      <c r="O853" s="540"/>
    </row>
    <row r="854" spans="3:15">
      <c r="C854" s="544"/>
      <c r="D854" s="544"/>
      <c r="E854" s="544"/>
      <c r="F854" s="544"/>
      <c r="G854" s="544"/>
      <c r="H854" s="544"/>
      <c r="I854" s="544"/>
      <c r="J854" s="544"/>
      <c r="K854" s="544"/>
      <c r="L854" s="544"/>
      <c r="M854" s="544"/>
      <c r="N854" s="544"/>
      <c r="O854" s="544"/>
    </row>
    <row r="855" spans="3:15" ht="25.15" customHeight="1">
      <c r="C855" s="538" t="s">
        <v>253</v>
      </c>
      <c r="D855" s="539"/>
      <c r="E855" s="289">
        <f>'BD Team'!B86</f>
        <v>0</v>
      </c>
      <c r="F855" s="288" t="s">
        <v>254</v>
      </c>
      <c r="G855" s="543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8" t="s">
        <v>127</v>
      </c>
      <c r="M856" s="539"/>
      <c r="N856" s="550">
        <f>'BD Team'!G86</f>
        <v>0</v>
      </c>
      <c r="O856" s="542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8" t="s">
        <v>246</v>
      </c>
      <c r="M857" s="539"/>
      <c r="N857" s="540" t="str">
        <f>$F$6</f>
        <v>Powder Coating Black Matt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8" t="s">
        <v>177</v>
      </c>
      <c r="M858" s="539"/>
      <c r="N858" s="540" t="str">
        <f>$K$6</f>
        <v>Black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8" t="s">
        <v>247</v>
      </c>
      <c r="M859" s="539"/>
      <c r="N859" s="542" t="s">
        <v>255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8" t="s">
        <v>248</v>
      </c>
      <c r="M860" s="539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8" t="s">
        <v>249</v>
      </c>
      <c r="M861" s="539"/>
      <c r="N861" s="543">
        <f>'BD Team'!J86</f>
        <v>0</v>
      </c>
      <c r="O861" s="543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8" t="s">
        <v>250</v>
      </c>
      <c r="M862" s="539"/>
      <c r="N862" s="543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8" t="s">
        <v>251</v>
      </c>
      <c r="M863" s="539"/>
      <c r="N863" s="543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8" t="s">
        <v>252</v>
      </c>
      <c r="M864" s="539"/>
      <c r="N864" s="543">
        <f>'BD Team'!F86</f>
        <v>0</v>
      </c>
      <c r="O864" s="540"/>
    </row>
    <row r="865" spans="3:15">
      <c r="C865" s="544"/>
      <c r="D865" s="544"/>
      <c r="E865" s="544"/>
      <c r="F865" s="544"/>
      <c r="G865" s="544"/>
      <c r="H865" s="544"/>
      <c r="I865" s="544"/>
      <c r="J865" s="544"/>
      <c r="K865" s="544"/>
      <c r="L865" s="544"/>
      <c r="M865" s="544"/>
      <c r="N865" s="544"/>
      <c r="O865" s="544"/>
    </row>
    <row r="866" spans="3:15" ht="25.15" customHeight="1">
      <c r="C866" s="538" t="s">
        <v>253</v>
      </c>
      <c r="D866" s="539"/>
      <c r="E866" s="289">
        <f>'BD Team'!B87</f>
        <v>0</v>
      </c>
      <c r="F866" s="288" t="s">
        <v>254</v>
      </c>
      <c r="G866" s="543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8" t="s">
        <v>127</v>
      </c>
      <c r="M867" s="539"/>
      <c r="N867" s="550">
        <f>'BD Team'!G87</f>
        <v>0</v>
      </c>
      <c r="O867" s="542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8" t="s">
        <v>246</v>
      </c>
      <c r="M868" s="539"/>
      <c r="N868" s="540" t="str">
        <f>$F$6</f>
        <v>Powder Coating Black Matt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8" t="s">
        <v>177</v>
      </c>
      <c r="M869" s="539"/>
      <c r="N869" s="540" t="str">
        <f>$K$6</f>
        <v>Black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8" t="s">
        <v>247</v>
      </c>
      <c r="M870" s="539"/>
      <c r="N870" s="542" t="s">
        <v>255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8" t="s">
        <v>248</v>
      </c>
      <c r="M871" s="539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8" t="s">
        <v>249</v>
      </c>
      <c r="M872" s="539"/>
      <c r="N872" s="543">
        <f>'BD Team'!J87</f>
        <v>0</v>
      </c>
      <c r="O872" s="543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8" t="s">
        <v>250</v>
      </c>
      <c r="M873" s="539"/>
      <c r="N873" s="543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8" t="s">
        <v>251</v>
      </c>
      <c r="M874" s="539"/>
      <c r="N874" s="543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8" t="s">
        <v>252</v>
      </c>
      <c r="M875" s="539"/>
      <c r="N875" s="543">
        <f>'BD Team'!F87</f>
        <v>0</v>
      </c>
      <c r="O875" s="540"/>
    </row>
    <row r="876" spans="3:15">
      <c r="C876" s="544"/>
      <c r="D876" s="544"/>
      <c r="E876" s="544"/>
      <c r="F876" s="544"/>
      <c r="G876" s="544"/>
      <c r="H876" s="544"/>
      <c r="I876" s="544"/>
      <c r="J876" s="544"/>
      <c r="K876" s="544"/>
      <c r="L876" s="544"/>
      <c r="M876" s="544"/>
      <c r="N876" s="544"/>
      <c r="O876" s="544"/>
    </row>
    <row r="877" spans="3:15" ht="25.15" customHeight="1">
      <c r="C877" s="538" t="s">
        <v>253</v>
      </c>
      <c r="D877" s="539"/>
      <c r="E877" s="289">
        <f>'BD Team'!B88</f>
        <v>0</v>
      </c>
      <c r="F877" s="288" t="s">
        <v>254</v>
      </c>
      <c r="G877" s="543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8" t="s">
        <v>127</v>
      </c>
      <c r="M878" s="539"/>
      <c r="N878" s="550">
        <f>'BD Team'!G88</f>
        <v>0</v>
      </c>
      <c r="O878" s="542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8" t="s">
        <v>246</v>
      </c>
      <c r="M879" s="539"/>
      <c r="N879" s="540" t="str">
        <f>$F$6</f>
        <v>Powder Coating Black Matt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8" t="s">
        <v>177</v>
      </c>
      <c r="M880" s="539"/>
      <c r="N880" s="540" t="str">
        <f>$K$6</f>
        <v>Black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8" t="s">
        <v>247</v>
      </c>
      <c r="M881" s="539"/>
      <c r="N881" s="542" t="s">
        <v>255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8" t="s">
        <v>248</v>
      </c>
      <c r="M882" s="539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8" t="s">
        <v>249</v>
      </c>
      <c r="M883" s="539"/>
      <c r="N883" s="543">
        <f>'BD Team'!J88</f>
        <v>0</v>
      </c>
      <c r="O883" s="543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8" t="s">
        <v>250</v>
      </c>
      <c r="M884" s="539"/>
      <c r="N884" s="543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8" t="s">
        <v>251</v>
      </c>
      <c r="M885" s="539"/>
      <c r="N885" s="543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8" t="s">
        <v>252</v>
      </c>
      <c r="M886" s="539"/>
      <c r="N886" s="543">
        <f>'BD Team'!F88</f>
        <v>0</v>
      </c>
      <c r="O886" s="540"/>
    </row>
    <row r="887" spans="3:15">
      <c r="C887" s="544"/>
      <c r="D887" s="544"/>
      <c r="E887" s="544"/>
      <c r="F887" s="544"/>
      <c r="G887" s="544"/>
      <c r="H887" s="544"/>
      <c r="I887" s="544"/>
      <c r="J887" s="544"/>
      <c r="K887" s="544"/>
      <c r="L887" s="544"/>
      <c r="M887" s="544"/>
      <c r="N887" s="544"/>
      <c r="O887" s="544"/>
    </row>
    <row r="888" spans="3:15" ht="25.15" customHeight="1">
      <c r="C888" s="538" t="s">
        <v>253</v>
      </c>
      <c r="D888" s="539"/>
      <c r="E888" s="289">
        <f>'BD Team'!B89</f>
        <v>0</v>
      </c>
      <c r="F888" s="288" t="s">
        <v>254</v>
      </c>
      <c r="G888" s="543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8" t="s">
        <v>127</v>
      </c>
      <c r="M889" s="539"/>
      <c r="N889" s="550">
        <f>'BD Team'!G89</f>
        <v>0</v>
      </c>
      <c r="O889" s="542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8" t="s">
        <v>246</v>
      </c>
      <c r="M890" s="539"/>
      <c r="N890" s="540" t="str">
        <f>$F$6</f>
        <v>Powder Coating Black Matt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8" t="s">
        <v>177</v>
      </c>
      <c r="M891" s="539"/>
      <c r="N891" s="540" t="str">
        <f>$K$6</f>
        <v>Black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8" t="s">
        <v>247</v>
      </c>
      <c r="M892" s="539"/>
      <c r="N892" s="542" t="s">
        <v>255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8" t="s">
        <v>248</v>
      </c>
      <c r="M893" s="539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8" t="s">
        <v>249</v>
      </c>
      <c r="M894" s="539"/>
      <c r="N894" s="543">
        <f>'BD Team'!J89</f>
        <v>0</v>
      </c>
      <c r="O894" s="543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8" t="s">
        <v>250</v>
      </c>
      <c r="M895" s="539"/>
      <c r="N895" s="543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8" t="s">
        <v>251</v>
      </c>
      <c r="M896" s="539"/>
      <c r="N896" s="543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8" t="s">
        <v>252</v>
      </c>
      <c r="M897" s="539"/>
      <c r="N897" s="543">
        <f>'BD Team'!F89</f>
        <v>0</v>
      </c>
      <c r="O897" s="540"/>
    </row>
    <row r="898" spans="3:15">
      <c r="C898" s="544"/>
      <c r="D898" s="544"/>
      <c r="E898" s="544"/>
      <c r="F898" s="544"/>
      <c r="G898" s="544"/>
      <c r="H898" s="544"/>
      <c r="I898" s="544"/>
      <c r="J898" s="544"/>
      <c r="K898" s="544"/>
      <c r="L898" s="544"/>
      <c r="M898" s="544"/>
      <c r="N898" s="544"/>
      <c r="O898" s="544"/>
    </row>
    <row r="899" spans="3:15" ht="25.15" customHeight="1">
      <c r="C899" s="538" t="s">
        <v>253</v>
      </c>
      <c r="D899" s="539"/>
      <c r="E899" s="289">
        <f>'BD Team'!B90</f>
        <v>0</v>
      </c>
      <c r="F899" s="288" t="s">
        <v>254</v>
      </c>
      <c r="G899" s="543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8" t="s">
        <v>127</v>
      </c>
      <c r="M900" s="539"/>
      <c r="N900" s="550">
        <f>'BD Team'!G90</f>
        <v>0</v>
      </c>
      <c r="O900" s="542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8" t="s">
        <v>246</v>
      </c>
      <c r="M901" s="539"/>
      <c r="N901" s="540" t="str">
        <f>$F$6</f>
        <v>Powder Coating Black Matt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8" t="s">
        <v>177</v>
      </c>
      <c r="M902" s="539"/>
      <c r="N902" s="540" t="str">
        <f>$K$6</f>
        <v>Black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8" t="s">
        <v>247</v>
      </c>
      <c r="M903" s="539"/>
      <c r="N903" s="542" t="s">
        <v>255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8" t="s">
        <v>248</v>
      </c>
      <c r="M904" s="539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8" t="s">
        <v>249</v>
      </c>
      <c r="M905" s="539"/>
      <c r="N905" s="543">
        <f>'BD Team'!J90</f>
        <v>0</v>
      </c>
      <c r="O905" s="543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8" t="s">
        <v>250</v>
      </c>
      <c r="M906" s="539"/>
      <c r="N906" s="543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8" t="s">
        <v>251</v>
      </c>
      <c r="M907" s="539"/>
      <c r="N907" s="543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8" t="s">
        <v>252</v>
      </c>
      <c r="M908" s="539"/>
      <c r="N908" s="543">
        <f>'BD Team'!F90</f>
        <v>0</v>
      </c>
      <c r="O908" s="540"/>
    </row>
    <row r="909" spans="3:15">
      <c r="C909" s="544"/>
      <c r="D909" s="544"/>
      <c r="E909" s="544"/>
      <c r="F909" s="544"/>
      <c r="G909" s="544"/>
      <c r="H909" s="544"/>
      <c r="I909" s="544"/>
      <c r="J909" s="544"/>
      <c r="K909" s="544"/>
      <c r="L909" s="544"/>
      <c r="M909" s="544"/>
      <c r="N909" s="544"/>
      <c r="O909" s="544"/>
    </row>
    <row r="910" spans="3:15" ht="25.15" customHeight="1">
      <c r="C910" s="538" t="s">
        <v>253</v>
      </c>
      <c r="D910" s="539"/>
      <c r="E910" s="289">
        <f>'BD Team'!B91</f>
        <v>0</v>
      </c>
      <c r="F910" s="288" t="s">
        <v>254</v>
      </c>
      <c r="G910" s="543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8" t="s">
        <v>127</v>
      </c>
      <c r="M911" s="539"/>
      <c r="N911" s="550">
        <f>'BD Team'!G91</f>
        <v>0</v>
      </c>
      <c r="O911" s="542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8" t="s">
        <v>246</v>
      </c>
      <c r="M912" s="539"/>
      <c r="N912" s="540" t="str">
        <f>$F$6</f>
        <v>Powder Coating Black Matt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8" t="s">
        <v>177</v>
      </c>
      <c r="M913" s="539"/>
      <c r="N913" s="540" t="str">
        <f>$K$6</f>
        <v>Black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8" t="s">
        <v>247</v>
      </c>
      <c r="M914" s="539"/>
      <c r="N914" s="542" t="s">
        <v>255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8" t="s">
        <v>248</v>
      </c>
      <c r="M915" s="539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8" t="s">
        <v>249</v>
      </c>
      <c r="M916" s="539"/>
      <c r="N916" s="543">
        <f>'BD Team'!J91</f>
        <v>0</v>
      </c>
      <c r="O916" s="543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8" t="s">
        <v>250</v>
      </c>
      <c r="M917" s="539"/>
      <c r="N917" s="543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8" t="s">
        <v>251</v>
      </c>
      <c r="M918" s="539"/>
      <c r="N918" s="543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8" t="s">
        <v>252</v>
      </c>
      <c r="M919" s="539"/>
      <c r="N919" s="543">
        <f>'BD Team'!F91</f>
        <v>0</v>
      </c>
      <c r="O919" s="540"/>
    </row>
    <row r="920" spans="3:15">
      <c r="C920" s="544"/>
      <c r="D920" s="544"/>
      <c r="E920" s="544"/>
      <c r="F920" s="544"/>
      <c r="G920" s="544"/>
      <c r="H920" s="544"/>
      <c r="I920" s="544"/>
      <c r="J920" s="544"/>
      <c r="K920" s="544"/>
      <c r="L920" s="544"/>
      <c r="M920" s="544"/>
      <c r="N920" s="544"/>
      <c r="O920" s="544"/>
    </row>
    <row r="921" spans="3:15" ht="25.15" customHeight="1">
      <c r="C921" s="538" t="s">
        <v>253</v>
      </c>
      <c r="D921" s="539"/>
      <c r="E921" s="289">
        <f>'BD Team'!B92</f>
        <v>0</v>
      </c>
      <c r="F921" s="288" t="s">
        <v>254</v>
      </c>
      <c r="G921" s="543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8" t="s">
        <v>127</v>
      </c>
      <c r="M922" s="539"/>
      <c r="N922" s="550">
        <f>'BD Team'!G92</f>
        <v>0</v>
      </c>
      <c r="O922" s="542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8" t="s">
        <v>246</v>
      </c>
      <c r="M923" s="539"/>
      <c r="N923" s="540" t="str">
        <f>$F$6</f>
        <v>Powder Coating Black Matt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8" t="s">
        <v>177</v>
      </c>
      <c r="M924" s="539"/>
      <c r="N924" s="540" t="str">
        <f>$K$6</f>
        <v>Black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8" t="s">
        <v>247</v>
      </c>
      <c r="M925" s="539"/>
      <c r="N925" s="542" t="s">
        <v>255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8" t="s">
        <v>248</v>
      </c>
      <c r="M926" s="539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8" t="s">
        <v>249</v>
      </c>
      <c r="M927" s="539"/>
      <c r="N927" s="543">
        <f>'BD Team'!J92</f>
        <v>0</v>
      </c>
      <c r="O927" s="543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8" t="s">
        <v>250</v>
      </c>
      <c r="M928" s="539"/>
      <c r="N928" s="543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8" t="s">
        <v>251</v>
      </c>
      <c r="M929" s="539"/>
      <c r="N929" s="543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8" t="s">
        <v>252</v>
      </c>
      <c r="M930" s="539"/>
      <c r="N930" s="543">
        <f>'BD Team'!F92</f>
        <v>0</v>
      </c>
      <c r="O930" s="540"/>
    </row>
    <row r="931" spans="3:15">
      <c r="C931" s="544"/>
      <c r="D931" s="544"/>
      <c r="E931" s="544"/>
      <c r="F931" s="544"/>
      <c r="G931" s="544"/>
      <c r="H931" s="544"/>
      <c r="I931" s="544"/>
      <c r="J931" s="544"/>
      <c r="K931" s="544"/>
      <c r="L931" s="544"/>
      <c r="M931" s="544"/>
      <c r="N931" s="544"/>
      <c r="O931" s="544"/>
    </row>
    <row r="932" spans="3:15" ht="25.15" customHeight="1">
      <c r="C932" s="538" t="s">
        <v>253</v>
      </c>
      <c r="D932" s="539"/>
      <c r="E932" s="289">
        <f>'BD Team'!B93</f>
        <v>0</v>
      </c>
      <c r="F932" s="288" t="s">
        <v>254</v>
      </c>
      <c r="G932" s="543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8" t="s">
        <v>127</v>
      </c>
      <c r="M933" s="539"/>
      <c r="N933" s="550">
        <f>'BD Team'!G93</f>
        <v>0</v>
      </c>
      <c r="O933" s="542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8" t="s">
        <v>246</v>
      </c>
      <c r="M934" s="539"/>
      <c r="N934" s="540" t="str">
        <f>$F$6</f>
        <v>Powder Coating Black Matt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8" t="s">
        <v>177</v>
      </c>
      <c r="M935" s="539"/>
      <c r="N935" s="540" t="str">
        <f>$K$6</f>
        <v>Black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8" t="s">
        <v>247</v>
      </c>
      <c r="M936" s="539"/>
      <c r="N936" s="542" t="s">
        <v>255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8" t="s">
        <v>248</v>
      </c>
      <c r="M937" s="539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8" t="s">
        <v>249</v>
      </c>
      <c r="M938" s="539"/>
      <c r="N938" s="543">
        <f>'BD Team'!J93</f>
        <v>0</v>
      </c>
      <c r="O938" s="543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8" t="s">
        <v>250</v>
      </c>
      <c r="M939" s="539"/>
      <c r="N939" s="543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8" t="s">
        <v>251</v>
      </c>
      <c r="M940" s="539"/>
      <c r="N940" s="543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8" t="s">
        <v>252</v>
      </c>
      <c r="M941" s="539"/>
      <c r="N941" s="543">
        <f>'BD Team'!F93</f>
        <v>0</v>
      </c>
      <c r="O941" s="540"/>
    </row>
    <row r="942" spans="3:15">
      <c r="C942" s="544"/>
      <c r="D942" s="544"/>
      <c r="E942" s="544"/>
      <c r="F942" s="544"/>
      <c r="G942" s="544"/>
      <c r="H942" s="544"/>
      <c r="I942" s="544"/>
      <c r="J942" s="544"/>
      <c r="K942" s="544"/>
      <c r="L942" s="544"/>
      <c r="M942" s="544"/>
      <c r="N942" s="544"/>
      <c r="O942" s="544"/>
    </row>
    <row r="943" spans="3:15" ht="25.15" customHeight="1">
      <c r="C943" s="538" t="s">
        <v>253</v>
      </c>
      <c r="D943" s="539"/>
      <c r="E943" s="289">
        <f>'BD Team'!B94</f>
        <v>0</v>
      </c>
      <c r="F943" s="288" t="s">
        <v>254</v>
      </c>
      <c r="G943" s="543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8" t="s">
        <v>127</v>
      </c>
      <c r="M944" s="539"/>
      <c r="N944" s="550">
        <f>'BD Team'!G94</f>
        <v>0</v>
      </c>
      <c r="O944" s="542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8" t="s">
        <v>246</v>
      </c>
      <c r="M945" s="539"/>
      <c r="N945" s="540" t="str">
        <f>$F$6</f>
        <v>Powder Coating Black Matt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8" t="s">
        <v>177</v>
      </c>
      <c r="M946" s="539"/>
      <c r="N946" s="540" t="str">
        <f>$K$6</f>
        <v>Black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8" t="s">
        <v>247</v>
      </c>
      <c r="M947" s="539"/>
      <c r="N947" s="542" t="s">
        <v>255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8" t="s">
        <v>248</v>
      </c>
      <c r="M948" s="539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8" t="s">
        <v>249</v>
      </c>
      <c r="M949" s="539"/>
      <c r="N949" s="543">
        <f>'BD Team'!J94</f>
        <v>0</v>
      </c>
      <c r="O949" s="543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8" t="s">
        <v>250</v>
      </c>
      <c r="M950" s="539"/>
      <c r="N950" s="543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8" t="s">
        <v>251</v>
      </c>
      <c r="M951" s="539"/>
      <c r="N951" s="543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8" t="s">
        <v>252</v>
      </c>
      <c r="M952" s="539"/>
      <c r="N952" s="543">
        <f>'BD Team'!F94</f>
        <v>0</v>
      </c>
      <c r="O952" s="540"/>
    </row>
    <row r="953" spans="3:15">
      <c r="C953" s="544"/>
      <c r="D953" s="544"/>
      <c r="E953" s="544"/>
      <c r="F953" s="544"/>
      <c r="G953" s="544"/>
      <c r="H953" s="544"/>
      <c r="I953" s="544"/>
      <c r="J953" s="544"/>
      <c r="K953" s="544"/>
      <c r="L953" s="544"/>
      <c r="M953" s="544"/>
      <c r="N953" s="544"/>
      <c r="O953" s="544"/>
    </row>
    <row r="954" spans="3:15" ht="25.15" customHeight="1">
      <c r="C954" s="538" t="s">
        <v>253</v>
      </c>
      <c r="D954" s="539"/>
      <c r="E954" s="289">
        <f>'BD Team'!B95</f>
        <v>0</v>
      </c>
      <c r="F954" s="288" t="s">
        <v>254</v>
      </c>
      <c r="G954" s="543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8" t="s">
        <v>127</v>
      </c>
      <c r="M955" s="539"/>
      <c r="N955" s="550">
        <f>'BD Team'!G95</f>
        <v>0</v>
      </c>
      <c r="O955" s="542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8" t="s">
        <v>246</v>
      </c>
      <c r="M956" s="539"/>
      <c r="N956" s="540" t="str">
        <f>$F$6</f>
        <v>Powder Coating Black Matt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8" t="s">
        <v>177</v>
      </c>
      <c r="M957" s="539"/>
      <c r="N957" s="540" t="str">
        <f>$K$6</f>
        <v>Black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8" t="s">
        <v>247</v>
      </c>
      <c r="M958" s="539"/>
      <c r="N958" s="542" t="s">
        <v>255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8" t="s">
        <v>248</v>
      </c>
      <c r="M959" s="539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8" t="s">
        <v>249</v>
      </c>
      <c r="M960" s="539"/>
      <c r="N960" s="543">
        <f>'BD Team'!J95</f>
        <v>0</v>
      </c>
      <c r="O960" s="543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8" t="s">
        <v>250</v>
      </c>
      <c r="M961" s="539"/>
      <c r="N961" s="543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8" t="s">
        <v>251</v>
      </c>
      <c r="M962" s="539"/>
      <c r="N962" s="543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8" t="s">
        <v>252</v>
      </c>
      <c r="M963" s="539"/>
      <c r="N963" s="543">
        <f>'BD Team'!F95</f>
        <v>0</v>
      </c>
      <c r="O963" s="540"/>
    </row>
    <row r="964" spans="3:15">
      <c r="C964" s="544"/>
      <c r="D964" s="544"/>
      <c r="E964" s="544"/>
      <c r="F964" s="544"/>
      <c r="G964" s="544"/>
      <c r="H964" s="544"/>
      <c r="I964" s="544"/>
      <c r="J964" s="544"/>
      <c r="K964" s="544"/>
      <c r="L964" s="544"/>
      <c r="M964" s="544"/>
      <c r="N964" s="544"/>
      <c r="O964" s="544"/>
    </row>
    <row r="965" spans="3:15" ht="25.15" customHeight="1">
      <c r="C965" s="538" t="s">
        <v>253</v>
      </c>
      <c r="D965" s="539"/>
      <c r="E965" s="289">
        <f>'BD Team'!B96</f>
        <v>0</v>
      </c>
      <c r="F965" s="288" t="s">
        <v>254</v>
      </c>
      <c r="G965" s="543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8" t="s">
        <v>127</v>
      </c>
      <c r="M966" s="539"/>
      <c r="N966" s="550">
        <f>'BD Team'!G96</f>
        <v>0</v>
      </c>
      <c r="O966" s="542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8" t="s">
        <v>246</v>
      </c>
      <c r="M967" s="539"/>
      <c r="N967" s="540" t="str">
        <f>$F$6</f>
        <v>Powder Coating Black Matt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8" t="s">
        <v>177</v>
      </c>
      <c r="M968" s="539"/>
      <c r="N968" s="540" t="str">
        <f>$K$6</f>
        <v>Black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8" t="s">
        <v>247</v>
      </c>
      <c r="M969" s="539"/>
      <c r="N969" s="542" t="s">
        <v>255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8" t="s">
        <v>248</v>
      </c>
      <c r="M970" s="539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8" t="s">
        <v>249</v>
      </c>
      <c r="M971" s="539"/>
      <c r="N971" s="543">
        <f>'BD Team'!J96</f>
        <v>0</v>
      </c>
      <c r="O971" s="543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8" t="s">
        <v>250</v>
      </c>
      <c r="M972" s="539"/>
      <c r="N972" s="543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8" t="s">
        <v>251</v>
      </c>
      <c r="M973" s="539"/>
      <c r="N973" s="543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8" t="s">
        <v>252</v>
      </c>
      <c r="M974" s="539"/>
      <c r="N974" s="543">
        <f>'BD Team'!F96</f>
        <v>0</v>
      </c>
      <c r="O974" s="540"/>
    </row>
    <row r="975" spans="3:15">
      <c r="C975" s="544"/>
      <c r="D975" s="544"/>
      <c r="E975" s="544"/>
      <c r="F975" s="544"/>
      <c r="G975" s="544"/>
      <c r="H975" s="544"/>
      <c r="I975" s="544"/>
      <c r="J975" s="544"/>
      <c r="K975" s="544"/>
      <c r="L975" s="544"/>
      <c r="M975" s="544"/>
      <c r="N975" s="544"/>
      <c r="O975" s="544"/>
    </row>
    <row r="976" spans="3:15" ht="25.15" customHeight="1">
      <c r="C976" s="538" t="s">
        <v>253</v>
      </c>
      <c r="D976" s="539"/>
      <c r="E976" s="289">
        <f>'BD Team'!B97</f>
        <v>0</v>
      </c>
      <c r="F976" s="288" t="s">
        <v>254</v>
      </c>
      <c r="G976" s="543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8" t="s">
        <v>127</v>
      </c>
      <c r="M977" s="539"/>
      <c r="N977" s="550">
        <f>'BD Team'!G97</f>
        <v>0</v>
      </c>
      <c r="O977" s="542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8" t="s">
        <v>246</v>
      </c>
      <c r="M978" s="539"/>
      <c r="N978" s="540" t="str">
        <f>$F$6</f>
        <v>Powder Coating Black Matt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8" t="s">
        <v>177</v>
      </c>
      <c r="M979" s="539"/>
      <c r="N979" s="540" t="str">
        <f>$K$6</f>
        <v>Black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8" t="s">
        <v>247</v>
      </c>
      <c r="M980" s="539"/>
      <c r="N980" s="542" t="s">
        <v>255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8" t="s">
        <v>248</v>
      </c>
      <c r="M981" s="539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8" t="s">
        <v>249</v>
      </c>
      <c r="M982" s="539"/>
      <c r="N982" s="543">
        <f>'BD Team'!J97</f>
        <v>0</v>
      </c>
      <c r="O982" s="543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8" t="s">
        <v>250</v>
      </c>
      <c r="M983" s="539"/>
      <c r="N983" s="543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8" t="s">
        <v>251</v>
      </c>
      <c r="M984" s="539"/>
      <c r="N984" s="543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8" t="s">
        <v>252</v>
      </c>
      <c r="M985" s="539"/>
      <c r="N985" s="543">
        <f>'BD Team'!F97</f>
        <v>0</v>
      </c>
      <c r="O985" s="540"/>
    </row>
    <row r="986" spans="3:15">
      <c r="C986" s="544"/>
      <c r="D986" s="544"/>
      <c r="E986" s="544"/>
      <c r="F986" s="544"/>
      <c r="G986" s="544"/>
      <c r="H986" s="544"/>
      <c r="I986" s="544"/>
      <c r="J986" s="544"/>
      <c r="K986" s="544"/>
      <c r="L986" s="544"/>
      <c r="M986" s="544"/>
      <c r="N986" s="544"/>
      <c r="O986" s="544"/>
    </row>
    <row r="987" spans="3:15" ht="25.15" customHeight="1">
      <c r="C987" s="538" t="s">
        <v>253</v>
      </c>
      <c r="D987" s="539"/>
      <c r="E987" s="289">
        <f>'BD Team'!B98</f>
        <v>0</v>
      </c>
      <c r="F987" s="288" t="s">
        <v>254</v>
      </c>
      <c r="G987" s="543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8" t="s">
        <v>127</v>
      </c>
      <c r="M988" s="539"/>
      <c r="N988" s="550">
        <f>'BD Team'!G98</f>
        <v>0</v>
      </c>
      <c r="O988" s="542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8" t="s">
        <v>246</v>
      </c>
      <c r="M989" s="539"/>
      <c r="N989" s="540" t="str">
        <f>$F$6</f>
        <v>Powder Coating Black Matt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8" t="s">
        <v>177</v>
      </c>
      <c r="M990" s="539"/>
      <c r="N990" s="540" t="str">
        <f>$K$6</f>
        <v>Black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8" t="s">
        <v>247</v>
      </c>
      <c r="M991" s="539"/>
      <c r="N991" s="542" t="s">
        <v>255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8" t="s">
        <v>248</v>
      </c>
      <c r="M992" s="539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8" t="s">
        <v>249</v>
      </c>
      <c r="M993" s="539"/>
      <c r="N993" s="543">
        <f>'BD Team'!J98</f>
        <v>0</v>
      </c>
      <c r="O993" s="543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8" t="s">
        <v>250</v>
      </c>
      <c r="M994" s="539"/>
      <c r="N994" s="543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8" t="s">
        <v>251</v>
      </c>
      <c r="M995" s="539"/>
      <c r="N995" s="543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8" t="s">
        <v>252</v>
      </c>
      <c r="M996" s="539"/>
      <c r="N996" s="543">
        <f>'BD Team'!F98</f>
        <v>0</v>
      </c>
      <c r="O996" s="540"/>
    </row>
    <row r="997" spans="3:15">
      <c r="C997" s="544"/>
      <c r="D997" s="544"/>
      <c r="E997" s="544"/>
      <c r="F997" s="544"/>
      <c r="G997" s="544"/>
      <c r="H997" s="544"/>
      <c r="I997" s="544"/>
      <c r="J997" s="544"/>
      <c r="K997" s="544"/>
      <c r="L997" s="544"/>
      <c r="M997" s="544"/>
      <c r="N997" s="544"/>
      <c r="O997" s="544"/>
    </row>
    <row r="998" spans="3:15" ht="25.15" customHeight="1">
      <c r="C998" s="538" t="s">
        <v>253</v>
      </c>
      <c r="D998" s="539"/>
      <c r="E998" s="289">
        <f>'BD Team'!B99</f>
        <v>0</v>
      </c>
      <c r="F998" s="288" t="s">
        <v>254</v>
      </c>
      <c r="G998" s="543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8" t="s">
        <v>127</v>
      </c>
      <c r="M999" s="539"/>
      <c r="N999" s="550">
        <f>'BD Team'!G99</f>
        <v>0</v>
      </c>
      <c r="O999" s="542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8" t="s">
        <v>246</v>
      </c>
      <c r="M1000" s="539"/>
      <c r="N1000" s="540" t="str">
        <f>$F$6</f>
        <v>Powder Coating Black Matt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8" t="s">
        <v>177</v>
      </c>
      <c r="M1001" s="539"/>
      <c r="N1001" s="540" t="str">
        <f>$K$6</f>
        <v>Black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8" t="s">
        <v>247</v>
      </c>
      <c r="M1002" s="539"/>
      <c r="N1002" s="542" t="s">
        <v>255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8" t="s">
        <v>248</v>
      </c>
      <c r="M1003" s="539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8" t="s">
        <v>249</v>
      </c>
      <c r="M1004" s="539"/>
      <c r="N1004" s="543">
        <f>'BD Team'!J99</f>
        <v>0</v>
      </c>
      <c r="O1004" s="543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8" t="s">
        <v>250</v>
      </c>
      <c r="M1005" s="539"/>
      <c r="N1005" s="543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8" t="s">
        <v>251</v>
      </c>
      <c r="M1006" s="539"/>
      <c r="N1006" s="543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8" t="s">
        <v>252</v>
      </c>
      <c r="M1007" s="539"/>
      <c r="N1007" s="543">
        <f>'BD Team'!F99</f>
        <v>0</v>
      </c>
      <c r="O1007" s="540"/>
    </row>
    <row r="1008" spans="3:15">
      <c r="C1008" s="544"/>
      <c r="D1008" s="544"/>
      <c r="E1008" s="544"/>
      <c r="F1008" s="544"/>
      <c r="G1008" s="544"/>
      <c r="H1008" s="544"/>
      <c r="I1008" s="544"/>
      <c r="J1008" s="544"/>
      <c r="K1008" s="544"/>
      <c r="L1008" s="544"/>
      <c r="M1008" s="544"/>
      <c r="N1008" s="544"/>
      <c r="O1008" s="544"/>
    </row>
    <row r="1009" spans="3:15" ht="25.15" customHeight="1">
      <c r="C1009" s="538" t="s">
        <v>253</v>
      </c>
      <c r="D1009" s="539"/>
      <c r="E1009" s="289">
        <f>'BD Team'!B100</f>
        <v>0</v>
      </c>
      <c r="F1009" s="288" t="s">
        <v>254</v>
      </c>
      <c r="G1009" s="543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8" t="s">
        <v>127</v>
      </c>
      <c r="M1010" s="539"/>
      <c r="N1010" s="550">
        <f>'BD Team'!G100</f>
        <v>0</v>
      </c>
      <c r="O1010" s="542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8" t="s">
        <v>246</v>
      </c>
      <c r="M1011" s="539"/>
      <c r="N1011" s="540" t="str">
        <f>$F$6</f>
        <v>Powder Coating Black Matt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8" t="s">
        <v>177</v>
      </c>
      <c r="M1012" s="539"/>
      <c r="N1012" s="540" t="str">
        <f>$K$6</f>
        <v>Black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8" t="s">
        <v>247</v>
      </c>
      <c r="M1013" s="539"/>
      <c r="N1013" s="542" t="s">
        <v>255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8" t="s">
        <v>248</v>
      </c>
      <c r="M1014" s="539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8" t="s">
        <v>249</v>
      </c>
      <c r="M1015" s="539"/>
      <c r="N1015" s="543">
        <f>'BD Team'!J100</f>
        <v>0</v>
      </c>
      <c r="O1015" s="543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8" t="s">
        <v>250</v>
      </c>
      <c r="M1016" s="539"/>
      <c r="N1016" s="543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8" t="s">
        <v>251</v>
      </c>
      <c r="M1017" s="539"/>
      <c r="N1017" s="543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8" t="s">
        <v>252</v>
      </c>
      <c r="M1018" s="539"/>
      <c r="N1018" s="543">
        <f>'BD Team'!F100</f>
        <v>0</v>
      </c>
      <c r="O1018" s="540"/>
    </row>
    <row r="1019" spans="3:15">
      <c r="C1019" s="544"/>
      <c r="D1019" s="544"/>
      <c r="E1019" s="544"/>
      <c r="F1019" s="544"/>
      <c r="G1019" s="544"/>
      <c r="H1019" s="544"/>
      <c r="I1019" s="544"/>
      <c r="J1019" s="544"/>
      <c r="K1019" s="544"/>
      <c r="L1019" s="544"/>
      <c r="M1019" s="544"/>
      <c r="N1019" s="544"/>
      <c r="O1019" s="544"/>
    </row>
    <row r="1020" spans="3:15" ht="25.15" customHeight="1">
      <c r="C1020" s="538" t="s">
        <v>253</v>
      </c>
      <c r="D1020" s="539"/>
      <c r="E1020" s="289">
        <f>'BD Team'!B101</f>
        <v>0</v>
      </c>
      <c r="F1020" s="288" t="s">
        <v>254</v>
      </c>
      <c r="G1020" s="543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8" t="s">
        <v>127</v>
      </c>
      <c r="M1021" s="539"/>
      <c r="N1021" s="550">
        <f>'BD Team'!G101</f>
        <v>0</v>
      </c>
      <c r="O1021" s="542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8" t="s">
        <v>246</v>
      </c>
      <c r="M1022" s="539"/>
      <c r="N1022" s="540" t="str">
        <f>$F$6</f>
        <v>Powder Coating Black Matt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8" t="s">
        <v>177</v>
      </c>
      <c r="M1023" s="539"/>
      <c r="N1023" s="540" t="str">
        <f>$K$6</f>
        <v>Black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8" t="s">
        <v>247</v>
      </c>
      <c r="M1024" s="539"/>
      <c r="N1024" s="542" t="s">
        <v>255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8" t="s">
        <v>248</v>
      </c>
      <c r="M1025" s="539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8" t="s">
        <v>249</v>
      </c>
      <c r="M1026" s="539"/>
      <c r="N1026" s="543">
        <f>'BD Team'!J101</f>
        <v>0</v>
      </c>
      <c r="O1026" s="543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8" t="s">
        <v>250</v>
      </c>
      <c r="M1027" s="539"/>
      <c r="N1027" s="543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8" t="s">
        <v>251</v>
      </c>
      <c r="M1028" s="539"/>
      <c r="N1028" s="543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8" t="s">
        <v>252</v>
      </c>
      <c r="M1029" s="539"/>
      <c r="N1029" s="543">
        <f>'BD Team'!F101</f>
        <v>0</v>
      </c>
      <c r="O1029" s="540"/>
    </row>
    <row r="1030" spans="3:15">
      <c r="C1030" s="544"/>
      <c r="D1030" s="544"/>
      <c r="E1030" s="544"/>
      <c r="F1030" s="544"/>
      <c r="G1030" s="544"/>
      <c r="H1030" s="544"/>
      <c r="I1030" s="544"/>
      <c r="J1030" s="544"/>
      <c r="K1030" s="544"/>
      <c r="L1030" s="544"/>
      <c r="M1030" s="544"/>
      <c r="N1030" s="544"/>
      <c r="O1030" s="544"/>
    </row>
    <row r="1031" spans="3:15" ht="25.15" customHeight="1">
      <c r="C1031" s="538" t="s">
        <v>253</v>
      </c>
      <c r="D1031" s="539"/>
      <c r="E1031" s="289">
        <f>'BD Team'!B102</f>
        <v>0</v>
      </c>
      <c r="F1031" s="288" t="s">
        <v>254</v>
      </c>
      <c r="G1031" s="543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8" t="s">
        <v>127</v>
      </c>
      <c r="M1032" s="539"/>
      <c r="N1032" s="550">
        <f>'BD Team'!G102</f>
        <v>0</v>
      </c>
      <c r="O1032" s="542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8" t="s">
        <v>246</v>
      </c>
      <c r="M1033" s="539"/>
      <c r="N1033" s="540" t="str">
        <f>$F$6</f>
        <v>Powder Coating Black Matt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8" t="s">
        <v>177</v>
      </c>
      <c r="M1034" s="539"/>
      <c r="N1034" s="540" t="str">
        <f>$K$6</f>
        <v>Black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8" t="s">
        <v>247</v>
      </c>
      <c r="M1035" s="539"/>
      <c r="N1035" s="542" t="s">
        <v>255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8" t="s">
        <v>248</v>
      </c>
      <c r="M1036" s="539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8" t="s">
        <v>249</v>
      </c>
      <c r="M1037" s="539"/>
      <c r="N1037" s="543">
        <f>'BD Team'!J102</f>
        <v>0</v>
      </c>
      <c r="O1037" s="543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8" t="s">
        <v>250</v>
      </c>
      <c r="M1038" s="539"/>
      <c r="N1038" s="543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8" t="s">
        <v>251</v>
      </c>
      <c r="M1039" s="539"/>
      <c r="N1039" s="543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8" t="s">
        <v>252</v>
      </c>
      <c r="M1040" s="539"/>
      <c r="N1040" s="543">
        <f>'BD Team'!F102</f>
        <v>0</v>
      </c>
      <c r="O1040" s="540"/>
    </row>
    <row r="1041" spans="3:15">
      <c r="C1041" s="544"/>
      <c r="D1041" s="544"/>
      <c r="E1041" s="544"/>
      <c r="F1041" s="544"/>
      <c r="G1041" s="544"/>
      <c r="H1041" s="544"/>
      <c r="I1041" s="544"/>
      <c r="J1041" s="544"/>
      <c r="K1041" s="544"/>
      <c r="L1041" s="544"/>
      <c r="M1041" s="544"/>
      <c r="N1041" s="544"/>
      <c r="O1041" s="544"/>
    </row>
    <row r="1042" spans="3:15" ht="25.15" customHeight="1">
      <c r="C1042" s="538" t="s">
        <v>253</v>
      </c>
      <c r="D1042" s="539"/>
      <c r="E1042" s="289">
        <f>'BD Team'!B103</f>
        <v>0</v>
      </c>
      <c r="F1042" s="288" t="s">
        <v>254</v>
      </c>
      <c r="G1042" s="543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8" t="s">
        <v>127</v>
      </c>
      <c r="M1043" s="539"/>
      <c r="N1043" s="550">
        <f>'BD Team'!G103</f>
        <v>0</v>
      </c>
      <c r="O1043" s="542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8" t="s">
        <v>246</v>
      </c>
      <c r="M1044" s="539"/>
      <c r="N1044" s="540" t="str">
        <f>$F$6</f>
        <v>Powder Coating Black Matt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8" t="s">
        <v>177</v>
      </c>
      <c r="M1045" s="539"/>
      <c r="N1045" s="540" t="str">
        <f>$K$6</f>
        <v>Black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8" t="s">
        <v>247</v>
      </c>
      <c r="M1046" s="539"/>
      <c r="N1046" s="542" t="s">
        <v>255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8" t="s">
        <v>248</v>
      </c>
      <c r="M1047" s="539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8" t="s">
        <v>249</v>
      </c>
      <c r="M1048" s="539"/>
      <c r="N1048" s="543">
        <f>'BD Team'!J103</f>
        <v>0</v>
      </c>
      <c r="O1048" s="543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8" t="s">
        <v>250</v>
      </c>
      <c r="M1049" s="539"/>
      <c r="N1049" s="543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8" t="s">
        <v>251</v>
      </c>
      <c r="M1050" s="539"/>
      <c r="N1050" s="543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8" t="s">
        <v>252</v>
      </c>
      <c r="M1051" s="539"/>
      <c r="N1051" s="543">
        <f>'BD Team'!F103</f>
        <v>0</v>
      </c>
      <c r="O1051" s="540"/>
    </row>
    <row r="1052" spans="3:15">
      <c r="C1052" s="544"/>
      <c r="D1052" s="544"/>
      <c r="E1052" s="544"/>
      <c r="F1052" s="544"/>
      <c r="G1052" s="544"/>
      <c r="H1052" s="544"/>
      <c r="I1052" s="544"/>
      <c r="J1052" s="544"/>
      <c r="K1052" s="544"/>
      <c r="L1052" s="544"/>
      <c r="M1052" s="544"/>
      <c r="N1052" s="544"/>
      <c r="O1052" s="544"/>
    </row>
    <row r="1053" spans="3:15" ht="25.15" customHeight="1">
      <c r="C1053" s="538" t="s">
        <v>253</v>
      </c>
      <c r="D1053" s="539"/>
      <c r="E1053" s="289">
        <f>'BD Team'!B104</f>
        <v>0</v>
      </c>
      <c r="F1053" s="288" t="s">
        <v>254</v>
      </c>
      <c r="G1053" s="543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8" t="s">
        <v>127</v>
      </c>
      <c r="M1054" s="539"/>
      <c r="N1054" s="550">
        <f>'BD Team'!G104</f>
        <v>0</v>
      </c>
      <c r="O1054" s="542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8" t="s">
        <v>246</v>
      </c>
      <c r="M1055" s="539"/>
      <c r="N1055" s="540" t="str">
        <f>$F$6</f>
        <v>Powder Coating Black Matt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8" t="s">
        <v>177</v>
      </c>
      <c r="M1056" s="539"/>
      <c r="N1056" s="540" t="str">
        <f>$K$6</f>
        <v>Black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8" t="s">
        <v>247</v>
      </c>
      <c r="M1057" s="539"/>
      <c r="N1057" s="542" t="s">
        <v>255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8" t="s">
        <v>248</v>
      </c>
      <c r="M1058" s="539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8" t="s">
        <v>249</v>
      </c>
      <c r="M1059" s="539"/>
      <c r="N1059" s="543">
        <f>'BD Team'!J104</f>
        <v>0</v>
      </c>
      <c r="O1059" s="543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8" t="s">
        <v>250</v>
      </c>
      <c r="M1060" s="539"/>
      <c r="N1060" s="543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8" t="s">
        <v>251</v>
      </c>
      <c r="M1061" s="539"/>
      <c r="N1061" s="543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8" t="s">
        <v>252</v>
      </c>
      <c r="M1062" s="539"/>
      <c r="N1062" s="543">
        <f>'BD Team'!F104</f>
        <v>0</v>
      </c>
      <c r="O1062" s="540"/>
    </row>
    <row r="1063" spans="3:15">
      <c r="C1063" s="544"/>
      <c r="D1063" s="544"/>
      <c r="E1063" s="544"/>
      <c r="F1063" s="544"/>
      <c r="G1063" s="544"/>
      <c r="H1063" s="544"/>
      <c r="I1063" s="544"/>
      <c r="J1063" s="544"/>
      <c r="K1063" s="544"/>
      <c r="L1063" s="544"/>
      <c r="M1063" s="544"/>
      <c r="N1063" s="544"/>
      <c r="O1063" s="544"/>
    </row>
    <row r="1064" spans="3:15" ht="25.15" customHeight="1">
      <c r="C1064" s="538" t="s">
        <v>253</v>
      </c>
      <c r="D1064" s="539"/>
      <c r="E1064" s="289">
        <f>'BD Team'!B105</f>
        <v>0</v>
      </c>
      <c r="F1064" s="288" t="s">
        <v>254</v>
      </c>
      <c r="G1064" s="543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8" t="s">
        <v>127</v>
      </c>
      <c r="M1065" s="539"/>
      <c r="N1065" s="550">
        <f>'BD Team'!G105</f>
        <v>0</v>
      </c>
      <c r="O1065" s="542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8" t="s">
        <v>246</v>
      </c>
      <c r="M1066" s="539"/>
      <c r="N1066" s="540" t="str">
        <f>$F$6</f>
        <v>Powder Coating Black Matt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8" t="s">
        <v>177</v>
      </c>
      <c r="M1067" s="539"/>
      <c r="N1067" s="540" t="str">
        <f>$K$6</f>
        <v>Black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8" t="s">
        <v>247</v>
      </c>
      <c r="M1068" s="539"/>
      <c r="N1068" s="542" t="s">
        <v>255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8" t="s">
        <v>248</v>
      </c>
      <c r="M1069" s="539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8" t="s">
        <v>249</v>
      </c>
      <c r="M1070" s="539"/>
      <c r="N1070" s="543">
        <f>'BD Team'!J105</f>
        <v>0</v>
      </c>
      <c r="O1070" s="543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8" t="s">
        <v>250</v>
      </c>
      <c r="M1071" s="539"/>
      <c r="N1071" s="543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8" t="s">
        <v>251</v>
      </c>
      <c r="M1072" s="539"/>
      <c r="N1072" s="543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8" t="s">
        <v>252</v>
      </c>
      <c r="M1073" s="539"/>
      <c r="N1073" s="543">
        <f>'BD Team'!F105</f>
        <v>0</v>
      </c>
      <c r="O1073" s="540"/>
    </row>
    <row r="1074" spans="3:15">
      <c r="C1074" s="544"/>
      <c r="D1074" s="544"/>
      <c r="E1074" s="544"/>
      <c r="F1074" s="544"/>
      <c r="G1074" s="544"/>
      <c r="H1074" s="544"/>
      <c r="I1074" s="544"/>
      <c r="J1074" s="544"/>
      <c r="K1074" s="544"/>
      <c r="L1074" s="544"/>
      <c r="M1074" s="544"/>
      <c r="N1074" s="544"/>
      <c r="O1074" s="544"/>
    </row>
    <row r="1075" spans="3:15" ht="25.15" customHeight="1">
      <c r="C1075" s="538" t="s">
        <v>253</v>
      </c>
      <c r="D1075" s="539"/>
      <c r="E1075" s="289">
        <f>'BD Team'!B106</f>
        <v>0</v>
      </c>
      <c r="F1075" s="288" t="s">
        <v>254</v>
      </c>
      <c r="G1075" s="543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8" t="s">
        <v>127</v>
      </c>
      <c r="M1076" s="539"/>
      <c r="N1076" s="550">
        <f>'BD Team'!G106</f>
        <v>0</v>
      </c>
      <c r="O1076" s="542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8" t="s">
        <v>246</v>
      </c>
      <c r="M1077" s="539"/>
      <c r="N1077" s="540" t="str">
        <f>$F$6</f>
        <v>Powder Coating Black Matt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8" t="s">
        <v>177</v>
      </c>
      <c r="M1078" s="539"/>
      <c r="N1078" s="540" t="str">
        <f>$K$6</f>
        <v>Black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8" t="s">
        <v>247</v>
      </c>
      <c r="M1079" s="539"/>
      <c r="N1079" s="542" t="s">
        <v>255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8" t="s">
        <v>248</v>
      </c>
      <c r="M1080" s="539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8" t="s">
        <v>249</v>
      </c>
      <c r="M1081" s="539"/>
      <c r="N1081" s="543">
        <f>'BD Team'!J106</f>
        <v>0</v>
      </c>
      <c r="O1081" s="543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8" t="s">
        <v>250</v>
      </c>
      <c r="M1082" s="539"/>
      <c r="N1082" s="543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8" t="s">
        <v>251</v>
      </c>
      <c r="M1083" s="539"/>
      <c r="N1083" s="543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8" t="s">
        <v>252</v>
      </c>
      <c r="M1084" s="539"/>
      <c r="N1084" s="543">
        <f>'BD Team'!F106</f>
        <v>0</v>
      </c>
      <c r="O1084" s="540"/>
    </row>
    <row r="1085" spans="3:15">
      <c r="C1085" s="544"/>
      <c r="D1085" s="544"/>
      <c r="E1085" s="544"/>
      <c r="F1085" s="544"/>
      <c r="G1085" s="544"/>
      <c r="H1085" s="544"/>
      <c r="I1085" s="544"/>
      <c r="J1085" s="544"/>
      <c r="K1085" s="544"/>
      <c r="L1085" s="544"/>
      <c r="M1085" s="544"/>
      <c r="N1085" s="544"/>
      <c r="O1085" s="544"/>
    </row>
    <row r="1086" spans="3:15" ht="25.15" customHeight="1">
      <c r="C1086" s="538" t="s">
        <v>253</v>
      </c>
      <c r="D1086" s="539"/>
      <c r="E1086" s="289">
        <f>'BD Team'!B107</f>
        <v>0</v>
      </c>
      <c r="F1086" s="288" t="s">
        <v>254</v>
      </c>
      <c r="G1086" s="543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8" t="s">
        <v>127</v>
      </c>
      <c r="M1087" s="539"/>
      <c r="N1087" s="550">
        <f>'BD Team'!G107</f>
        <v>0</v>
      </c>
      <c r="O1087" s="542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8" t="s">
        <v>246</v>
      </c>
      <c r="M1088" s="539"/>
      <c r="N1088" s="540" t="str">
        <f>$F$6</f>
        <v>Powder Coating Black Matt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8" t="s">
        <v>177</v>
      </c>
      <c r="M1089" s="539"/>
      <c r="N1089" s="540" t="str">
        <f>$K$6</f>
        <v>Black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8" t="s">
        <v>247</v>
      </c>
      <c r="M1090" s="539"/>
      <c r="N1090" s="542" t="s">
        <v>255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8" t="s">
        <v>248</v>
      </c>
      <c r="M1091" s="539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8" t="s">
        <v>249</v>
      </c>
      <c r="M1092" s="539"/>
      <c r="N1092" s="543">
        <f>'BD Team'!J107</f>
        <v>0</v>
      </c>
      <c r="O1092" s="543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8" t="s">
        <v>250</v>
      </c>
      <c r="M1093" s="539"/>
      <c r="N1093" s="543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8" t="s">
        <v>251</v>
      </c>
      <c r="M1094" s="539"/>
      <c r="N1094" s="543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8" t="s">
        <v>252</v>
      </c>
      <c r="M1095" s="539"/>
      <c r="N1095" s="543">
        <f>'BD Team'!F107</f>
        <v>0</v>
      </c>
      <c r="O1095" s="540"/>
    </row>
    <row r="1096" spans="3:15">
      <c r="C1096" s="544"/>
      <c r="D1096" s="544"/>
      <c r="E1096" s="544"/>
      <c r="F1096" s="544"/>
      <c r="G1096" s="544"/>
      <c r="H1096" s="544"/>
      <c r="I1096" s="544"/>
      <c r="J1096" s="544"/>
      <c r="K1096" s="544"/>
      <c r="L1096" s="544"/>
      <c r="M1096" s="544"/>
      <c r="N1096" s="544"/>
      <c r="O1096" s="544"/>
    </row>
    <row r="1097" spans="3:15" ht="25.15" customHeight="1">
      <c r="C1097" s="538" t="s">
        <v>253</v>
      </c>
      <c r="D1097" s="539"/>
      <c r="E1097" s="289">
        <f>'BD Team'!B108</f>
        <v>0</v>
      </c>
      <c r="F1097" s="288" t="s">
        <v>254</v>
      </c>
      <c r="G1097" s="543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8" t="s">
        <v>127</v>
      </c>
      <c r="M1098" s="539"/>
      <c r="N1098" s="550">
        <f>'BD Team'!G108</f>
        <v>0</v>
      </c>
      <c r="O1098" s="542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8" t="s">
        <v>246</v>
      </c>
      <c r="M1099" s="539"/>
      <c r="N1099" s="540" t="str">
        <f>$F$6</f>
        <v>Powder Coating Black Matt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8" t="s">
        <v>177</v>
      </c>
      <c r="M1100" s="539"/>
      <c r="N1100" s="540" t="str">
        <f>$K$6</f>
        <v>Black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8" t="s">
        <v>247</v>
      </c>
      <c r="M1101" s="539"/>
      <c r="N1101" s="542" t="s">
        <v>255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8" t="s">
        <v>248</v>
      </c>
      <c r="M1102" s="539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8" t="s">
        <v>249</v>
      </c>
      <c r="M1103" s="539"/>
      <c r="N1103" s="543">
        <f>'BD Team'!J108</f>
        <v>0</v>
      </c>
      <c r="O1103" s="543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8" t="s">
        <v>250</v>
      </c>
      <c r="M1104" s="539"/>
      <c r="N1104" s="543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8" t="s">
        <v>251</v>
      </c>
      <c r="M1105" s="539"/>
      <c r="N1105" s="543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8" t="s">
        <v>252</v>
      </c>
      <c r="M1106" s="539"/>
      <c r="N1106" s="543">
        <f>'BD Team'!F108</f>
        <v>0</v>
      </c>
      <c r="O1106" s="540"/>
    </row>
    <row r="1107" spans="3:15">
      <c r="C1107" s="544"/>
      <c r="D1107" s="544"/>
      <c r="E1107" s="544"/>
      <c r="F1107" s="544"/>
      <c r="G1107" s="544"/>
      <c r="H1107" s="544"/>
      <c r="I1107" s="544"/>
      <c r="J1107" s="544"/>
      <c r="K1107" s="544"/>
      <c r="L1107" s="544"/>
      <c r="M1107" s="544"/>
      <c r="N1107" s="544"/>
      <c r="O1107" s="544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262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567</v>
      </c>
    </row>
    <row r="5" spans="3:5">
      <c r="C5" s="236" t="s">
        <v>396</v>
      </c>
      <c r="D5" s="236" t="s">
        <v>394</v>
      </c>
      <c r="E5" s="309">
        <f>ROUND(Pricing!U104,0.1)/40</f>
        <v>17</v>
      </c>
    </row>
    <row r="6" spans="3:5">
      <c r="C6" s="236" t="s">
        <v>83</v>
      </c>
      <c r="D6" s="236" t="s">
        <v>393</v>
      </c>
      <c r="E6" s="309">
        <f>ROUND(Pricing!V104,0.1)</f>
        <v>35</v>
      </c>
    </row>
    <row r="7" spans="3:5">
      <c r="C7" s="236" t="s">
        <v>400</v>
      </c>
      <c r="D7" s="236" t="s">
        <v>392</v>
      </c>
      <c r="E7" s="309">
        <f>ROUND(Pricing!W104,0.1)</f>
        <v>567</v>
      </c>
    </row>
    <row r="8" spans="3:5">
      <c r="C8" s="236" t="s">
        <v>397</v>
      </c>
      <c r="D8" s="236" t="s">
        <v>392</v>
      </c>
      <c r="E8" s="309">
        <f>ROUND(Pricing!X104,0.1)</f>
        <v>1133</v>
      </c>
    </row>
    <row r="9" spans="3:5">
      <c r="C9" t="s">
        <v>222</v>
      </c>
      <c r="D9" s="236" t="s">
        <v>395</v>
      </c>
      <c r="E9" s="309">
        <f>ROUND(Pricing!Y104,0.1)</f>
        <v>340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6"/>
  <sheetViews>
    <sheetView topLeftCell="A2" workbookViewId="0">
      <selection activeCell="A17" sqref="A17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215</v>
      </c>
      <c r="M1" s="315" t="s">
        <v>218</v>
      </c>
      <c r="N1" s="315" t="s">
        <v>411</v>
      </c>
      <c r="O1" s="315" t="s">
        <v>412</v>
      </c>
      <c r="P1" s="315" t="s">
        <v>189</v>
      </c>
      <c r="Q1" s="315" t="s">
        <v>413</v>
      </c>
      <c r="R1" s="315" t="s">
        <v>414</v>
      </c>
      <c r="S1" s="315" t="s">
        <v>415</v>
      </c>
      <c r="T1" s="315" t="s">
        <v>277</v>
      </c>
      <c r="U1" s="315" t="s">
        <v>416</v>
      </c>
    </row>
    <row r="2" spans="1:21">
      <c r="A2" s="318" t="str">
        <f>'BD Team'!B9</f>
        <v>W1</v>
      </c>
      <c r="B2" s="318" t="str">
        <f>'BD Team'!C9</f>
        <v>M900</v>
      </c>
      <c r="C2" s="318" t="str">
        <f>'BD Team'!D9</f>
        <v>3 TRACK 2 SHUTTER SLIDING WINDOW</v>
      </c>
      <c r="D2" s="318" t="str">
        <f>'BD Team'!E9</f>
        <v>20MM</v>
      </c>
      <c r="E2" s="318" t="str">
        <f>'BD Team'!G9</f>
        <v>GF - POOJA ROOM</v>
      </c>
      <c r="F2" s="318" t="str">
        <f>'BD Team'!F9</f>
        <v>SS</v>
      </c>
      <c r="I2" s="318">
        <f>'BD Team'!H9</f>
        <v>1430</v>
      </c>
      <c r="J2" s="318">
        <f>'BD Team'!I9</f>
        <v>630</v>
      </c>
      <c r="K2" s="318">
        <f>'BD Team'!J9</f>
        <v>1</v>
      </c>
      <c r="L2" s="319">
        <f>'BD Team'!K9</f>
        <v>73.680000000000007</v>
      </c>
      <c r="M2" s="318">
        <f>Pricing!O4</f>
        <v>2604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W2</v>
      </c>
      <c r="B3" s="318" t="str">
        <f>'BD Team'!C10</f>
        <v>M14600</v>
      </c>
      <c r="C3" s="318" t="str">
        <f>'BD Team'!D10</f>
        <v>3 TRACK 2 SHUTTER SLIDING DOOR</v>
      </c>
      <c r="D3" s="318" t="str">
        <f>'BD Team'!E10</f>
        <v>24MM</v>
      </c>
      <c r="E3" s="318" t="str">
        <f>'BD Team'!G10</f>
        <v>GF - DINING</v>
      </c>
      <c r="F3" s="318" t="str">
        <f>'BD Team'!F10</f>
        <v>SS</v>
      </c>
      <c r="I3" s="318">
        <f>'BD Team'!H10</f>
        <v>2620</v>
      </c>
      <c r="J3" s="318">
        <f>'BD Team'!I10</f>
        <v>2210</v>
      </c>
      <c r="K3" s="318">
        <f>'BD Team'!J10</f>
        <v>1</v>
      </c>
      <c r="L3" s="319">
        <f>'BD Team'!K10</f>
        <v>459.17</v>
      </c>
      <c r="M3" s="318">
        <f>Pricing!O5</f>
        <v>2938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W3</v>
      </c>
      <c r="B4" s="318" t="str">
        <f>'BD Team'!C11</f>
        <v>M900</v>
      </c>
      <c r="C4" s="318" t="str">
        <f>'BD Team'!D11</f>
        <v>3 TRACK 2 SHUTTER SLIDING WINDOW</v>
      </c>
      <c r="D4" s="318" t="str">
        <f>'BD Team'!E11</f>
        <v>20MM</v>
      </c>
      <c r="E4" s="318" t="str">
        <f>'BD Team'!G11</f>
        <v>GF - KITCHEN</v>
      </c>
      <c r="F4" s="318" t="str">
        <f>'BD Team'!F11</f>
        <v>SS</v>
      </c>
      <c r="I4" s="318">
        <f>'BD Team'!H11</f>
        <v>2420</v>
      </c>
      <c r="J4" s="318">
        <f>'BD Team'!I11</f>
        <v>460</v>
      </c>
      <c r="K4" s="318">
        <f>'BD Team'!J11</f>
        <v>1</v>
      </c>
      <c r="L4" s="319">
        <f>'BD Team'!K11</f>
        <v>88.12</v>
      </c>
      <c r="M4" s="318">
        <f>Pricing!O6</f>
        <v>2604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W4</v>
      </c>
      <c r="B5" s="318" t="str">
        <f>'BD Team'!C12</f>
        <v>M900</v>
      </c>
      <c r="C5" s="318" t="str">
        <f>'BD Team'!D12</f>
        <v>3 TRACK 2 SHUTTER SLIDING WINDOW</v>
      </c>
      <c r="D5" s="318" t="str">
        <f>'BD Team'!E12</f>
        <v>20MM</v>
      </c>
      <c r="E5" s="318" t="str">
        <f>'BD Team'!G12</f>
        <v>GF - STORE</v>
      </c>
      <c r="F5" s="318" t="str">
        <f>'BD Team'!F12</f>
        <v>SS</v>
      </c>
      <c r="I5" s="318">
        <f>'BD Team'!H12</f>
        <v>925</v>
      </c>
      <c r="J5" s="318">
        <f>'BD Team'!I12</f>
        <v>600</v>
      </c>
      <c r="K5" s="318">
        <f>'BD Team'!J12</f>
        <v>1</v>
      </c>
      <c r="L5" s="319">
        <f>'BD Team'!K12</f>
        <v>62.17</v>
      </c>
      <c r="M5" s="318">
        <f>Pricing!O7</f>
        <v>2604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W5</v>
      </c>
      <c r="B6" s="318" t="str">
        <f>'BD Team'!C13</f>
        <v>M900</v>
      </c>
      <c r="C6" s="318" t="str">
        <f>'BD Team'!D13</f>
        <v>3 TRACK 2 SHUTTER SLIDING WINDOW</v>
      </c>
      <c r="D6" s="318" t="str">
        <f>'BD Team'!E13</f>
        <v>20MM</v>
      </c>
      <c r="E6" s="318" t="str">
        <f>'BD Team'!G13</f>
        <v>GF - GUEST BEDROOM</v>
      </c>
      <c r="F6" s="318" t="str">
        <f>'BD Team'!F13</f>
        <v>SS</v>
      </c>
      <c r="I6" s="318">
        <f>'BD Team'!H13</f>
        <v>1829</v>
      </c>
      <c r="J6" s="318">
        <f>'BD Team'!I13</f>
        <v>609</v>
      </c>
      <c r="K6" s="318">
        <f>'BD Team'!J13</f>
        <v>2</v>
      </c>
      <c r="L6" s="319">
        <f>'BD Team'!K13</f>
        <v>81.19</v>
      </c>
      <c r="M6" s="318">
        <f>Pricing!O8</f>
        <v>2604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W6</v>
      </c>
      <c r="B7" s="318" t="str">
        <f>'BD Team'!C14</f>
        <v>M900</v>
      </c>
      <c r="C7" s="318" t="str">
        <f>'BD Team'!D14</f>
        <v>3 TRACK 2 SHUTTER SLIDING WINDOW</v>
      </c>
      <c r="D7" s="318" t="str">
        <f>'BD Team'!E14</f>
        <v>20MM</v>
      </c>
      <c r="E7" s="318" t="str">
        <f>'BD Team'!G14</f>
        <v>GF - GBR, 1F - BR &amp; MBR</v>
      </c>
      <c r="F7" s="318" t="str">
        <f>'BD Team'!F14</f>
        <v>SS</v>
      </c>
      <c r="I7" s="318">
        <f>'BD Team'!H14</f>
        <v>1317</v>
      </c>
      <c r="J7" s="318">
        <f>'BD Team'!I14</f>
        <v>1473</v>
      </c>
      <c r="K7" s="318">
        <f>'BD Team'!J14</f>
        <v>5</v>
      </c>
      <c r="L7" s="319">
        <f>'BD Team'!K14</f>
        <v>101.41</v>
      </c>
      <c r="M7" s="318">
        <f>Pricing!O9</f>
        <v>2604</v>
      </c>
      <c r="N7" s="318">
        <f>Pricing!Q9</f>
        <v>538.19999999999993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W8</v>
      </c>
      <c r="B8" s="318" t="str">
        <f>'BD Team'!C15</f>
        <v>M14600</v>
      </c>
      <c r="C8" s="318" t="str">
        <f>'BD Team'!D15</f>
        <v>3 TRACK 2 SHUTTER SLIDING DOOR</v>
      </c>
      <c r="D8" s="318" t="str">
        <f>'BD Team'!E15</f>
        <v>24MM</v>
      </c>
      <c r="E8" s="318" t="str">
        <f>'BD Team'!G15</f>
        <v>GF - LIVING</v>
      </c>
      <c r="F8" s="318" t="str">
        <f>'BD Team'!F15</f>
        <v>SS</v>
      </c>
      <c r="I8" s="318">
        <f>'BD Team'!H15</f>
        <v>2305</v>
      </c>
      <c r="J8" s="318">
        <f>'BD Team'!I15</f>
        <v>2330</v>
      </c>
      <c r="K8" s="318">
        <f>'BD Team'!J15</f>
        <v>1</v>
      </c>
      <c r="L8" s="319">
        <f>'BD Team'!K15</f>
        <v>452.01</v>
      </c>
      <c r="M8" s="318">
        <f>Pricing!O10</f>
        <v>2938</v>
      </c>
      <c r="N8" s="318">
        <f>Pricing!Q10</f>
        <v>538.19999999999993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W7</v>
      </c>
      <c r="B9" s="318" t="str">
        <f>'BD Team'!C16</f>
        <v>M900</v>
      </c>
      <c r="C9" s="318" t="str">
        <f>'BD Team'!D16</f>
        <v>3 TRACK 2 SHUTTER SLIDING WINDOW</v>
      </c>
      <c r="D9" s="318" t="str">
        <f>'BD Team'!E16</f>
        <v>20MM</v>
      </c>
      <c r="E9" s="318" t="str">
        <f>'BD Team'!G16</f>
        <v>GF - LIVING</v>
      </c>
      <c r="F9" s="318" t="str">
        <f>'BD Team'!F16</f>
        <v>SS</v>
      </c>
      <c r="I9" s="318">
        <f>'BD Team'!H16</f>
        <v>1550</v>
      </c>
      <c r="J9" s="318">
        <f>'BD Team'!I16</f>
        <v>1917</v>
      </c>
      <c r="K9" s="318">
        <f>'BD Team'!J16</f>
        <v>2</v>
      </c>
      <c r="L9" s="319">
        <f>'BD Team'!K16</f>
        <v>126.15</v>
      </c>
      <c r="M9" s="318">
        <f>Pricing!O11</f>
        <v>2604</v>
      </c>
      <c r="N9" s="318">
        <f>Pricing!Q11</f>
        <v>538.19999999999993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W9</v>
      </c>
      <c r="B10" s="318" t="str">
        <f>'BD Team'!C17</f>
        <v>M15000</v>
      </c>
      <c r="C10" s="318" t="str">
        <f>'BD Team'!D17</f>
        <v>TOP HUNG WINDOW</v>
      </c>
      <c r="D10" s="318" t="str">
        <f>'BD Team'!E17</f>
        <v>24MM (F)</v>
      </c>
      <c r="E10" s="318" t="str">
        <f>'BD Team'!G17</f>
        <v>GF - POWDER ROOM</v>
      </c>
      <c r="F10" s="318" t="str">
        <f>'BD Team'!F17</f>
        <v>ROLL UP</v>
      </c>
      <c r="I10" s="318">
        <f>'BD Team'!H17</f>
        <v>620</v>
      </c>
      <c r="J10" s="318">
        <f>'BD Team'!I17</f>
        <v>600</v>
      </c>
      <c r="K10" s="318">
        <f>'BD Team'!J17</f>
        <v>1</v>
      </c>
      <c r="L10" s="319">
        <f>'BD Team'!K17</f>
        <v>127.2</v>
      </c>
      <c r="M10" s="318">
        <f>Pricing!O12</f>
        <v>3940</v>
      </c>
      <c r="N10" s="318">
        <f>Pricing!Q12</f>
        <v>0</v>
      </c>
      <c r="O10" s="318">
        <f>Pricing!R12</f>
        <v>21528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W10</v>
      </c>
      <c r="B11" s="318" t="str">
        <f>'BD Team'!C18</f>
        <v>M15000</v>
      </c>
      <c r="C11" s="318" t="str">
        <f>'BD Team'!D18</f>
        <v>TOP HUNG WINDOW WITH BOTTOM FIXED</v>
      </c>
      <c r="D11" s="318" t="str">
        <f>'BD Team'!E18</f>
        <v>24MM</v>
      </c>
      <c r="E11" s="318" t="str">
        <f>'BD Team'!G18</f>
        <v>STAIRCASE</v>
      </c>
      <c r="F11" s="318" t="str">
        <f>'BD Team'!F18</f>
        <v>ROLL UP</v>
      </c>
      <c r="I11" s="318">
        <f>'BD Team'!H18</f>
        <v>555</v>
      </c>
      <c r="J11" s="318">
        <f>'BD Team'!I18</f>
        <v>2378</v>
      </c>
      <c r="K11" s="318">
        <f>'BD Team'!J18</f>
        <v>4</v>
      </c>
      <c r="L11" s="319">
        <f>'BD Team'!K18</f>
        <v>221.58</v>
      </c>
      <c r="M11" s="318">
        <f>Pricing!O13</f>
        <v>2938</v>
      </c>
      <c r="N11" s="318">
        <f>Pricing!Q13</f>
        <v>0</v>
      </c>
      <c r="O11" s="318">
        <f>Pricing!R13</f>
        <v>10764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W11</v>
      </c>
      <c r="B12" s="318" t="str">
        <f>'BD Team'!C19</f>
        <v>M900</v>
      </c>
      <c r="C12" s="318" t="str">
        <f>'BD Team'!D19</f>
        <v>3 TRACK 2 SHUTTER SLIDING WINDOW</v>
      </c>
      <c r="D12" s="318" t="str">
        <f>'BD Team'!E19</f>
        <v>20MM (F)</v>
      </c>
      <c r="E12" s="318" t="str">
        <f>'BD Team'!G19</f>
        <v>TOILETS</v>
      </c>
      <c r="F12" s="318" t="str">
        <f>'BD Team'!F19</f>
        <v>SS</v>
      </c>
      <c r="I12" s="318">
        <f>'BD Team'!H19</f>
        <v>932</v>
      </c>
      <c r="J12" s="318">
        <f>'BD Team'!I19</f>
        <v>618</v>
      </c>
      <c r="K12" s="318">
        <f>'BD Team'!J19</f>
        <v>5</v>
      </c>
      <c r="L12" s="319">
        <f>'BD Team'!K19</f>
        <v>62.96</v>
      </c>
      <c r="M12" s="318">
        <f>Pricing!O14</f>
        <v>3606</v>
      </c>
      <c r="N12" s="318">
        <f>Pricing!Q14</f>
        <v>538.19999999999993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W12</v>
      </c>
      <c r="B13" s="318" t="str">
        <f>'BD Team'!C20</f>
        <v>M14600</v>
      </c>
      <c r="C13" s="318" t="str">
        <f>'BD Team'!D20</f>
        <v>3 TRACK 2 SHUTTER SLIDING DOOR</v>
      </c>
      <c r="D13" s="318" t="str">
        <f>'BD Team'!E20</f>
        <v>24MM</v>
      </c>
      <c r="E13" s="318" t="str">
        <f>'BD Team'!G20</f>
        <v>1F - FAMILY</v>
      </c>
      <c r="F13" s="318" t="str">
        <f>'BD Team'!F20</f>
        <v>SS</v>
      </c>
      <c r="I13" s="318">
        <f>'BD Team'!H20</f>
        <v>1772</v>
      </c>
      <c r="J13" s="318">
        <f>'BD Team'!I20</f>
        <v>2223</v>
      </c>
      <c r="K13" s="318">
        <f>'BD Team'!J20</f>
        <v>2</v>
      </c>
      <c r="L13" s="319">
        <f>'BD Team'!K20</f>
        <v>415.18</v>
      </c>
      <c r="M13" s="318">
        <f>Pricing!O15</f>
        <v>2938</v>
      </c>
      <c r="N13" s="318">
        <f>Pricing!Q15</f>
        <v>538.19999999999993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W13</v>
      </c>
      <c r="B14" s="318" t="str">
        <f>'BD Team'!C21</f>
        <v>M15000</v>
      </c>
      <c r="C14" s="318" t="str">
        <f>'BD Team'!D21</f>
        <v>FIXED GLASS</v>
      </c>
      <c r="D14" s="318" t="str">
        <f>'BD Team'!E21</f>
        <v>24MM</v>
      </c>
      <c r="E14" s="318" t="str">
        <f>'BD Team'!G21</f>
        <v>1F - STAIRCASE</v>
      </c>
      <c r="F14" s="318" t="str">
        <f>'BD Team'!F21</f>
        <v>NO</v>
      </c>
      <c r="I14" s="318">
        <f>'BD Team'!H21</f>
        <v>543</v>
      </c>
      <c r="J14" s="318">
        <f>'BD Team'!I21</f>
        <v>659</v>
      </c>
      <c r="K14" s="318">
        <f>'BD Team'!J21</f>
        <v>1</v>
      </c>
      <c r="L14" s="319">
        <f>'BD Team'!K21</f>
        <v>28.44</v>
      </c>
      <c r="M14" s="318">
        <f>Pricing!O16</f>
        <v>2938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W14</v>
      </c>
      <c r="B15" s="318" t="str">
        <f>'BD Team'!C22</f>
        <v>M900</v>
      </c>
      <c r="C15" s="318" t="str">
        <f>'BD Team'!D22</f>
        <v>3 TRACK 2 SHUTTER SLIDING WINDOW</v>
      </c>
      <c r="D15" s="318" t="str">
        <f>'BD Team'!E22</f>
        <v>20MM</v>
      </c>
      <c r="E15" s="318" t="str">
        <f>'BD Team'!G22</f>
        <v>1F - GYM &amp; LIVING</v>
      </c>
      <c r="F15" s="318" t="str">
        <f>'BD Team'!F22</f>
        <v>SS</v>
      </c>
      <c r="I15" s="318">
        <f>'BD Team'!H22</f>
        <v>2381</v>
      </c>
      <c r="J15" s="318">
        <f>'BD Team'!I22</f>
        <v>1473</v>
      </c>
      <c r="K15" s="318">
        <f>'BD Team'!J22</f>
        <v>2</v>
      </c>
      <c r="L15" s="319">
        <f>'BD Team'!K22</f>
        <v>127.53</v>
      </c>
      <c r="M15" s="318">
        <f>Pricing!O17</f>
        <v>2604</v>
      </c>
      <c r="N15" s="318">
        <f>Pricing!Q17</f>
        <v>538.19999999999993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W15</v>
      </c>
      <c r="B16" s="318" t="str">
        <f>'BD Team'!C23</f>
        <v>M15000</v>
      </c>
      <c r="C16" s="318" t="str">
        <f>'BD Team'!D23</f>
        <v>2 SIDE HUNG DOORS WITH CORNOR FIXED</v>
      </c>
      <c r="D16" s="318" t="str">
        <f>'BD Team'!E23</f>
        <v>24MM</v>
      </c>
      <c r="E16" s="318" t="str">
        <f>'BD Team'!G23</f>
        <v>1F - DAUGHTER BEDROOM</v>
      </c>
      <c r="F16" s="318" t="str">
        <f>'BD Team'!F23</f>
        <v>RETRACTABLE</v>
      </c>
      <c r="I16" s="318">
        <f>'BD Team'!H23</f>
        <v>3737</v>
      </c>
      <c r="J16" s="318">
        <f>'BD Team'!I23</f>
        <v>1981</v>
      </c>
      <c r="K16" s="318">
        <f>'BD Team'!J23</f>
        <v>1</v>
      </c>
      <c r="L16" s="319">
        <f>'BD Team'!K23</f>
        <v>637.27</v>
      </c>
      <c r="M16" s="318">
        <f>Pricing!O18</f>
        <v>2938</v>
      </c>
      <c r="N16" s="318">
        <f>Pricing!Q18</f>
        <v>0</v>
      </c>
      <c r="O16" s="318">
        <f>Pricing!R18</f>
        <v>4305.5999999999995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B24" sqref="B2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425</v>
      </c>
      <c r="F2" s="137"/>
      <c r="G2" s="163"/>
      <c r="H2" s="323" t="s">
        <v>184</v>
      </c>
      <c r="I2" s="324"/>
      <c r="J2" s="165" t="s">
        <v>428</v>
      </c>
      <c r="K2" s="167"/>
      <c r="L2" s="104" t="s">
        <v>207</v>
      </c>
      <c r="M2" s="104" t="s">
        <v>381</v>
      </c>
    </row>
    <row r="3" spans="1:13" s="104" customFormat="1">
      <c r="A3" s="322" t="s">
        <v>127</v>
      </c>
      <c r="B3" s="322"/>
      <c r="C3" s="322"/>
      <c r="D3" s="322"/>
      <c r="E3" s="162" t="s">
        <v>426</v>
      </c>
      <c r="F3" s="136" t="s">
        <v>182</v>
      </c>
      <c r="G3" s="162" t="s">
        <v>417</v>
      </c>
      <c r="H3" s="323" t="s">
        <v>185</v>
      </c>
      <c r="I3" s="324"/>
      <c r="J3" s="166">
        <v>43738</v>
      </c>
      <c r="K3" s="167"/>
      <c r="L3" s="104" t="s">
        <v>257</v>
      </c>
      <c r="M3" s="104" t="s">
        <v>382</v>
      </c>
    </row>
    <row r="4" spans="1:13" s="104" customFormat="1" ht="18">
      <c r="A4" s="322" t="s">
        <v>168</v>
      </c>
      <c r="B4" s="322"/>
      <c r="C4" s="322"/>
      <c r="D4" s="322"/>
      <c r="E4" s="162" t="s">
        <v>419</v>
      </c>
      <c r="F4" s="135"/>
      <c r="G4" s="164"/>
      <c r="H4" s="323" t="s">
        <v>186</v>
      </c>
      <c r="I4" s="324"/>
      <c r="J4" s="165" t="s">
        <v>381</v>
      </c>
      <c r="K4" s="167"/>
      <c r="L4" s="104" t="s">
        <v>258</v>
      </c>
      <c r="M4" s="104" t="s">
        <v>383</v>
      </c>
    </row>
    <row r="5" spans="1:13" s="104" customFormat="1">
      <c r="A5" s="322" t="s">
        <v>176</v>
      </c>
      <c r="B5" s="322"/>
      <c r="C5" s="322"/>
      <c r="D5" s="322"/>
      <c r="E5" s="162" t="s">
        <v>427</v>
      </c>
      <c r="F5" s="136" t="s">
        <v>183</v>
      </c>
      <c r="G5" s="162" t="s">
        <v>260</v>
      </c>
      <c r="H5" s="323" t="s">
        <v>375</v>
      </c>
      <c r="I5" s="324"/>
      <c r="J5" s="165"/>
      <c r="K5" s="167"/>
      <c r="L5" s="104" t="s">
        <v>259</v>
      </c>
      <c r="M5" s="104" t="s">
        <v>384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385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402</v>
      </c>
    </row>
    <row r="9" spans="1:13" ht="20.100000000000001" customHeight="1">
      <c r="A9" s="113">
        <v>1</v>
      </c>
      <c r="B9" s="113" t="s">
        <v>429</v>
      </c>
      <c r="C9" s="113" t="s">
        <v>430</v>
      </c>
      <c r="D9" s="113" t="s">
        <v>431</v>
      </c>
      <c r="E9" s="113" t="s">
        <v>432</v>
      </c>
      <c r="F9" s="113" t="s">
        <v>433</v>
      </c>
      <c r="G9" s="113" t="s">
        <v>434</v>
      </c>
      <c r="H9" s="113">
        <v>1430</v>
      </c>
      <c r="I9" s="113">
        <v>630</v>
      </c>
      <c r="J9" s="113">
        <v>1</v>
      </c>
      <c r="K9" s="123">
        <f>54.34+19.34</f>
        <v>73.680000000000007</v>
      </c>
    </row>
    <row r="10" spans="1:13" ht="20.100000000000001" customHeight="1">
      <c r="A10" s="113">
        <v>2</v>
      </c>
      <c r="B10" s="113" t="s">
        <v>435</v>
      </c>
      <c r="C10" s="113" t="s">
        <v>436</v>
      </c>
      <c r="D10" s="113" t="s">
        <v>437</v>
      </c>
      <c r="E10" s="113" t="s">
        <v>263</v>
      </c>
      <c r="F10" s="113" t="s">
        <v>433</v>
      </c>
      <c r="G10" s="113" t="s">
        <v>438</v>
      </c>
      <c r="H10" s="113">
        <v>2620</v>
      </c>
      <c r="I10" s="113">
        <v>2210</v>
      </c>
      <c r="J10" s="113">
        <v>1</v>
      </c>
      <c r="K10" s="123">
        <v>459.17</v>
      </c>
      <c r="L10" s="47" t="s">
        <v>282</v>
      </c>
    </row>
    <row r="11" spans="1:13" ht="20.100000000000001" customHeight="1">
      <c r="A11" s="113">
        <v>3</v>
      </c>
      <c r="B11" s="113" t="s">
        <v>439</v>
      </c>
      <c r="C11" s="113" t="s">
        <v>430</v>
      </c>
      <c r="D11" s="113" t="s">
        <v>431</v>
      </c>
      <c r="E11" s="113" t="s">
        <v>432</v>
      </c>
      <c r="F11" s="113" t="s">
        <v>433</v>
      </c>
      <c r="G11" s="113" t="s">
        <v>440</v>
      </c>
      <c r="H11" s="113">
        <v>2420</v>
      </c>
      <c r="I11" s="113">
        <v>460</v>
      </c>
      <c r="J11" s="113">
        <v>1</v>
      </c>
      <c r="K11" s="123">
        <f>64.33+23.79</f>
        <v>88.12</v>
      </c>
      <c r="L11" s="47" t="s">
        <v>281</v>
      </c>
    </row>
    <row r="12" spans="1:13" ht="20.100000000000001" customHeight="1">
      <c r="A12" s="113">
        <v>4</v>
      </c>
      <c r="B12" s="113" t="s">
        <v>441</v>
      </c>
      <c r="C12" s="113" t="s">
        <v>430</v>
      </c>
      <c r="D12" s="113" t="s">
        <v>431</v>
      </c>
      <c r="E12" s="113" t="s">
        <v>432</v>
      </c>
      <c r="F12" s="113" t="s">
        <v>433</v>
      </c>
      <c r="G12" s="113" t="s">
        <v>442</v>
      </c>
      <c r="H12" s="113">
        <v>925</v>
      </c>
      <c r="I12" s="113">
        <v>600</v>
      </c>
      <c r="J12" s="113">
        <v>1</v>
      </c>
      <c r="K12" s="123">
        <f>46.24+15.93</f>
        <v>62.17</v>
      </c>
      <c r="L12" s="47" t="s">
        <v>365</v>
      </c>
    </row>
    <row r="13" spans="1:13" ht="20.100000000000001" customHeight="1">
      <c r="A13" s="113">
        <v>5</v>
      </c>
      <c r="B13" s="113" t="s">
        <v>443</v>
      </c>
      <c r="C13" s="113" t="s">
        <v>430</v>
      </c>
      <c r="D13" s="113" t="s">
        <v>431</v>
      </c>
      <c r="E13" s="113" t="s">
        <v>432</v>
      </c>
      <c r="F13" s="113" t="s">
        <v>433</v>
      </c>
      <c r="G13" s="113" t="s">
        <v>444</v>
      </c>
      <c r="H13" s="113">
        <v>1829</v>
      </c>
      <c r="I13" s="113">
        <v>609</v>
      </c>
      <c r="J13" s="113">
        <v>2</v>
      </c>
      <c r="K13" s="123">
        <f>59.59+21.6</f>
        <v>81.19</v>
      </c>
      <c r="L13" s="47" t="s">
        <v>366</v>
      </c>
    </row>
    <row r="14" spans="1:13">
      <c r="A14" s="113">
        <v>6</v>
      </c>
      <c r="B14" s="113" t="s">
        <v>445</v>
      </c>
      <c r="C14" s="113" t="s">
        <v>430</v>
      </c>
      <c r="D14" s="113" t="s">
        <v>431</v>
      </c>
      <c r="E14" s="113" t="s">
        <v>432</v>
      </c>
      <c r="F14" s="113" t="s">
        <v>433</v>
      </c>
      <c r="G14" s="113" t="s">
        <v>446</v>
      </c>
      <c r="H14" s="113">
        <v>1317</v>
      </c>
      <c r="I14" s="113">
        <v>1473</v>
      </c>
      <c r="J14" s="113">
        <v>5</v>
      </c>
      <c r="K14" s="123">
        <f>74.46+26.95</f>
        <v>101.41</v>
      </c>
      <c r="L14" s="47" t="s">
        <v>367</v>
      </c>
    </row>
    <row r="15" spans="1:13" ht="20.100000000000001" customHeight="1">
      <c r="A15" s="113">
        <v>7</v>
      </c>
      <c r="B15" s="113" t="s">
        <v>447</v>
      </c>
      <c r="C15" s="113" t="s">
        <v>436</v>
      </c>
      <c r="D15" s="113" t="s">
        <v>437</v>
      </c>
      <c r="E15" s="113" t="s">
        <v>263</v>
      </c>
      <c r="F15" s="113" t="s">
        <v>433</v>
      </c>
      <c r="G15" s="113" t="s">
        <v>448</v>
      </c>
      <c r="H15" s="113">
        <v>2305</v>
      </c>
      <c r="I15" s="113">
        <v>2330</v>
      </c>
      <c r="J15" s="113">
        <v>1</v>
      </c>
      <c r="K15" s="123">
        <v>452.01</v>
      </c>
      <c r="L15" s="47" t="s">
        <v>368</v>
      </c>
    </row>
    <row r="16" spans="1:13" ht="20.100000000000001" customHeight="1">
      <c r="A16" s="113">
        <v>8</v>
      </c>
      <c r="B16" s="113" t="s">
        <v>449</v>
      </c>
      <c r="C16" s="113" t="s">
        <v>430</v>
      </c>
      <c r="D16" s="113" t="s">
        <v>431</v>
      </c>
      <c r="E16" s="113" t="s">
        <v>432</v>
      </c>
      <c r="F16" s="113" t="s">
        <v>433</v>
      </c>
      <c r="G16" s="113" t="s">
        <v>448</v>
      </c>
      <c r="H16" s="113">
        <v>1550</v>
      </c>
      <c r="I16" s="113">
        <v>1917</v>
      </c>
      <c r="J16" s="113">
        <v>2</v>
      </c>
      <c r="K16" s="123">
        <f>93.39+32.76</f>
        <v>126.15</v>
      </c>
      <c r="L16" s="47" t="s">
        <v>369</v>
      </c>
    </row>
    <row r="17" spans="1:13" ht="20.100000000000001" customHeight="1">
      <c r="A17" s="113">
        <v>9</v>
      </c>
      <c r="B17" s="113" t="s">
        <v>450</v>
      </c>
      <c r="C17" s="113" t="s">
        <v>451</v>
      </c>
      <c r="D17" s="113" t="s">
        <v>452</v>
      </c>
      <c r="E17" s="113" t="s">
        <v>454</v>
      </c>
      <c r="F17" s="113" t="s">
        <v>453</v>
      </c>
      <c r="G17" s="113" t="s">
        <v>455</v>
      </c>
      <c r="H17" s="113">
        <v>620</v>
      </c>
      <c r="I17" s="113">
        <v>600</v>
      </c>
      <c r="J17" s="113">
        <v>1</v>
      </c>
      <c r="K17" s="123">
        <v>127.2</v>
      </c>
      <c r="L17" s="47" t="s">
        <v>370</v>
      </c>
    </row>
    <row r="18" spans="1:13" ht="20.100000000000001" customHeight="1">
      <c r="A18" s="113">
        <v>10</v>
      </c>
      <c r="B18" s="113" t="s">
        <v>456</v>
      </c>
      <c r="C18" s="113" t="s">
        <v>451</v>
      </c>
      <c r="D18" s="113" t="s">
        <v>457</v>
      </c>
      <c r="E18" s="113" t="s">
        <v>263</v>
      </c>
      <c r="F18" s="113" t="s">
        <v>453</v>
      </c>
      <c r="G18" s="113" t="s">
        <v>458</v>
      </c>
      <c r="H18" s="113">
        <v>555</v>
      </c>
      <c r="I18" s="113">
        <v>2378</v>
      </c>
      <c r="J18" s="113">
        <v>4</v>
      </c>
      <c r="K18" s="123">
        <v>221.58</v>
      </c>
      <c r="L18" s="47" t="s">
        <v>371</v>
      </c>
    </row>
    <row r="19" spans="1:13" ht="20.100000000000001" customHeight="1">
      <c r="A19" s="113">
        <v>11</v>
      </c>
      <c r="B19" s="113" t="s">
        <v>459</v>
      </c>
      <c r="C19" s="113" t="s">
        <v>430</v>
      </c>
      <c r="D19" s="113" t="s">
        <v>431</v>
      </c>
      <c r="E19" s="113" t="s">
        <v>461</v>
      </c>
      <c r="F19" s="113" t="s">
        <v>433</v>
      </c>
      <c r="G19" s="113" t="s">
        <v>460</v>
      </c>
      <c r="H19" s="113">
        <v>932</v>
      </c>
      <c r="I19" s="113">
        <v>618</v>
      </c>
      <c r="J19" s="113">
        <v>5</v>
      </c>
      <c r="K19" s="123">
        <f>46.81+16.15</f>
        <v>62.96</v>
      </c>
      <c r="L19" s="47" t="s">
        <v>372</v>
      </c>
    </row>
    <row r="20" spans="1:13">
      <c r="A20" s="113">
        <v>12</v>
      </c>
      <c r="B20" s="113" t="s">
        <v>462</v>
      </c>
      <c r="C20" s="113" t="s">
        <v>436</v>
      </c>
      <c r="D20" s="113" t="s">
        <v>437</v>
      </c>
      <c r="E20" s="113" t="s">
        <v>263</v>
      </c>
      <c r="F20" s="113" t="s">
        <v>433</v>
      </c>
      <c r="G20" s="113" t="s">
        <v>463</v>
      </c>
      <c r="H20" s="113">
        <v>1772</v>
      </c>
      <c r="I20" s="113">
        <v>2223</v>
      </c>
      <c r="J20" s="113">
        <v>2</v>
      </c>
      <c r="K20" s="123">
        <v>415.18</v>
      </c>
      <c r="L20" s="47" t="s">
        <v>386</v>
      </c>
    </row>
    <row r="21" spans="1:13" ht="20.100000000000001" customHeight="1">
      <c r="A21" s="113">
        <v>13</v>
      </c>
      <c r="B21" s="113" t="s">
        <v>464</v>
      </c>
      <c r="C21" s="113" t="s">
        <v>451</v>
      </c>
      <c r="D21" s="113" t="s">
        <v>465</v>
      </c>
      <c r="E21" s="113" t="s">
        <v>263</v>
      </c>
      <c r="F21" s="113" t="s">
        <v>466</v>
      </c>
      <c r="G21" s="113" t="s">
        <v>467</v>
      </c>
      <c r="H21" s="113">
        <v>543</v>
      </c>
      <c r="I21" s="113">
        <v>659</v>
      </c>
      <c r="J21" s="113">
        <v>1</v>
      </c>
      <c r="K21" s="123">
        <v>28.44</v>
      </c>
      <c r="L21" s="47" t="s">
        <v>387</v>
      </c>
    </row>
    <row r="22" spans="1:13" ht="20.100000000000001" customHeight="1">
      <c r="A22" s="113">
        <v>14</v>
      </c>
      <c r="B22" s="113" t="s">
        <v>468</v>
      </c>
      <c r="C22" s="113" t="s">
        <v>430</v>
      </c>
      <c r="D22" s="113" t="s">
        <v>431</v>
      </c>
      <c r="E22" s="113" t="s">
        <v>432</v>
      </c>
      <c r="F22" s="113" t="s">
        <v>433</v>
      </c>
      <c r="G22" s="113" t="s">
        <v>469</v>
      </c>
      <c r="H22" s="113">
        <v>2381</v>
      </c>
      <c r="I22" s="113">
        <v>1473</v>
      </c>
      <c r="J22" s="113">
        <v>2</v>
      </c>
      <c r="K22" s="123">
        <f>94+33.53</f>
        <v>127.53</v>
      </c>
      <c r="L22" s="47" t="s">
        <v>388</v>
      </c>
    </row>
    <row r="23" spans="1:13" ht="20.100000000000001" customHeight="1">
      <c r="A23" s="113">
        <v>15</v>
      </c>
      <c r="B23" s="113" t="s">
        <v>470</v>
      </c>
      <c r="C23" s="113" t="s">
        <v>451</v>
      </c>
      <c r="D23" s="113" t="s">
        <v>471</v>
      </c>
      <c r="E23" s="113" t="s">
        <v>263</v>
      </c>
      <c r="F23" s="113" t="s">
        <v>472</v>
      </c>
      <c r="G23" s="113" t="s">
        <v>473</v>
      </c>
      <c r="H23" s="113">
        <v>3737</v>
      </c>
      <c r="I23" s="113">
        <v>1981</v>
      </c>
      <c r="J23" s="113">
        <v>1</v>
      </c>
      <c r="K23" s="123">
        <v>637.27</v>
      </c>
      <c r="L23" s="47" t="s">
        <v>403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418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419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420</v>
      </c>
      <c r="M26" s="47" t="s">
        <v>421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30" sqref="O30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222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M900</v>
      </c>
      <c r="D4" s="118" t="str">
        <f>'BD Team'!D9</f>
        <v>3 TRACK 2 SHUTTER SLIDING WINDOW</v>
      </c>
      <c r="E4" s="118" t="str">
        <f>'BD Team'!F9</f>
        <v>SS</v>
      </c>
      <c r="F4" s="121" t="str">
        <f>'BD Team'!G9</f>
        <v>GF - POOJA ROOM</v>
      </c>
      <c r="G4" s="118">
        <f>'BD Team'!H9</f>
        <v>1430</v>
      </c>
      <c r="H4" s="118">
        <f>'BD Team'!I9</f>
        <v>630</v>
      </c>
      <c r="I4" s="118">
        <f>'BD Team'!J9</f>
        <v>1</v>
      </c>
      <c r="J4" s="103">
        <f t="shared" ref="J4:J53" si="0">G4*H4*I4*10.764/1000000</f>
        <v>9.6972875999999992</v>
      </c>
      <c r="K4" s="172">
        <f>'BD Team'!K9</f>
        <v>73.680000000000007</v>
      </c>
      <c r="L4" s="171">
        <f>K4*I4</f>
        <v>73.680000000000007</v>
      </c>
      <c r="M4" s="170">
        <f>L4*'Changable Values'!$D$4</f>
        <v>6115.4400000000005</v>
      </c>
      <c r="N4" s="170" t="str">
        <f>'BD Team'!E9</f>
        <v>20MM</v>
      </c>
      <c r="O4" s="172">
        <v>2604</v>
      </c>
      <c r="P4" s="241"/>
      <c r="Q4" s="173">
        <f>50*10.764</f>
        <v>538.19999999999993</v>
      </c>
      <c r="R4" s="185"/>
      <c r="S4" s="312"/>
      <c r="T4" s="313">
        <f>(G4+H4)*I4*2/300</f>
        <v>13.733333333333333</v>
      </c>
      <c r="U4" s="313">
        <f>SUM(G4:H4)*I4*2*4/1000</f>
        <v>16.48</v>
      </c>
      <c r="V4" s="313">
        <f>SUM(G4:H4)*I4*5*5*4/(1000*240)</f>
        <v>0.85833333333333328</v>
      </c>
      <c r="W4" s="313">
        <f>T4</f>
        <v>13.733333333333333</v>
      </c>
      <c r="X4" s="313">
        <f>W4*2</f>
        <v>27.466666666666665</v>
      </c>
      <c r="Y4" s="313">
        <f>SUM(G4:H4)*I4*4/1000</f>
        <v>8.24</v>
      </c>
    </row>
    <row r="5" spans="1:25">
      <c r="A5" s="118">
        <f>'BD Team'!A10</f>
        <v>2</v>
      </c>
      <c r="B5" s="118" t="str">
        <f>'BD Team'!B10</f>
        <v>W2</v>
      </c>
      <c r="C5" s="118" t="str">
        <f>'BD Team'!C10</f>
        <v>M14600</v>
      </c>
      <c r="D5" s="118" t="str">
        <f>'BD Team'!D10</f>
        <v>3 TRACK 2 SHUTTER SLIDING DOOR</v>
      </c>
      <c r="E5" s="118" t="str">
        <f>'BD Team'!F10</f>
        <v>SS</v>
      </c>
      <c r="F5" s="121" t="str">
        <f>'BD Team'!G10</f>
        <v>GF - DINING</v>
      </c>
      <c r="G5" s="118">
        <f>'BD Team'!H10</f>
        <v>2620</v>
      </c>
      <c r="H5" s="118">
        <f>'BD Team'!I10</f>
        <v>2210</v>
      </c>
      <c r="I5" s="118">
        <f>'BD Team'!J10</f>
        <v>1</v>
      </c>
      <c r="J5" s="103">
        <f t="shared" si="0"/>
        <v>62.325712799999998</v>
      </c>
      <c r="K5" s="172">
        <f>'BD Team'!K10</f>
        <v>459.17</v>
      </c>
      <c r="L5" s="171">
        <f t="shared" ref="L5:L53" si="1">K5*I5</f>
        <v>459.17</v>
      </c>
      <c r="M5" s="170">
        <f>L5*'Changable Values'!$D$4</f>
        <v>38111.11</v>
      </c>
      <c r="N5" s="170" t="str">
        <f>'BD Team'!E10</f>
        <v>24MM</v>
      </c>
      <c r="O5" s="172">
        <v>2938</v>
      </c>
      <c r="P5" s="241"/>
      <c r="Q5" s="173">
        <f t="shared" ref="Q5:Q11" si="2">50*10.764</f>
        <v>538.19999999999993</v>
      </c>
      <c r="R5" s="185"/>
      <c r="S5" s="312"/>
      <c r="T5" s="313">
        <f t="shared" ref="T5:T68" si="3">(G5+H5)*I5*2/300</f>
        <v>32.200000000000003</v>
      </c>
      <c r="U5" s="313">
        <f t="shared" ref="U5:U68" si="4">SUM(G5:H5)*I5*2*4/1000</f>
        <v>38.64</v>
      </c>
      <c r="V5" s="313">
        <f t="shared" ref="V5:V68" si="5">SUM(G5:H5)*I5*5*5*4/(1000*240)</f>
        <v>2.0125000000000002</v>
      </c>
      <c r="W5" s="313">
        <f t="shared" ref="W5:W68" si="6">T5</f>
        <v>32.200000000000003</v>
      </c>
      <c r="X5" s="313">
        <f t="shared" ref="X5:X68" si="7">W5*2</f>
        <v>64.400000000000006</v>
      </c>
      <c r="Y5" s="313">
        <f t="shared" ref="Y5:Y68" si="8">SUM(G5:H5)*I5*4/1000</f>
        <v>19.32</v>
      </c>
    </row>
    <row r="6" spans="1:25">
      <c r="A6" s="118">
        <f>'BD Team'!A11</f>
        <v>3</v>
      </c>
      <c r="B6" s="118" t="str">
        <f>'BD Team'!B11</f>
        <v>W3</v>
      </c>
      <c r="C6" s="118" t="str">
        <f>'BD Team'!C11</f>
        <v>M900</v>
      </c>
      <c r="D6" s="118" t="str">
        <f>'BD Team'!D11</f>
        <v>3 TRACK 2 SHUTTER SLIDING WINDOW</v>
      </c>
      <c r="E6" s="118" t="str">
        <f>'BD Team'!F11</f>
        <v>SS</v>
      </c>
      <c r="F6" s="121" t="str">
        <f>'BD Team'!G11</f>
        <v>GF - KITCHEN</v>
      </c>
      <c r="G6" s="118">
        <f>'BD Team'!H11</f>
        <v>2420</v>
      </c>
      <c r="H6" s="118">
        <f>'BD Team'!I11</f>
        <v>460</v>
      </c>
      <c r="I6" s="118">
        <f>'BD Team'!J11</f>
        <v>1</v>
      </c>
      <c r="J6" s="103">
        <f t="shared" si="0"/>
        <v>11.982484799999998</v>
      </c>
      <c r="K6" s="172">
        <f>'BD Team'!K11</f>
        <v>88.12</v>
      </c>
      <c r="L6" s="171">
        <f t="shared" si="1"/>
        <v>88.12</v>
      </c>
      <c r="M6" s="170">
        <f>L6*'Changable Values'!$D$4</f>
        <v>7313.96</v>
      </c>
      <c r="N6" s="170" t="str">
        <f>'BD Team'!E11</f>
        <v>20MM</v>
      </c>
      <c r="O6" s="172">
        <v>2604</v>
      </c>
      <c r="P6" s="241"/>
      <c r="Q6" s="173">
        <f t="shared" si="2"/>
        <v>538.19999999999993</v>
      </c>
      <c r="R6" s="185"/>
      <c r="S6" s="312"/>
      <c r="T6" s="313">
        <f t="shared" si="3"/>
        <v>19.2</v>
      </c>
      <c r="U6" s="313">
        <f t="shared" si="4"/>
        <v>23.04</v>
      </c>
      <c r="V6" s="313">
        <f t="shared" si="5"/>
        <v>1.2</v>
      </c>
      <c r="W6" s="313">
        <f t="shared" si="6"/>
        <v>19.2</v>
      </c>
      <c r="X6" s="313">
        <f t="shared" si="7"/>
        <v>38.4</v>
      </c>
      <c r="Y6" s="313">
        <f t="shared" si="8"/>
        <v>11.52</v>
      </c>
    </row>
    <row r="7" spans="1:25">
      <c r="A7" s="118">
        <f>'BD Team'!A12</f>
        <v>4</v>
      </c>
      <c r="B7" s="118" t="str">
        <f>'BD Team'!B12</f>
        <v>W4</v>
      </c>
      <c r="C7" s="118" t="str">
        <f>'BD Team'!C12</f>
        <v>M900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GF - STORE</v>
      </c>
      <c r="G7" s="118">
        <f>'BD Team'!H12</f>
        <v>925</v>
      </c>
      <c r="H7" s="118">
        <f>'BD Team'!I12</f>
        <v>600</v>
      </c>
      <c r="I7" s="118">
        <f>'BD Team'!J12</f>
        <v>1</v>
      </c>
      <c r="J7" s="103">
        <f t="shared" si="0"/>
        <v>5.9740200000000003</v>
      </c>
      <c r="K7" s="172">
        <f>'BD Team'!K12</f>
        <v>62.17</v>
      </c>
      <c r="L7" s="171">
        <f t="shared" si="1"/>
        <v>62.17</v>
      </c>
      <c r="M7" s="170">
        <f>L7*'Changable Values'!$D$4</f>
        <v>5160.1100000000006</v>
      </c>
      <c r="N7" s="170" t="str">
        <f>'BD Team'!E12</f>
        <v>20MM</v>
      </c>
      <c r="O7" s="172">
        <v>2604</v>
      </c>
      <c r="P7" s="241"/>
      <c r="Q7" s="173">
        <f t="shared" si="2"/>
        <v>538.19999999999993</v>
      </c>
      <c r="R7" s="185"/>
      <c r="S7" s="312"/>
      <c r="T7" s="313">
        <f t="shared" si="3"/>
        <v>10.166666666666666</v>
      </c>
      <c r="U7" s="313">
        <f t="shared" si="4"/>
        <v>12.2</v>
      </c>
      <c r="V7" s="313">
        <f t="shared" si="5"/>
        <v>0.63541666666666663</v>
      </c>
      <c r="W7" s="313">
        <f t="shared" si="6"/>
        <v>10.166666666666666</v>
      </c>
      <c r="X7" s="313">
        <f t="shared" si="7"/>
        <v>20.333333333333332</v>
      </c>
      <c r="Y7" s="313">
        <f t="shared" si="8"/>
        <v>6.1</v>
      </c>
    </row>
    <row r="8" spans="1:25">
      <c r="A8" s="118">
        <f>'BD Team'!A13</f>
        <v>5</v>
      </c>
      <c r="B8" s="118" t="str">
        <f>'BD Team'!B13</f>
        <v>W5</v>
      </c>
      <c r="C8" s="118" t="str">
        <f>'BD Team'!C13</f>
        <v>M900</v>
      </c>
      <c r="D8" s="118" t="str">
        <f>'BD Team'!D13</f>
        <v>3 TRACK 2 SHUTTER SLIDING WINDOW</v>
      </c>
      <c r="E8" s="118" t="str">
        <f>'BD Team'!F13</f>
        <v>SS</v>
      </c>
      <c r="F8" s="121" t="str">
        <f>'BD Team'!G13</f>
        <v>GF - GUEST BEDROOM</v>
      </c>
      <c r="G8" s="118">
        <f>'BD Team'!H13</f>
        <v>1829</v>
      </c>
      <c r="H8" s="118">
        <f>'BD Team'!I13</f>
        <v>609</v>
      </c>
      <c r="I8" s="118">
        <f>'BD Team'!J13</f>
        <v>2</v>
      </c>
      <c r="J8" s="103">
        <f t="shared" si="0"/>
        <v>23.979199607999998</v>
      </c>
      <c r="K8" s="172">
        <f>'BD Team'!K13</f>
        <v>81.19</v>
      </c>
      <c r="L8" s="171">
        <f t="shared" si="1"/>
        <v>162.38</v>
      </c>
      <c r="M8" s="170">
        <f>L8*'Changable Values'!$D$4</f>
        <v>13477.539999999999</v>
      </c>
      <c r="N8" s="170" t="str">
        <f>'BD Team'!E13</f>
        <v>20MM</v>
      </c>
      <c r="O8" s="172">
        <v>2604</v>
      </c>
      <c r="P8" s="241"/>
      <c r="Q8" s="173">
        <f t="shared" si="2"/>
        <v>538.19999999999993</v>
      </c>
      <c r="R8" s="185"/>
      <c r="S8" s="312"/>
      <c r="T8" s="313">
        <f t="shared" si="3"/>
        <v>32.506666666666668</v>
      </c>
      <c r="U8" s="313">
        <f t="shared" si="4"/>
        <v>39.008000000000003</v>
      </c>
      <c r="V8" s="313">
        <f t="shared" si="5"/>
        <v>2.0316666666666667</v>
      </c>
      <c r="W8" s="313">
        <f t="shared" si="6"/>
        <v>32.506666666666668</v>
      </c>
      <c r="X8" s="313">
        <f t="shared" si="7"/>
        <v>65.013333333333335</v>
      </c>
      <c r="Y8" s="313">
        <f t="shared" si="8"/>
        <v>19.504000000000001</v>
      </c>
    </row>
    <row r="9" spans="1:25">
      <c r="A9" s="118">
        <f>'BD Team'!A14</f>
        <v>6</v>
      </c>
      <c r="B9" s="118" t="str">
        <f>'BD Team'!B14</f>
        <v>W6</v>
      </c>
      <c r="C9" s="118" t="str">
        <f>'BD Team'!C14</f>
        <v>M900</v>
      </c>
      <c r="D9" s="118" t="str">
        <f>'BD Team'!D14</f>
        <v>3 TRACK 2 SHUTTER SLIDING WINDOW</v>
      </c>
      <c r="E9" s="118" t="str">
        <f>'BD Team'!F14</f>
        <v>SS</v>
      </c>
      <c r="F9" s="121" t="str">
        <f>'BD Team'!G14</f>
        <v>GF - GBR, 1F - BR &amp; MBR</v>
      </c>
      <c r="G9" s="118">
        <f>'BD Team'!H14</f>
        <v>1317</v>
      </c>
      <c r="H9" s="118">
        <f>'BD Team'!I14</f>
        <v>1473</v>
      </c>
      <c r="I9" s="118">
        <f>'BD Team'!J14</f>
        <v>5</v>
      </c>
      <c r="J9" s="103">
        <f t="shared" si="0"/>
        <v>104.40762461999999</v>
      </c>
      <c r="K9" s="172">
        <f>'BD Team'!K14</f>
        <v>101.41</v>
      </c>
      <c r="L9" s="171">
        <f t="shared" si="1"/>
        <v>507.04999999999995</v>
      </c>
      <c r="M9" s="170">
        <f>L9*'Changable Values'!$D$4</f>
        <v>42085.149999999994</v>
      </c>
      <c r="N9" s="170" t="str">
        <f>'BD Team'!E14</f>
        <v>20MM</v>
      </c>
      <c r="O9" s="172">
        <v>2604</v>
      </c>
      <c r="P9" s="241"/>
      <c r="Q9" s="173">
        <f t="shared" si="2"/>
        <v>538.19999999999993</v>
      </c>
      <c r="R9" s="185"/>
      <c r="S9" s="312"/>
      <c r="T9" s="313">
        <f t="shared" si="3"/>
        <v>93</v>
      </c>
      <c r="U9" s="313">
        <f t="shared" si="4"/>
        <v>111.6</v>
      </c>
      <c r="V9" s="313">
        <f t="shared" si="5"/>
        <v>5.8125</v>
      </c>
      <c r="W9" s="313">
        <f t="shared" si="6"/>
        <v>93</v>
      </c>
      <c r="X9" s="313">
        <f t="shared" si="7"/>
        <v>186</v>
      </c>
      <c r="Y9" s="313">
        <f t="shared" si="8"/>
        <v>55.8</v>
      </c>
    </row>
    <row r="10" spans="1:25">
      <c r="A10" s="118">
        <f>'BD Team'!A15</f>
        <v>7</v>
      </c>
      <c r="B10" s="118" t="str">
        <f>'BD Team'!B15</f>
        <v>W8</v>
      </c>
      <c r="C10" s="118" t="str">
        <f>'BD Team'!C15</f>
        <v>M14600</v>
      </c>
      <c r="D10" s="118" t="str">
        <f>'BD Team'!D15</f>
        <v>3 TRACK 2 SHUTTER SLIDING DOOR</v>
      </c>
      <c r="E10" s="118" t="str">
        <f>'BD Team'!F15</f>
        <v>SS</v>
      </c>
      <c r="F10" s="121" t="str">
        <f>'BD Team'!G15</f>
        <v>GF - LIVING</v>
      </c>
      <c r="G10" s="118">
        <f>'BD Team'!H15</f>
        <v>2305</v>
      </c>
      <c r="H10" s="118">
        <f>'BD Team'!I15</f>
        <v>2330</v>
      </c>
      <c r="I10" s="118">
        <f>'BD Team'!J15</f>
        <v>1</v>
      </c>
      <c r="J10" s="103">
        <f t="shared" si="0"/>
        <v>57.809676599999996</v>
      </c>
      <c r="K10" s="172">
        <f>'BD Team'!K15</f>
        <v>452.01</v>
      </c>
      <c r="L10" s="171">
        <f t="shared" si="1"/>
        <v>452.01</v>
      </c>
      <c r="M10" s="170">
        <f>L10*'Changable Values'!$D$4</f>
        <v>37516.83</v>
      </c>
      <c r="N10" s="170" t="str">
        <f>'BD Team'!E15</f>
        <v>24MM</v>
      </c>
      <c r="O10" s="172">
        <v>2938</v>
      </c>
      <c r="P10" s="241"/>
      <c r="Q10" s="173">
        <f t="shared" si="2"/>
        <v>538.19999999999993</v>
      </c>
      <c r="R10" s="185"/>
      <c r="S10" s="312"/>
      <c r="T10" s="313">
        <f t="shared" si="3"/>
        <v>30.9</v>
      </c>
      <c r="U10" s="313">
        <f t="shared" si="4"/>
        <v>37.08</v>
      </c>
      <c r="V10" s="313">
        <f t="shared" si="5"/>
        <v>1.9312499999999999</v>
      </c>
      <c r="W10" s="313">
        <f t="shared" si="6"/>
        <v>30.9</v>
      </c>
      <c r="X10" s="313">
        <f t="shared" si="7"/>
        <v>61.8</v>
      </c>
      <c r="Y10" s="313">
        <f t="shared" si="8"/>
        <v>18.54</v>
      </c>
    </row>
    <row r="11" spans="1:25">
      <c r="A11" s="118">
        <f>'BD Team'!A16</f>
        <v>8</v>
      </c>
      <c r="B11" s="118" t="str">
        <f>'BD Team'!B16</f>
        <v>W7</v>
      </c>
      <c r="C11" s="118" t="str">
        <f>'BD Team'!C16</f>
        <v>M900</v>
      </c>
      <c r="D11" s="118" t="str">
        <f>'BD Team'!D16</f>
        <v>3 TRACK 2 SHUTTER SLIDING WINDOW</v>
      </c>
      <c r="E11" s="118" t="str">
        <f>'BD Team'!F16</f>
        <v>SS</v>
      </c>
      <c r="F11" s="121" t="str">
        <f>'BD Team'!G16</f>
        <v>GF - LIVING</v>
      </c>
      <c r="G11" s="118">
        <f>'BD Team'!H16</f>
        <v>1550</v>
      </c>
      <c r="H11" s="118">
        <f>'BD Team'!I16</f>
        <v>1917</v>
      </c>
      <c r="I11" s="118">
        <f>'BD Team'!J16</f>
        <v>2</v>
      </c>
      <c r="J11" s="103">
        <f t="shared" si="0"/>
        <v>63.967222799999995</v>
      </c>
      <c r="K11" s="172">
        <f>'BD Team'!K16</f>
        <v>126.15</v>
      </c>
      <c r="L11" s="171">
        <f t="shared" si="1"/>
        <v>252.3</v>
      </c>
      <c r="M11" s="170">
        <f>L11*'Changable Values'!$D$4</f>
        <v>20940.900000000001</v>
      </c>
      <c r="N11" s="170" t="str">
        <f>'BD Team'!E16</f>
        <v>20MM</v>
      </c>
      <c r="O11" s="172">
        <v>2604</v>
      </c>
      <c r="P11" s="241"/>
      <c r="Q11" s="173">
        <f t="shared" si="2"/>
        <v>538.19999999999993</v>
      </c>
      <c r="R11" s="185"/>
      <c r="S11" s="312"/>
      <c r="T11" s="313">
        <f t="shared" si="3"/>
        <v>46.226666666666667</v>
      </c>
      <c r="U11" s="313">
        <f t="shared" si="4"/>
        <v>55.472000000000001</v>
      </c>
      <c r="V11" s="313">
        <f t="shared" si="5"/>
        <v>2.8891666666666667</v>
      </c>
      <c r="W11" s="313">
        <f t="shared" si="6"/>
        <v>46.226666666666667</v>
      </c>
      <c r="X11" s="313">
        <f t="shared" si="7"/>
        <v>92.453333333333333</v>
      </c>
      <c r="Y11" s="313">
        <f t="shared" si="8"/>
        <v>27.736000000000001</v>
      </c>
    </row>
    <row r="12" spans="1:25">
      <c r="A12" s="118">
        <f>'BD Team'!A17</f>
        <v>9</v>
      </c>
      <c r="B12" s="118" t="str">
        <f>'BD Team'!B17</f>
        <v>W9</v>
      </c>
      <c r="C12" s="118" t="str">
        <f>'BD Team'!C17</f>
        <v>M15000</v>
      </c>
      <c r="D12" s="118" t="str">
        <f>'BD Team'!D17</f>
        <v>TOP HUNG WINDOW</v>
      </c>
      <c r="E12" s="118" t="str">
        <f>'BD Team'!F17</f>
        <v>ROLL UP</v>
      </c>
      <c r="F12" s="121" t="str">
        <f>'BD Team'!G17</f>
        <v>GF - POWDER ROOM</v>
      </c>
      <c r="G12" s="118">
        <f>'BD Team'!H17</f>
        <v>620</v>
      </c>
      <c r="H12" s="118">
        <f>'BD Team'!I17</f>
        <v>600</v>
      </c>
      <c r="I12" s="118">
        <f>'BD Team'!J17</f>
        <v>1</v>
      </c>
      <c r="J12" s="103">
        <f t="shared" si="0"/>
        <v>4.0042079999999993</v>
      </c>
      <c r="K12" s="172">
        <f>'BD Team'!K17</f>
        <v>127.2</v>
      </c>
      <c r="L12" s="171">
        <f t="shared" si="1"/>
        <v>127.2</v>
      </c>
      <c r="M12" s="170">
        <f>L12*'Changable Values'!$D$4</f>
        <v>10557.6</v>
      </c>
      <c r="N12" s="170" t="str">
        <f>'BD Team'!E17</f>
        <v>24MM (F)</v>
      </c>
      <c r="O12" s="172">
        <v>3940</v>
      </c>
      <c r="P12" s="241"/>
      <c r="Q12" s="173"/>
      <c r="R12" s="185">
        <f>2000*10.764</f>
        <v>21528</v>
      </c>
      <c r="S12" s="312"/>
      <c r="T12" s="313">
        <f t="shared" si="3"/>
        <v>8.1333333333333329</v>
      </c>
      <c r="U12" s="313">
        <f t="shared" si="4"/>
        <v>9.76</v>
      </c>
      <c r="V12" s="313">
        <f t="shared" si="5"/>
        <v>0.5083333333333333</v>
      </c>
      <c r="W12" s="313">
        <f t="shared" si="6"/>
        <v>8.1333333333333329</v>
      </c>
      <c r="X12" s="313">
        <f t="shared" si="7"/>
        <v>16.266666666666666</v>
      </c>
      <c r="Y12" s="313">
        <f t="shared" si="8"/>
        <v>4.88</v>
      </c>
    </row>
    <row r="13" spans="1:25">
      <c r="A13" s="118">
        <f>'BD Team'!A18</f>
        <v>10</v>
      </c>
      <c r="B13" s="118" t="str">
        <f>'BD Team'!B18</f>
        <v>W10</v>
      </c>
      <c r="C13" s="118" t="str">
        <f>'BD Team'!C18</f>
        <v>M15000</v>
      </c>
      <c r="D13" s="118" t="str">
        <f>'BD Team'!D18</f>
        <v>TOP HUNG WINDOW WITH BOTTOM FIXED</v>
      </c>
      <c r="E13" s="118" t="str">
        <f>'BD Team'!F18</f>
        <v>ROLL UP</v>
      </c>
      <c r="F13" s="121" t="str">
        <f>'BD Team'!G18</f>
        <v>STAIRCASE</v>
      </c>
      <c r="G13" s="118">
        <f>'BD Team'!H18</f>
        <v>555</v>
      </c>
      <c r="H13" s="118">
        <f>'BD Team'!I18</f>
        <v>2378</v>
      </c>
      <c r="I13" s="118">
        <f>'BD Team'!J18</f>
        <v>4</v>
      </c>
      <c r="J13" s="103">
        <f t="shared" si="0"/>
        <v>56.824878239999997</v>
      </c>
      <c r="K13" s="172">
        <f>'BD Team'!K18</f>
        <v>221.58</v>
      </c>
      <c r="L13" s="171">
        <f t="shared" si="1"/>
        <v>886.32</v>
      </c>
      <c r="M13" s="170">
        <f>L13*'Changable Values'!$D$4</f>
        <v>73564.56</v>
      </c>
      <c r="N13" s="170" t="str">
        <f>'BD Team'!E18</f>
        <v>24MM</v>
      </c>
      <c r="O13" s="172">
        <v>2938</v>
      </c>
      <c r="P13" s="241"/>
      <c r="Q13" s="173"/>
      <c r="R13" s="185">
        <f>1000*10.764</f>
        <v>10764</v>
      </c>
      <c r="S13" s="312"/>
      <c r="T13" s="313">
        <f t="shared" si="3"/>
        <v>78.213333333333338</v>
      </c>
      <c r="U13" s="313">
        <f t="shared" si="4"/>
        <v>93.855999999999995</v>
      </c>
      <c r="V13" s="313">
        <f t="shared" si="5"/>
        <v>4.8883333333333336</v>
      </c>
      <c r="W13" s="313">
        <f t="shared" si="6"/>
        <v>78.213333333333338</v>
      </c>
      <c r="X13" s="313">
        <f t="shared" si="7"/>
        <v>156.42666666666668</v>
      </c>
      <c r="Y13" s="313">
        <f t="shared" si="8"/>
        <v>46.927999999999997</v>
      </c>
    </row>
    <row r="14" spans="1:25">
      <c r="A14" s="118">
        <f>'BD Team'!A19</f>
        <v>11</v>
      </c>
      <c r="B14" s="118" t="str">
        <f>'BD Team'!B19</f>
        <v>W11</v>
      </c>
      <c r="C14" s="118" t="str">
        <f>'BD Team'!C19</f>
        <v>M900</v>
      </c>
      <c r="D14" s="118" t="str">
        <f>'BD Team'!D19</f>
        <v>3 TRACK 2 SHUTTER SLIDING WINDOW</v>
      </c>
      <c r="E14" s="118" t="str">
        <f>'BD Team'!F19</f>
        <v>SS</v>
      </c>
      <c r="F14" s="121" t="str">
        <f>'BD Team'!G19</f>
        <v>TOILETS</v>
      </c>
      <c r="G14" s="118">
        <f>'BD Team'!H19</f>
        <v>932</v>
      </c>
      <c r="H14" s="118">
        <f>'BD Team'!I19</f>
        <v>618</v>
      </c>
      <c r="I14" s="118">
        <f>'BD Team'!J19</f>
        <v>5</v>
      </c>
      <c r="J14" s="103">
        <f t="shared" si="0"/>
        <v>30.999028319999997</v>
      </c>
      <c r="K14" s="172">
        <f>'BD Team'!K19</f>
        <v>62.96</v>
      </c>
      <c r="L14" s="171">
        <f t="shared" si="1"/>
        <v>314.8</v>
      </c>
      <c r="M14" s="170">
        <f>L14*'Changable Values'!$D$4</f>
        <v>26128.400000000001</v>
      </c>
      <c r="N14" s="170" t="str">
        <f>'BD Team'!E19</f>
        <v>20MM (F)</v>
      </c>
      <c r="O14" s="172">
        <v>3606</v>
      </c>
      <c r="P14" s="241"/>
      <c r="Q14" s="173">
        <f t="shared" ref="Q14:Q15" si="9">50*10.764</f>
        <v>538.19999999999993</v>
      </c>
      <c r="R14" s="185"/>
      <c r="S14" s="312"/>
      <c r="T14" s="313">
        <f t="shared" si="3"/>
        <v>51.666666666666664</v>
      </c>
      <c r="U14" s="313">
        <f t="shared" si="4"/>
        <v>62</v>
      </c>
      <c r="V14" s="313">
        <f t="shared" si="5"/>
        <v>3.2291666666666665</v>
      </c>
      <c r="W14" s="313">
        <f t="shared" si="6"/>
        <v>51.666666666666664</v>
      </c>
      <c r="X14" s="313">
        <f t="shared" si="7"/>
        <v>103.33333333333333</v>
      </c>
      <c r="Y14" s="313">
        <f t="shared" si="8"/>
        <v>31</v>
      </c>
    </row>
    <row r="15" spans="1:25">
      <c r="A15" s="118">
        <f>'BD Team'!A20</f>
        <v>12</v>
      </c>
      <c r="B15" s="118" t="str">
        <f>'BD Team'!B20</f>
        <v>W12</v>
      </c>
      <c r="C15" s="118" t="str">
        <f>'BD Team'!C20</f>
        <v>M14600</v>
      </c>
      <c r="D15" s="118" t="str">
        <f>'BD Team'!D20</f>
        <v>3 TRACK 2 SHUTTER SLIDING DOOR</v>
      </c>
      <c r="E15" s="118" t="str">
        <f>'BD Team'!F20</f>
        <v>SS</v>
      </c>
      <c r="F15" s="121" t="str">
        <f>'BD Team'!G20</f>
        <v>1F - FAMILY</v>
      </c>
      <c r="G15" s="118">
        <f>'BD Team'!H20</f>
        <v>1772</v>
      </c>
      <c r="H15" s="118">
        <f>'BD Team'!I20</f>
        <v>2223</v>
      </c>
      <c r="I15" s="118">
        <f>'BD Team'!J20</f>
        <v>2</v>
      </c>
      <c r="J15" s="103">
        <f t="shared" si="0"/>
        <v>84.802150368</v>
      </c>
      <c r="K15" s="172">
        <f>'BD Team'!K20</f>
        <v>415.18</v>
      </c>
      <c r="L15" s="171">
        <f t="shared" si="1"/>
        <v>830.36</v>
      </c>
      <c r="M15" s="170">
        <f>L15*'Changable Values'!$D$4</f>
        <v>68919.88</v>
      </c>
      <c r="N15" s="170" t="str">
        <f>'BD Team'!E20</f>
        <v>24MM</v>
      </c>
      <c r="O15" s="172">
        <v>2938</v>
      </c>
      <c r="P15" s="241"/>
      <c r="Q15" s="173">
        <f t="shared" si="9"/>
        <v>538.19999999999993</v>
      </c>
      <c r="R15" s="185"/>
      <c r="S15" s="312"/>
      <c r="T15" s="313">
        <f t="shared" si="3"/>
        <v>53.266666666666666</v>
      </c>
      <c r="U15" s="313">
        <f t="shared" si="4"/>
        <v>63.92</v>
      </c>
      <c r="V15" s="313">
        <f t="shared" si="5"/>
        <v>3.3291666666666666</v>
      </c>
      <c r="W15" s="313">
        <f t="shared" si="6"/>
        <v>53.266666666666666</v>
      </c>
      <c r="X15" s="313">
        <f t="shared" si="7"/>
        <v>106.53333333333333</v>
      </c>
      <c r="Y15" s="313">
        <f t="shared" si="8"/>
        <v>31.96</v>
      </c>
    </row>
    <row r="16" spans="1:25">
      <c r="A16" s="118">
        <f>'BD Team'!A21</f>
        <v>13</v>
      </c>
      <c r="B16" s="118" t="str">
        <f>'BD Team'!B21</f>
        <v>W13</v>
      </c>
      <c r="C16" s="118" t="str">
        <f>'BD Team'!C21</f>
        <v>M15000</v>
      </c>
      <c r="D16" s="118" t="str">
        <f>'BD Team'!D21</f>
        <v>FIXED GLASS</v>
      </c>
      <c r="E16" s="118" t="str">
        <f>'BD Team'!F21</f>
        <v>NO</v>
      </c>
      <c r="F16" s="121" t="str">
        <f>'BD Team'!G21</f>
        <v>1F - STAIRCASE</v>
      </c>
      <c r="G16" s="118">
        <f>'BD Team'!H21</f>
        <v>543</v>
      </c>
      <c r="H16" s="118">
        <f>'BD Team'!I21</f>
        <v>659</v>
      </c>
      <c r="I16" s="118">
        <f>'BD Team'!J21</f>
        <v>1</v>
      </c>
      <c r="J16" s="103">
        <f t="shared" si="0"/>
        <v>3.8517574679999997</v>
      </c>
      <c r="K16" s="172">
        <f>'BD Team'!K21</f>
        <v>28.44</v>
      </c>
      <c r="L16" s="171">
        <f t="shared" si="1"/>
        <v>28.44</v>
      </c>
      <c r="M16" s="170">
        <f>L16*'Changable Values'!$D$4</f>
        <v>2360.52</v>
      </c>
      <c r="N16" s="170" t="str">
        <f>'BD Team'!E21</f>
        <v>24MM</v>
      </c>
      <c r="O16" s="172">
        <v>2938</v>
      </c>
      <c r="P16" s="241"/>
      <c r="Q16" s="173"/>
      <c r="R16" s="185"/>
      <c r="S16" s="312"/>
      <c r="T16" s="313">
        <f t="shared" si="3"/>
        <v>8.0133333333333336</v>
      </c>
      <c r="U16" s="313">
        <f t="shared" si="4"/>
        <v>9.6159999999999997</v>
      </c>
      <c r="V16" s="313">
        <f t="shared" si="5"/>
        <v>0.50083333333333335</v>
      </c>
      <c r="W16" s="313">
        <f t="shared" si="6"/>
        <v>8.0133333333333336</v>
      </c>
      <c r="X16" s="313">
        <f t="shared" si="7"/>
        <v>16.026666666666667</v>
      </c>
      <c r="Y16" s="313">
        <f t="shared" si="8"/>
        <v>4.8079999999999998</v>
      </c>
    </row>
    <row r="17" spans="1:25">
      <c r="A17" s="118">
        <f>'BD Team'!A22</f>
        <v>14</v>
      </c>
      <c r="B17" s="118" t="str">
        <f>'BD Team'!B22</f>
        <v>W14</v>
      </c>
      <c r="C17" s="118" t="str">
        <f>'BD Team'!C22</f>
        <v>M900</v>
      </c>
      <c r="D17" s="118" t="str">
        <f>'BD Team'!D22</f>
        <v>3 TRACK 2 SHUTTER SLIDING WINDOW</v>
      </c>
      <c r="E17" s="118" t="str">
        <f>'BD Team'!F22</f>
        <v>SS</v>
      </c>
      <c r="F17" s="121" t="str">
        <f>'BD Team'!G22</f>
        <v>1F - GYM &amp; LIVING</v>
      </c>
      <c r="G17" s="118">
        <f>'BD Team'!H22</f>
        <v>2381</v>
      </c>
      <c r="H17" s="118">
        <f>'BD Team'!I22</f>
        <v>1473</v>
      </c>
      <c r="I17" s="118">
        <f>'BD Team'!J22</f>
        <v>2</v>
      </c>
      <c r="J17" s="103">
        <f t="shared" si="0"/>
        <v>75.503281463999997</v>
      </c>
      <c r="K17" s="172">
        <f>'BD Team'!K22</f>
        <v>127.53</v>
      </c>
      <c r="L17" s="171">
        <f t="shared" si="1"/>
        <v>255.06</v>
      </c>
      <c r="M17" s="170">
        <f>L17*'Changable Values'!$D$4</f>
        <v>21169.98</v>
      </c>
      <c r="N17" s="170" t="str">
        <f>'BD Team'!E22</f>
        <v>20MM</v>
      </c>
      <c r="O17" s="172">
        <v>2604</v>
      </c>
      <c r="P17" s="241"/>
      <c r="Q17" s="173">
        <f>50*10.764</f>
        <v>538.19999999999993</v>
      </c>
      <c r="R17" s="185"/>
      <c r="S17" s="312"/>
      <c r="T17" s="313">
        <f t="shared" si="3"/>
        <v>51.386666666666663</v>
      </c>
      <c r="U17" s="313">
        <f t="shared" si="4"/>
        <v>61.664000000000001</v>
      </c>
      <c r="V17" s="313">
        <f t="shared" si="5"/>
        <v>3.2116666666666664</v>
      </c>
      <c r="W17" s="313">
        <f t="shared" si="6"/>
        <v>51.386666666666663</v>
      </c>
      <c r="X17" s="313">
        <f t="shared" si="7"/>
        <v>102.77333333333333</v>
      </c>
      <c r="Y17" s="313">
        <f t="shared" si="8"/>
        <v>30.832000000000001</v>
      </c>
    </row>
    <row r="18" spans="1:25">
      <c r="A18" s="118">
        <f>'BD Team'!A23</f>
        <v>15</v>
      </c>
      <c r="B18" s="118" t="str">
        <f>'BD Team'!B23</f>
        <v>W15</v>
      </c>
      <c r="C18" s="118" t="str">
        <f>'BD Team'!C23</f>
        <v>M15000</v>
      </c>
      <c r="D18" s="118" t="str">
        <f>'BD Team'!D23</f>
        <v>2 SIDE HUNG DOORS WITH CORNOR FIXED</v>
      </c>
      <c r="E18" s="118" t="str">
        <f>'BD Team'!F23</f>
        <v>RETRACTABLE</v>
      </c>
      <c r="F18" s="121" t="str">
        <f>'BD Team'!G23</f>
        <v>1F - DAUGHTER BEDROOM</v>
      </c>
      <c r="G18" s="118">
        <f>'BD Team'!H23</f>
        <v>3737</v>
      </c>
      <c r="H18" s="118">
        <f>'BD Team'!I23</f>
        <v>1981</v>
      </c>
      <c r="I18" s="118">
        <f>'BD Team'!J23</f>
        <v>1</v>
      </c>
      <c r="J18" s="103">
        <f t="shared" si="0"/>
        <v>79.685859707999995</v>
      </c>
      <c r="K18" s="172">
        <f>'BD Team'!K23</f>
        <v>637.27</v>
      </c>
      <c r="L18" s="171">
        <f t="shared" si="1"/>
        <v>637.27</v>
      </c>
      <c r="M18" s="170">
        <f>L18*'Changable Values'!$D$4</f>
        <v>52893.409999999996</v>
      </c>
      <c r="N18" s="170" t="str">
        <f>'BD Team'!E23</f>
        <v>24MM</v>
      </c>
      <c r="O18" s="172">
        <v>2938</v>
      </c>
      <c r="P18" s="241"/>
      <c r="Q18" s="173"/>
      <c r="R18" s="185">
        <f>400*10.764</f>
        <v>4305.5999999999995</v>
      </c>
      <c r="S18" s="312"/>
      <c r="T18" s="313">
        <f t="shared" si="3"/>
        <v>38.119999999999997</v>
      </c>
      <c r="U18" s="313">
        <f t="shared" si="4"/>
        <v>45.744</v>
      </c>
      <c r="V18" s="313">
        <f t="shared" si="5"/>
        <v>2.3824999999999998</v>
      </c>
      <c r="W18" s="313">
        <f t="shared" si="6"/>
        <v>38.119999999999997</v>
      </c>
      <c r="X18" s="313">
        <f t="shared" si="7"/>
        <v>76.239999999999995</v>
      </c>
      <c r="Y18" s="313">
        <f t="shared" si="8"/>
        <v>22.872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3"/>
        <v>0</v>
      </c>
      <c r="U19" s="313">
        <f t="shared" si="4"/>
        <v>0</v>
      </c>
      <c r="V19" s="313">
        <f t="shared" si="5"/>
        <v>0</v>
      </c>
      <c r="W19" s="313">
        <f t="shared" si="6"/>
        <v>0</v>
      </c>
      <c r="X19" s="313">
        <f t="shared" si="7"/>
        <v>0</v>
      </c>
      <c r="Y19" s="313">
        <f t="shared" si="8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3"/>
        <v>0</v>
      </c>
      <c r="U20" s="313">
        <f t="shared" si="4"/>
        <v>0</v>
      </c>
      <c r="V20" s="313">
        <f t="shared" si="5"/>
        <v>0</v>
      </c>
      <c r="W20" s="313">
        <f t="shared" si="6"/>
        <v>0</v>
      </c>
      <c r="X20" s="313">
        <f t="shared" si="7"/>
        <v>0</v>
      </c>
      <c r="Y20" s="313">
        <f t="shared" si="8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3"/>
        <v>0</v>
      </c>
      <c r="U21" s="313">
        <f t="shared" si="4"/>
        <v>0</v>
      </c>
      <c r="V21" s="313">
        <f t="shared" si="5"/>
        <v>0</v>
      </c>
      <c r="W21" s="313">
        <f t="shared" si="6"/>
        <v>0</v>
      </c>
      <c r="X21" s="313">
        <f t="shared" si="7"/>
        <v>0</v>
      </c>
      <c r="Y21" s="313">
        <f t="shared" si="8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3"/>
        <v>0</v>
      </c>
      <c r="U22" s="313">
        <f t="shared" si="4"/>
        <v>0</v>
      </c>
      <c r="V22" s="313">
        <f t="shared" si="5"/>
        <v>0</v>
      </c>
      <c r="W22" s="313">
        <f t="shared" si="6"/>
        <v>0</v>
      </c>
      <c r="X22" s="313">
        <f t="shared" si="7"/>
        <v>0</v>
      </c>
      <c r="Y22" s="313">
        <f t="shared" si="8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3"/>
        <v>0</v>
      </c>
      <c r="U23" s="313">
        <f t="shared" si="4"/>
        <v>0</v>
      </c>
      <c r="V23" s="313">
        <f t="shared" si="5"/>
        <v>0</v>
      </c>
      <c r="W23" s="313">
        <f t="shared" si="6"/>
        <v>0</v>
      </c>
      <c r="X23" s="313">
        <f t="shared" si="7"/>
        <v>0</v>
      </c>
      <c r="Y23" s="313">
        <f t="shared" si="8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3"/>
        <v>0</v>
      </c>
      <c r="U24" s="313">
        <f t="shared" si="4"/>
        <v>0</v>
      </c>
      <c r="V24" s="313">
        <f t="shared" si="5"/>
        <v>0</v>
      </c>
      <c r="W24" s="313">
        <f t="shared" si="6"/>
        <v>0</v>
      </c>
      <c r="X24" s="313">
        <f t="shared" si="7"/>
        <v>0</v>
      </c>
      <c r="Y24" s="313">
        <f t="shared" si="8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3"/>
        <v>0</v>
      </c>
      <c r="U25" s="313">
        <f t="shared" si="4"/>
        <v>0</v>
      </c>
      <c r="V25" s="313">
        <f t="shared" si="5"/>
        <v>0</v>
      </c>
      <c r="W25" s="313">
        <f t="shared" si="6"/>
        <v>0</v>
      </c>
      <c r="X25" s="313">
        <f t="shared" si="7"/>
        <v>0</v>
      </c>
      <c r="Y25" s="313">
        <f t="shared" si="8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3"/>
        <v>0</v>
      </c>
      <c r="U26" s="313">
        <f t="shared" si="4"/>
        <v>0</v>
      </c>
      <c r="V26" s="313">
        <f t="shared" si="5"/>
        <v>0</v>
      </c>
      <c r="W26" s="313">
        <f t="shared" si="6"/>
        <v>0</v>
      </c>
      <c r="X26" s="313">
        <f t="shared" si="7"/>
        <v>0</v>
      </c>
      <c r="Y26" s="313">
        <f t="shared" si="8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3"/>
        <v>0</v>
      </c>
      <c r="U27" s="313">
        <f t="shared" si="4"/>
        <v>0</v>
      </c>
      <c r="V27" s="313">
        <f t="shared" si="5"/>
        <v>0</v>
      </c>
      <c r="W27" s="313">
        <f t="shared" si="6"/>
        <v>0</v>
      </c>
      <c r="X27" s="313">
        <f t="shared" si="7"/>
        <v>0</v>
      </c>
      <c r="Y27" s="313">
        <f t="shared" si="8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3"/>
        <v>0</v>
      </c>
      <c r="U28" s="313">
        <f t="shared" si="4"/>
        <v>0</v>
      </c>
      <c r="V28" s="313">
        <f t="shared" si="5"/>
        <v>0</v>
      </c>
      <c r="W28" s="313">
        <f t="shared" si="6"/>
        <v>0</v>
      </c>
      <c r="X28" s="313">
        <f t="shared" si="7"/>
        <v>0</v>
      </c>
      <c r="Y28" s="313">
        <f t="shared" si="8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3"/>
        <v>0</v>
      </c>
      <c r="U29" s="313">
        <f t="shared" si="4"/>
        <v>0</v>
      </c>
      <c r="V29" s="313">
        <f t="shared" si="5"/>
        <v>0</v>
      </c>
      <c r="W29" s="313">
        <f t="shared" si="6"/>
        <v>0</v>
      </c>
      <c r="X29" s="313">
        <f t="shared" si="7"/>
        <v>0</v>
      </c>
      <c r="Y29" s="313">
        <f t="shared" si="8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3"/>
        <v>0</v>
      </c>
      <c r="U30" s="313">
        <f t="shared" si="4"/>
        <v>0</v>
      </c>
      <c r="V30" s="313">
        <f t="shared" si="5"/>
        <v>0</v>
      </c>
      <c r="W30" s="313">
        <f t="shared" si="6"/>
        <v>0</v>
      </c>
      <c r="X30" s="313">
        <f t="shared" si="7"/>
        <v>0</v>
      </c>
      <c r="Y30" s="313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3"/>
        <v>0</v>
      </c>
      <c r="U31" s="313">
        <f t="shared" si="4"/>
        <v>0</v>
      </c>
      <c r="V31" s="313">
        <f t="shared" si="5"/>
        <v>0</v>
      </c>
      <c r="W31" s="313">
        <f t="shared" si="6"/>
        <v>0</v>
      </c>
      <c r="X31" s="313">
        <f t="shared" si="7"/>
        <v>0</v>
      </c>
      <c r="Y31" s="313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3"/>
        <v>0</v>
      </c>
      <c r="U32" s="313">
        <f t="shared" si="4"/>
        <v>0</v>
      </c>
      <c r="V32" s="313">
        <f t="shared" si="5"/>
        <v>0</v>
      </c>
      <c r="W32" s="313">
        <f t="shared" si="6"/>
        <v>0</v>
      </c>
      <c r="X32" s="313">
        <f t="shared" si="7"/>
        <v>0</v>
      </c>
      <c r="Y32" s="313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3"/>
        <v>0</v>
      </c>
      <c r="U33" s="313">
        <f t="shared" si="4"/>
        <v>0</v>
      </c>
      <c r="V33" s="313">
        <f t="shared" si="5"/>
        <v>0</v>
      </c>
      <c r="W33" s="313">
        <f t="shared" si="6"/>
        <v>0</v>
      </c>
      <c r="X33" s="313">
        <f t="shared" si="7"/>
        <v>0</v>
      </c>
      <c r="Y33" s="313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3"/>
        <v>0</v>
      </c>
      <c r="U34" s="313">
        <f t="shared" si="4"/>
        <v>0</v>
      </c>
      <c r="V34" s="313">
        <f t="shared" si="5"/>
        <v>0</v>
      </c>
      <c r="W34" s="313">
        <f t="shared" si="6"/>
        <v>0</v>
      </c>
      <c r="X34" s="313">
        <f t="shared" si="7"/>
        <v>0</v>
      </c>
      <c r="Y34" s="313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3"/>
        <v>0</v>
      </c>
      <c r="U35" s="313">
        <f t="shared" si="4"/>
        <v>0</v>
      </c>
      <c r="V35" s="313">
        <f t="shared" si="5"/>
        <v>0</v>
      </c>
      <c r="W35" s="313">
        <f t="shared" si="6"/>
        <v>0</v>
      </c>
      <c r="X35" s="313">
        <f t="shared" si="7"/>
        <v>0</v>
      </c>
      <c r="Y35" s="313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3"/>
        <v>0</v>
      </c>
      <c r="U36" s="313">
        <f t="shared" si="4"/>
        <v>0</v>
      </c>
      <c r="V36" s="313">
        <f t="shared" si="5"/>
        <v>0</v>
      </c>
      <c r="W36" s="313">
        <f t="shared" si="6"/>
        <v>0</v>
      </c>
      <c r="X36" s="313">
        <f t="shared" si="7"/>
        <v>0</v>
      </c>
      <c r="Y36" s="313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3"/>
        <v>0</v>
      </c>
      <c r="U37" s="313">
        <f t="shared" si="4"/>
        <v>0</v>
      </c>
      <c r="V37" s="313">
        <f t="shared" si="5"/>
        <v>0</v>
      </c>
      <c r="W37" s="313">
        <f t="shared" si="6"/>
        <v>0</v>
      </c>
      <c r="X37" s="313">
        <f t="shared" si="7"/>
        <v>0</v>
      </c>
      <c r="Y37" s="313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3"/>
        <v>0</v>
      </c>
      <c r="U38" s="313">
        <f t="shared" si="4"/>
        <v>0</v>
      </c>
      <c r="V38" s="313">
        <f t="shared" si="5"/>
        <v>0</v>
      </c>
      <c r="W38" s="313">
        <f t="shared" si="6"/>
        <v>0</v>
      </c>
      <c r="X38" s="313">
        <f t="shared" si="7"/>
        <v>0</v>
      </c>
      <c r="Y38" s="313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0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0"/>
        <v>0</v>
      </c>
      <c r="K55" s="172">
        <f>'BD Team'!K60</f>
        <v>0</v>
      </c>
      <c r="L55" s="171">
        <f t="shared" ref="L55:L103" si="11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0"/>
        <v>0</v>
      </c>
      <c r="K56" s="172">
        <f>'BD Team'!K61</f>
        <v>0</v>
      </c>
      <c r="L56" s="171">
        <f t="shared" si="11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0"/>
        <v>0</v>
      </c>
      <c r="K57" s="172">
        <f>'BD Team'!K62</f>
        <v>0</v>
      </c>
      <c r="L57" s="171">
        <f t="shared" si="11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0"/>
        <v>0</v>
      </c>
      <c r="K58" s="172">
        <f>'BD Team'!K63</f>
        <v>0</v>
      </c>
      <c r="L58" s="171">
        <f t="shared" si="11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0"/>
        <v>0</v>
      </c>
      <c r="K59" s="172">
        <f>'BD Team'!K64</f>
        <v>0</v>
      </c>
      <c r="L59" s="171">
        <f t="shared" si="11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0"/>
        <v>0</v>
      </c>
      <c r="K60" s="172">
        <f>'BD Team'!K65</f>
        <v>0</v>
      </c>
      <c r="L60" s="171">
        <f t="shared" si="11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0"/>
        <v>0</v>
      </c>
      <c r="K61" s="172">
        <f>'BD Team'!K66</f>
        <v>0</v>
      </c>
      <c r="L61" s="171">
        <f t="shared" si="11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0"/>
        <v>0</v>
      </c>
      <c r="K62" s="172">
        <f>'BD Team'!K67</f>
        <v>0</v>
      </c>
      <c r="L62" s="171">
        <f t="shared" si="11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0"/>
        <v>0</v>
      </c>
      <c r="K63" s="172">
        <f>'BD Team'!K68</f>
        <v>0</v>
      </c>
      <c r="L63" s="171">
        <f t="shared" si="11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0"/>
        <v>0</v>
      </c>
      <c r="K64" s="172">
        <f>'BD Team'!K69</f>
        <v>0</v>
      </c>
      <c r="L64" s="171">
        <f t="shared" si="11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0"/>
        <v>0</v>
      </c>
      <c r="K65" s="172">
        <f>'BD Team'!K70</f>
        <v>0</v>
      </c>
      <c r="L65" s="171">
        <f t="shared" si="11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0"/>
        <v>0</v>
      </c>
      <c r="K66" s="172">
        <f>'BD Team'!K71</f>
        <v>0</v>
      </c>
      <c r="L66" s="171">
        <f t="shared" si="11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0"/>
        <v>0</v>
      </c>
      <c r="K67" s="172">
        <f>'BD Team'!K72</f>
        <v>0</v>
      </c>
      <c r="L67" s="171">
        <f t="shared" si="11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0"/>
        <v>0</v>
      </c>
      <c r="K68" s="172">
        <f>'BD Team'!K73</f>
        <v>0</v>
      </c>
      <c r="L68" s="171">
        <f t="shared" si="11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0"/>
        <v>0</v>
      </c>
      <c r="K69" s="172">
        <f>'BD Team'!K74</f>
        <v>0</v>
      </c>
      <c r="L69" s="171">
        <f t="shared" si="11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2">(G69+H69)*I69*2/300</f>
        <v>0</v>
      </c>
      <c r="U69" s="313">
        <f t="shared" ref="U69:U103" si="13">SUM(G69:H69)*I69*2*4/1000</f>
        <v>0</v>
      </c>
      <c r="V69" s="313">
        <f t="shared" ref="V69:V103" si="14">SUM(G69:H69)*I69*5*5*4/(1000*240)</f>
        <v>0</v>
      </c>
      <c r="W69" s="313">
        <f t="shared" ref="W69:W103" si="15">T69</f>
        <v>0</v>
      </c>
      <c r="X69" s="313">
        <f t="shared" ref="X69:X103" si="16">W69*2</f>
        <v>0</v>
      </c>
      <c r="Y69" s="313">
        <f t="shared" ref="Y69:Y103" si="17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0"/>
        <v>0</v>
      </c>
      <c r="K70" s="172">
        <f>'BD Team'!K75</f>
        <v>0</v>
      </c>
      <c r="L70" s="171">
        <f t="shared" si="11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2"/>
        <v>0</v>
      </c>
      <c r="U70" s="313">
        <f t="shared" si="13"/>
        <v>0</v>
      </c>
      <c r="V70" s="313">
        <f t="shared" si="14"/>
        <v>0</v>
      </c>
      <c r="W70" s="313">
        <f t="shared" si="15"/>
        <v>0</v>
      </c>
      <c r="X70" s="313">
        <f t="shared" si="16"/>
        <v>0</v>
      </c>
      <c r="Y70" s="313">
        <f t="shared" si="17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0"/>
        <v>0</v>
      </c>
      <c r="K71" s="172">
        <f>'BD Team'!K76</f>
        <v>0</v>
      </c>
      <c r="L71" s="171">
        <f t="shared" si="11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2"/>
        <v>0</v>
      </c>
      <c r="U71" s="313">
        <f t="shared" si="13"/>
        <v>0</v>
      </c>
      <c r="V71" s="313">
        <f t="shared" si="14"/>
        <v>0</v>
      </c>
      <c r="W71" s="313">
        <f t="shared" si="15"/>
        <v>0</v>
      </c>
      <c r="X71" s="313">
        <f t="shared" si="16"/>
        <v>0</v>
      </c>
      <c r="Y71" s="313">
        <f t="shared" si="17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0"/>
        <v>0</v>
      </c>
      <c r="K72" s="172">
        <f>'BD Team'!K77</f>
        <v>0</v>
      </c>
      <c r="L72" s="171">
        <f t="shared" si="11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2"/>
        <v>0</v>
      </c>
      <c r="U72" s="313">
        <f t="shared" si="13"/>
        <v>0</v>
      </c>
      <c r="V72" s="313">
        <f t="shared" si="14"/>
        <v>0</v>
      </c>
      <c r="W72" s="313">
        <f t="shared" si="15"/>
        <v>0</v>
      </c>
      <c r="X72" s="313">
        <f t="shared" si="16"/>
        <v>0</v>
      </c>
      <c r="Y72" s="313">
        <f t="shared" si="17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0"/>
        <v>0</v>
      </c>
      <c r="K73" s="172">
        <f>'BD Team'!K78</f>
        <v>0</v>
      </c>
      <c r="L73" s="171">
        <f t="shared" si="11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2"/>
        <v>0</v>
      </c>
      <c r="U73" s="313">
        <f t="shared" si="13"/>
        <v>0</v>
      </c>
      <c r="V73" s="313">
        <f t="shared" si="14"/>
        <v>0</v>
      </c>
      <c r="W73" s="313">
        <f t="shared" si="15"/>
        <v>0</v>
      </c>
      <c r="X73" s="313">
        <f t="shared" si="16"/>
        <v>0</v>
      </c>
      <c r="Y73" s="313">
        <f t="shared" si="17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0"/>
        <v>0</v>
      </c>
      <c r="K74" s="172">
        <f>'BD Team'!K79</f>
        <v>0</v>
      </c>
      <c r="L74" s="171">
        <f t="shared" si="11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2"/>
        <v>0</v>
      </c>
      <c r="U74" s="313">
        <f t="shared" si="13"/>
        <v>0</v>
      </c>
      <c r="V74" s="313">
        <f t="shared" si="14"/>
        <v>0</v>
      </c>
      <c r="W74" s="313">
        <f t="shared" si="15"/>
        <v>0</v>
      </c>
      <c r="X74" s="313">
        <f t="shared" si="16"/>
        <v>0</v>
      </c>
      <c r="Y74" s="313">
        <f t="shared" si="17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0"/>
        <v>0</v>
      </c>
      <c r="K75" s="172">
        <f>'BD Team'!K80</f>
        <v>0</v>
      </c>
      <c r="L75" s="171">
        <f t="shared" si="11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2"/>
        <v>0</v>
      </c>
      <c r="U75" s="313">
        <f t="shared" si="13"/>
        <v>0</v>
      </c>
      <c r="V75" s="313">
        <f t="shared" si="14"/>
        <v>0</v>
      </c>
      <c r="W75" s="313">
        <f t="shared" si="15"/>
        <v>0</v>
      </c>
      <c r="X75" s="313">
        <f t="shared" si="16"/>
        <v>0</v>
      </c>
      <c r="Y75" s="313">
        <f t="shared" si="17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0"/>
        <v>0</v>
      </c>
      <c r="K76" s="172">
        <f>'BD Team'!K81</f>
        <v>0</v>
      </c>
      <c r="L76" s="171">
        <f t="shared" si="11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2"/>
        <v>0</v>
      </c>
      <c r="U76" s="313">
        <f t="shared" si="13"/>
        <v>0</v>
      </c>
      <c r="V76" s="313">
        <f t="shared" si="14"/>
        <v>0</v>
      </c>
      <c r="W76" s="313">
        <f t="shared" si="15"/>
        <v>0</v>
      </c>
      <c r="X76" s="313">
        <f t="shared" si="16"/>
        <v>0</v>
      </c>
      <c r="Y76" s="313">
        <f t="shared" si="17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0"/>
        <v>0</v>
      </c>
      <c r="K77" s="172">
        <f>'BD Team'!K82</f>
        <v>0</v>
      </c>
      <c r="L77" s="171">
        <f t="shared" si="11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2"/>
        <v>0</v>
      </c>
      <c r="U77" s="313">
        <f t="shared" si="13"/>
        <v>0</v>
      </c>
      <c r="V77" s="313">
        <f t="shared" si="14"/>
        <v>0</v>
      </c>
      <c r="W77" s="313">
        <f t="shared" si="15"/>
        <v>0</v>
      </c>
      <c r="X77" s="313">
        <f t="shared" si="16"/>
        <v>0</v>
      </c>
      <c r="Y77" s="313">
        <f t="shared" si="17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0"/>
        <v>0</v>
      </c>
      <c r="K78" s="172">
        <f>'BD Team'!K83</f>
        <v>0</v>
      </c>
      <c r="L78" s="171">
        <f t="shared" si="11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2"/>
        <v>0</v>
      </c>
      <c r="U78" s="313">
        <f t="shared" si="13"/>
        <v>0</v>
      </c>
      <c r="V78" s="313">
        <f t="shared" si="14"/>
        <v>0</v>
      </c>
      <c r="W78" s="313">
        <f t="shared" si="15"/>
        <v>0</v>
      </c>
      <c r="X78" s="313">
        <f t="shared" si="16"/>
        <v>0</v>
      </c>
      <c r="Y78" s="313">
        <f t="shared" si="17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0"/>
        <v>0</v>
      </c>
      <c r="K79" s="172">
        <f>'BD Team'!K84</f>
        <v>0</v>
      </c>
      <c r="L79" s="171">
        <f t="shared" si="11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2"/>
        <v>0</v>
      </c>
      <c r="U79" s="313">
        <f t="shared" si="13"/>
        <v>0</v>
      </c>
      <c r="V79" s="313">
        <f t="shared" si="14"/>
        <v>0</v>
      </c>
      <c r="W79" s="313">
        <f t="shared" si="15"/>
        <v>0</v>
      </c>
      <c r="X79" s="313">
        <f t="shared" si="16"/>
        <v>0</v>
      </c>
      <c r="Y79" s="313">
        <f t="shared" si="17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0"/>
        <v>0</v>
      </c>
      <c r="K80" s="172">
        <f>'BD Team'!K85</f>
        <v>0</v>
      </c>
      <c r="L80" s="171">
        <f t="shared" si="11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2"/>
        <v>0</v>
      </c>
      <c r="U80" s="313">
        <f t="shared" si="13"/>
        <v>0</v>
      </c>
      <c r="V80" s="313">
        <f t="shared" si="14"/>
        <v>0</v>
      </c>
      <c r="W80" s="313">
        <f t="shared" si="15"/>
        <v>0</v>
      </c>
      <c r="X80" s="313">
        <f t="shared" si="16"/>
        <v>0</v>
      </c>
      <c r="Y80" s="313">
        <f t="shared" si="17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0"/>
        <v>0</v>
      </c>
      <c r="K81" s="172">
        <f>'BD Team'!K86</f>
        <v>0</v>
      </c>
      <c r="L81" s="171">
        <f t="shared" si="11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2"/>
        <v>0</v>
      </c>
      <c r="U81" s="313">
        <f t="shared" si="13"/>
        <v>0</v>
      </c>
      <c r="V81" s="313">
        <f t="shared" si="14"/>
        <v>0</v>
      </c>
      <c r="W81" s="313">
        <f t="shared" si="15"/>
        <v>0</v>
      </c>
      <c r="X81" s="313">
        <f t="shared" si="16"/>
        <v>0</v>
      </c>
      <c r="Y81" s="313">
        <f t="shared" si="17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0"/>
        <v>0</v>
      </c>
      <c r="K82" s="172">
        <f>'BD Team'!K87</f>
        <v>0</v>
      </c>
      <c r="L82" s="171">
        <f t="shared" si="11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2"/>
        <v>0</v>
      </c>
      <c r="U82" s="313">
        <f t="shared" si="13"/>
        <v>0</v>
      </c>
      <c r="V82" s="313">
        <f t="shared" si="14"/>
        <v>0</v>
      </c>
      <c r="W82" s="313">
        <f t="shared" si="15"/>
        <v>0</v>
      </c>
      <c r="X82" s="313">
        <f t="shared" si="16"/>
        <v>0</v>
      </c>
      <c r="Y82" s="313">
        <f t="shared" si="17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0"/>
        <v>0</v>
      </c>
      <c r="K83" s="172">
        <f>'BD Team'!K88</f>
        <v>0</v>
      </c>
      <c r="L83" s="171">
        <f t="shared" si="11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2"/>
        <v>0</v>
      </c>
      <c r="U83" s="313">
        <f t="shared" si="13"/>
        <v>0</v>
      </c>
      <c r="V83" s="313">
        <f t="shared" si="14"/>
        <v>0</v>
      </c>
      <c r="W83" s="313">
        <f t="shared" si="15"/>
        <v>0</v>
      </c>
      <c r="X83" s="313">
        <f t="shared" si="16"/>
        <v>0</v>
      </c>
      <c r="Y83" s="313">
        <f t="shared" si="17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0"/>
        <v>0</v>
      </c>
      <c r="K84" s="172">
        <f>'BD Team'!K89</f>
        <v>0</v>
      </c>
      <c r="L84" s="171">
        <f t="shared" si="11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2"/>
        <v>0</v>
      </c>
      <c r="U84" s="313">
        <f t="shared" si="13"/>
        <v>0</v>
      </c>
      <c r="V84" s="313">
        <f t="shared" si="14"/>
        <v>0</v>
      </c>
      <c r="W84" s="313">
        <f t="shared" si="15"/>
        <v>0</v>
      </c>
      <c r="X84" s="313">
        <f t="shared" si="16"/>
        <v>0</v>
      </c>
      <c r="Y84" s="313">
        <f t="shared" si="17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0"/>
        <v>0</v>
      </c>
      <c r="K85" s="172">
        <f>'BD Team'!K90</f>
        <v>0</v>
      </c>
      <c r="L85" s="171">
        <f t="shared" si="11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2"/>
        <v>0</v>
      </c>
      <c r="U85" s="313">
        <f t="shared" si="13"/>
        <v>0</v>
      </c>
      <c r="V85" s="313">
        <f t="shared" si="14"/>
        <v>0</v>
      </c>
      <c r="W85" s="313">
        <f t="shared" si="15"/>
        <v>0</v>
      </c>
      <c r="X85" s="313">
        <f t="shared" si="16"/>
        <v>0</v>
      </c>
      <c r="Y85" s="313">
        <f t="shared" si="17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0"/>
        <v>0</v>
      </c>
      <c r="K86" s="172">
        <f>'BD Team'!K91</f>
        <v>0</v>
      </c>
      <c r="L86" s="171">
        <f t="shared" si="11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2"/>
        <v>0</v>
      </c>
      <c r="U86" s="313">
        <f t="shared" si="13"/>
        <v>0</v>
      </c>
      <c r="V86" s="313">
        <f t="shared" si="14"/>
        <v>0</v>
      </c>
      <c r="W86" s="313">
        <f t="shared" si="15"/>
        <v>0</v>
      </c>
      <c r="X86" s="313">
        <f t="shared" si="16"/>
        <v>0</v>
      </c>
      <c r="Y86" s="313">
        <f t="shared" si="17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0"/>
        <v>0</v>
      </c>
      <c r="K87" s="172">
        <f>'BD Team'!K92</f>
        <v>0</v>
      </c>
      <c r="L87" s="171">
        <f t="shared" si="11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2"/>
        <v>0</v>
      </c>
      <c r="U87" s="313">
        <f t="shared" si="13"/>
        <v>0</v>
      </c>
      <c r="V87" s="313">
        <f t="shared" si="14"/>
        <v>0</v>
      </c>
      <c r="W87" s="313">
        <f t="shared" si="15"/>
        <v>0</v>
      </c>
      <c r="X87" s="313">
        <f t="shared" si="16"/>
        <v>0</v>
      </c>
      <c r="Y87" s="313">
        <f t="shared" si="17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0"/>
        <v>0</v>
      </c>
      <c r="K88" s="172">
        <f>'BD Team'!K93</f>
        <v>0</v>
      </c>
      <c r="L88" s="171">
        <f t="shared" si="11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2"/>
        <v>0</v>
      </c>
      <c r="U88" s="313">
        <f t="shared" si="13"/>
        <v>0</v>
      </c>
      <c r="V88" s="313">
        <f t="shared" si="14"/>
        <v>0</v>
      </c>
      <c r="W88" s="313">
        <f t="shared" si="15"/>
        <v>0</v>
      </c>
      <c r="X88" s="313">
        <f t="shared" si="16"/>
        <v>0</v>
      </c>
      <c r="Y88" s="313">
        <f t="shared" si="17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0"/>
        <v>0</v>
      </c>
      <c r="K89" s="172">
        <f>'BD Team'!K94</f>
        <v>0</v>
      </c>
      <c r="L89" s="171">
        <f t="shared" si="11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2"/>
        <v>0</v>
      </c>
      <c r="U89" s="313">
        <f t="shared" si="13"/>
        <v>0</v>
      </c>
      <c r="V89" s="313">
        <f t="shared" si="14"/>
        <v>0</v>
      </c>
      <c r="W89" s="313">
        <f t="shared" si="15"/>
        <v>0</v>
      </c>
      <c r="X89" s="313">
        <f t="shared" si="16"/>
        <v>0</v>
      </c>
      <c r="Y89" s="313">
        <f t="shared" si="17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0"/>
        <v>0</v>
      </c>
      <c r="K90" s="172">
        <f>'BD Team'!K95</f>
        <v>0</v>
      </c>
      <c r="L90" s="171">
        <f t="shared" si="11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2"/>
        <v>0</v>
      </c>
      <c r="U90" s="313">
        <f t="shared" si="13"/>
        <v>0</v>
      </c>
      <c r="V90" s="313">
        <f t="shared" si="14"/>
        <v>0</v>
      </c>
      <c r="W90" s="313">
        <f t="shared" si="15"/>
        <v>0</v>
      </c>
      <c r="X90" s="313">
        <f t="shared" si="16"/>
        <v>0</v>
      </c>
      <c r="Y90" s="313">
        <f t="shared" si="17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0"/>
        <v>0</v>
      </c>
      <c r="K91" s="172">
        <f>'BD Team'!K96</f>
        <v>0</v>
      </c>
      <c r="L91" s="171">
        <f t="shared" si="11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2"/>
        <v>0</v>
      </c>
      <c r="U91" s="313">
        <f t="shared" si="13"/>
        <v>0</v>
      </c>
      <c r="V91" s="313">
        <f t="shared" si="14"/>
        <v>0</v>
      </c>
      <c r="W91" s="313">
        <f t="shared" si="15"/>
        <v>0</v>
      </c>
      <c r="X91" s="313">
        <f t="shared" si="16"/>
        <v>0</v>
      </c>
      <c r="Y91" s="313">
        <f t="shared" si="17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0"/>
        <v>0</v>
      </c>
      <c r="K92" s="172">
        <f>'BD Team'!K97</f>
        <v>0</v>
      </c>
      <c r="L92" s="171">
        <f t="shared" si="11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2"/>
        <v>0</v>
      </c>
      <c r="U92" s="313">
        <f t="shared" si="13"/>
        <v>0</v>
      </c>
      <c r="V92" s="313">
        <f t="shared" si="14"/>
        <v>0</v>
      </c>
      <c r="W92" s="313">
        <f t="shared" si="15"/>
        <v>0</v>
      </c>
      <c r="X92" s="313">
        <f t="shared" si="16"/>
        <v>0</v>
      </c>
      <c r="Y92" s="313">
        <f t="shared" si="17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0"/>
        <v>0</v>
      </c>
      <c r="K93" s="172">
        <f>'BD Team'!K98</f>
        <v>0</v>
      </c>
      <c r="L93" s="171">
        <f t="shared" si="11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2"/>
        <v>0</v>
      </c>
      <c r="U93" s="313">
        <f t="shared" si="13"/>
        <v>0</v>
      </c>
      <c r="V93" s="313">
        <f t="shared" si="14"/>
        <v>0</v>
      </c>
      <c r="W93" s="313">
        <f t="shared" si="15"/>
        <v>0</v>
      </c>
      <c r="X93" s="313">
        <f t="shared" si="16"/>
        <v>0</v>
      </c>
      <c r="Y93" s="313">
        <f t="shared" si="17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0"/>
        <v>0</v>
      </c>
      <c r="K94" s="172">
        <f>'BD Team'!K99</f>
        <v>0</v>
      </c>
      <c r="L94" s="171">
        <f t="shared" si="11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2"/>
        <v>0</v>
      </c>
      <c r="U94" s="313">
        <f t="shared" si="13"/>
        <v>0</v>
      </c>
      <c r="V94" s="313">
        <f t="shared" si="14"/>
        <v>0</v>
      </c>
      <c r="W94" s="313">
        <f t="shared" si="15"/>
        <v>0</v>
      </c>
      <c r="X94" s="313">
        <f t="shared" si="16"/>
        <v>0</v>
      </c>
      <c r="Y94" s="313">
        <f t="shared" si="17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0"/>
        <v>0</v>
      </c>
      <c r="K95" s="172">
        <f>'BD Team'!K100</f>
        <v>0</v>
      </c>
      <c r="L95" s="171">
        <f t="shared" si="11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2"/>
        <v>0</v>
      </c>
      <c r="U95" s="313">
        <f t="shared" si="13"/>
        <v>0</v>
      </c>
      <c r="V95" s="313">
        <f t="shared" si="14"/>
        <v>0</v>
      </c>
      <c r="W95" s="313">
        <f t="shared" si="15"/>
        <v>0</v>
      </c>
      <c r="X95" s="313">
        <f t="shared" si="16"/>
        <v>0</v>
      </c>
      <c r="Y95" s="313">
        <f t="shared" si="17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0"/>
        <v>0</v>
      </c>
      <c r="K96" s="172">
        <f>'BD Team'!K101</f>
        <v>0</v>
      </c>
      <c r="L96" s="171">
        <f t="shared" si="11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2"/>
        <v>0</v>
      </c>
      <c r="U96" s="313">
        <f t="shared" si="13"/>
        <v>0</v>
      </c>
      <c r="V96" s="313">
        <f t="shared" si="14"/>
        <v>0</v>
      </c>
      <c r="W96" s="313">
        <f t="shared" si="15"/>
        <v>0</v>
      </c>
      <c r="X96" s="313">
        <f t="shared" si="16"/>
        <v>0</v>
      </c>
      <c r="Y96" s="313">
        <f t="shared" si="17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0"/>
        <v>0</v>
      </c>
      <c r="K97" s="172">
        <f>'BD Team'!K102</f>
        <v>0</v>
      </c>
      <c r="L97" s="171">
        <f t="shared" si="11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2"/>
        <v>0</v>
      </c>
      <c r="U97" s="313">
        <f t="shared" si="13"/>
        <v>0</v>
      </c>
      <c r="V97" s="313">
        <f t="shared" si="14"/>
        <v>0</v>
      </c>
      <c r="W97" s="313">
        <f t="shared" si="15"/>
        <v>0</v>
      </c>
      <c r="X97" s="313">
        <f t="shared" si="16"/>
        <v>0</v>
      </c>
      <c r="Y97" s="313">
        <f t="shared" si="17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0"/>
        <v>0</v>
      </c>
      <c r="K98" s="172">
        <f>'BD Team'!K103</f>
        <v>0</v>
      </c>
      <c r="L98" s="171">
        <f t="shared" si="11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2"/>
        <v>0</v>
      </c>
      <c r="U98" s="313">
        <f t="shared" si="13"/>
        <v>0</v>
      </c>
      <c r="V98" s="313">
        <f t="shared" si="14"/>
        <v>0</v>
      </c>
      <c r="W98" s="313">
        <f t="shared" si="15"/>
        <v>0</v>
      </c>
      <c r="X98" s="313">
        <f t="shared" si="16"/>
        <v>0</v>
      </c>
      <c r="Y98" s="313">
        <f t="shared" si="17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0"/>
        <v>0</v>
      </c>
      <c r="K99" s="172">
        <f>'BD Team'!K104</f>
        <v>0</v>
      </c>
      <c r="L99" s="171">
        <f t="shared" si="11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2"/>
        <v>0</v>
      </c>
      <c r="U99" s="313">
        <f t="shared" si="13"/>
        <v>0</v>
      </c>
      <c r="V99" s="313">
        <f t="shared" si="14"/>
        <v>0</v>
      </c>
      <c r="W99" s="313">
        <f t="shared" si="15"/>
        <v>0</v>
      </c>
      <c r="X99" s="313">
        <f t="shared" si="16"/>
        <v>0</v>
      </c>
      <c r="Y99" s="313">
        <f t="shared" si="17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0"/>
        <v>0</v>
      </c>
      <c r="K100" s="172">
        <f>'BD Team'!K105</f>
        <v>0</v>
      </c>
      <c r="L100" s="171">
        <f t="shared" si="11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2"/>
        <v>0</v>
      </c>
      <c r="U100" s="313">
        <f t="shared" si="13"/>
        <v>0</v>
      </c>
      <c r="V100" s="313">
        <f t="shared" si="14"/>
        <v>0</v>
      </c>
      <c r="W100" s="313">
        <f t="shared" si="15"/>
        <v>0</v>
      </c>
      <c r="X100" s="313">
        <f t="shared" si="16"/>
        <v>0</v>
      </c>
      <c r="Y100" s="313">
        <f t="shared" si="17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0"/>
        <v>0</v>
      </c>
      <c r="K101" s="172">
        <f>'BD Team'!K106</f>
        <v>0</v>
      </c>
      <c r="L101" s="171">
        <f t="shared" si="11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2"/>
        <v>0</v>
      </c>
      <c r="U101" s="313">
        <f t="shared" si="13"/>
        <v>0</v>
      </c>
      <c r="V101" s="313">
        <f t="shared" si="14"/>
        <v>0</v>
      </c>
      <c r="W101" s="313">
        <f t="shared" si="15"/>
        <v>0</v>
      </c>
      <c r="X101" s="313">
        <f t="shared" si="16"/>
        <v>0</v>
      </c>
      <c r="Y101" s="313">
        <f t="shared" si="17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0"/>
        <v>0</v>
      </c>
      <c r="K102" s="172">
        <f>'BD Team'!K107</f>
        <v>0</v>
      </c>
      <c r="L102" s="171">
        <f t="shared" si="11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2"/>
        <v>0</v>
      </c>
      <c r="U102" s="313">
        <f t="shared" si="13"/>
        <v>0</v>
      </c>
      <c r="V102" s="313">
        <f t="shared" si="14"/>
        <v>0</v>
      </c>
      <c r="W102" s="313">
        <f t="shared" si="15"/>
        <v>0</v>
      </c>
      <c r="X102" s="313">
        <f t="shared" si="16"/>
        <v>0</v>
      </c>
      <c r="Y102" s="313">
        <f t="shared" si="17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0"/>
        <v>0</v>
      </c>
      <c r="K103" s="172">
        <f>'BD Team'!K108</f>
        <v>0</v>
      </c>
      <c r="L103" s="171">
        <f t="shared" si="11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2"/>
        <v>0</v>
      </c>
      <c r="U103" s="313">
        <f t="shared" si="13"/>
        <v>0</v>
      </c>
      <c r="V103" s="313">
        <f t="shared" si="14"/>
        <v>0</v>
      </c>
      <c r="W103" s="313">
        <f t="shared" si="15"/>
        <v>0</v>
      </c>
      <c r="X103" s="313">
        <f t="shared" si="16"/>
        <v>0</v>
      </c>
      <c r="Y103" s="313">
        <f t="shared" si="17"/>
        <v>0</v>
      </c>
    </row>
    <row r="104" spans="1:25">
      <c r="K104" s="168">
        <f>SUM(K4:K103)</f>
        <v>3064.0600000000004</v>
      </c>
      <c r="L104" s="168">
        <f>SUM(L4:L103)</f>
        <v>5136.33</v>
      </c>
      <c r="M104" s="168">
        <f>SUM(M4:M103)</f>
        <v>426315.39</v>
      </c>
      <c r="T104" s="314">
        <f t="shared" ref="T104:Y104" si="18">SUM(T4:T103)</f>
        <v>566.73333333333335</v>
      </c>
      <c r="U104" s="314">
        <f t="shared" si="18"/>
        <v>680.07999999999993</v>
      </c>
      <c r="V104" s="314">
        <f t="shared" si="18"/>
        <v>35.420833333333334</v>
      </c>
      <c r="W104" s="314">
        <f t="shared" si="18"/>
        <v>566.73333333333335</v>
      </c>
      <c r="X104" s="314">
        <f t="shared" si="18"/>
        <v>1133.4666666666667</v>
      </c>
      <c r="Y104" s="314">
        <f t="shared" si="18"/>
        <v>340.03999999999996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F8" sqref="F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3940.02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2950</v>
      </c>
      <c r="D4" s="255">
        <f>C4*D3</f>
        <v>67.849999999999994</v>
      </c>
      <c r="E4" s="255">
        <f>C4*E3</f>
        <v>118</v>
      </c>
      <c r="F4" s="255">
        <f>C4*F3</f>
        <v>147.5</v>
      </c>
      <c r="G4" s="255">
        <f>C4+D4+E4+F4</f>
        <v>3283.35</v>
      </c>
      <c r="H4" s="255">
        <f>G4*H3</f>
        <v>656.67000000000007</v>
      </c>
      <c r="I4" s="255">
        <f>G4+H4</f>
        <v>3940.02</v>
      </c>
      <c r="J4" s="255">
        <f>I4*J3</f>
        <v>0</v>
      </c>
      <c r="K4" s="255">
        <f>I4+J4</f>
        <v>3940.02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30</v>
      </c>
      <c r="B7" s="270">
        <v>6</v>
      </c>
      <c r="C7" s="271">
        <v>12</v>
      </c>
      <c r="D7" s="270">
        <v>6</v>
      </c>
      <c r="E7" s="271">
        <v>0</v>
      </c>
      <c r="F7" s="270">
        <v>6</v>
      </c>
      <c r="G7" s="269">
        <f>SUM(B8:F8)</f>
        <v>2950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700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750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650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700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700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750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P1" zoomScale="75" zoomScaleNormal="75" workbookViewId="0">
      <pane ySplit="6" topLeftCell="A16" activePane="bottomLeft" state="frozen"/>
      <selection pane="bottomLeft" activeCell="AK16" sqref="AK16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1076.3999999999999</v>
      </c>
      <c r="AO6" s="396"/>
      <c r="AP6" s="53">
        <f>'Changable Values'!D23</f>
        <v>1.8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WINDOW</v>
      </c>
      <c r="D8" s="131" t="str">
        <f>Pricing!B4</f>
        <v>W1</v>
      </c>
      <c r="E8" s="132" t="str">
        <f>Pricing!N4</f>
        <v>20MM</v>
      </c>
      <c r="F8" s="68">
        <f>Pricing!G4</f>
        <v>1430</v>
      </c>
      <c r="G8" s="68">
        <f>Pricing!H4</f>
        <v>630</v>
      </c>
      <c r="H8" s="100">
        <f t="shared" ref="H8:H57" si="0">(F8*G8)/1000000</f>
        <v>0.90090000000000003</v>
      </c>
      <c r="I8" s="70">
        <f>Pricing!I4</f>
        <v>1</v>
      </c>
      <c r="J8" s="69">
        <f t="shared" ref="J8" si="1">H8*I8</f>
        <v>0.90090000000000003</v>
      </c>
      <c r="K8" s="71">
        <f t="shared" ref="K8" si="2">J8*10.764</f>
        <v>9.6972875999999992</v>
      </c>
      <c r="L8" s="69"/>
      <c r="M8" s="72"/>
      <c r="N8" s="72"/>
      <c r="O8" s="72">
        <f t="shared" ref="O8:O35" si="3">N8*M8*L8/1000000</f>
        <v>0</v>
      </c>
      <c r="P8" s="73">
        <f>Pricing!M4</f>
        <v>6115.4400000000005</v>
      </c>
      <c r="Q8" s="74">
        <f t="shared" ref="Q8:Q56" si="4">P8*$Q$6</f>
        <v>611.5440000000001</v>
      </c>
      <c r="R8" s="74">
        <f t="shared" ref="R8:R56" si="5">(P8+Q8)*$R$6</f>
        <v>739.96824000000004</v>
      </c>
      <c r="S8" s="74">
        <f t="shared" ref="S8:S56" si="6">(P8+Q8+R8)*$S$6</f>
        <v>37.334761200000003</v>
      </c>
      <c r="T8" s="74">
        <f t="shared" ref="T8:T56" si="7">(P8+Q8+R8+S8)*$T$6</f>
        <v>75.042870012000009</v>
      </c>
      <c r="U8" s="72">
        <f t="shared" ref="U8:U56" si="8">SUM(P8:T8)</f>
        <v>7579.3298712120004</v>
      </c>
      <c r="V8" s="74">
        <f t="shared" ref="V8:V56" si="9">U8*$V$6</f>
        <v>113.68994806818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2345.9436000000001</v>
      </c>
      <c r="AE8" s="76">
        <f>((((F8+G8)*2)/305)*I8*$AE$7)</f>
        <v>337.70491803278691</v>
      </c>
      <c r="AF8" s="346">
        <f>(((((F8*4)+(G8*4))/1000)*$AF$6*$AG$6)/300)*I8*$AF$7</f>
        <v>346.08</v>
      </c>
      <c r="AG8" s="347"/>
      <c r="AH8" s="76">
        <f>(((F8+G8))*I8/1000)*8*$AH$7</f>
        <v>12.36</v>
      </c>
      <c r="AI8" s="76">
        <f t="shared" ref="AI8:AI57" si="15">(((F8+G8)*2*I8)/1000)*2*$AI$7</f>
        <v>41.2</v>
      </c>
      <c r="AJ8" s="76">
        <f>J8*Pricing!Q4</f>
        <v>484.86437999999998</v>
      </c>
      <c r="AK8" s="76">
        <f>J8*Pricing!R4</f>
        <v>0</v>
      </c>
      <c r="AL8" s="76">
        <f t="shared" ref="AL8:AL39" si="16">J8*$AL$6</f>
        <v>969.72875999999997</v>
      </c>
      <c r="AM8" s="77">
        <f t="shared" ref="AM8:AM39" si="17">$AM$6*J8</f>
        <v>0</v>
      </c>
      <c r="AN8" s="76">
        <f t="shared" ref="AN8:AN39" si="18">$AN$6*J8</f>
        <v>969.72875999999997</v>
      </c>
      <c r="AO8" s="72">
        <f t="shared" ref="AO8:AO39" si="19">SUM(U8:V8)+SUM(AC8:AI8)-AD8</f>
        <v>8430.3647373129661</v>
      </c>
      <c r="AP8" s="74">
        <f t="shared" ref="AP8:AP39" si="20">AO8*$AP$6</f>
        <v>15174.656527163339</v>
      </c>
      <c r="AQ8" s="74">
        <f t="shared" ref="AQ8:AQ56" si="21">(AO8+AP8)*$AQ$6</f>
        <v>0</v>
      </c>
      <c r="AR8" s="74">
        <f t="shared" ref="AR8:AR39" si="22">SUM(AO8:AQ8)/J8</f>
        <v>26201.599805168502</v>
      </c>
      <c r="AS8" s="72">
        <f t="shared" ref="AS8:AS39" si="23">SUM(AJ8:AQ8)+AD8+AB8</f>
        <v>28375.286764476303</v>
      </c>
      <c r="AT8" s="72">
        <f t="shared" ref="AT8:AT39" si="24">AS8/J8</f>
        <v>31496.599805168498</v>
      </c>
      <c r="AU8" s="78">
        <f t="shared" ref="AU8:AU56" si="25">AT8/10.764</f>
        <v>2926.1055188748142</v>
      </c>
      <c r="AV8" s="79">
        <f t="shared" ref="AV8:AV39" si="26">K8/$K$109</f>
        <v>1.4349039779427756E-2</v>
      </c>
      <c r="AW8" s="80">
        <f t="shared" ref="AW8:AW39" si="27">(U8+V8)/(J8*10.764)</f>
        <v>793.31666096818458</v>
      </c>
      <c r="AX8" s="81">
        <f t="shared" ref="AX8:AX39" si="28">SUM(W8:AN8,AP8)/(J8*10.764)</f>
        <v>2132.7888579066303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DOOR</v>
      </c>
      <c r="D9" s="131" t="str">
        <f>Pricing!B5</f>
        <v>W2</v>
      </c>
      <c r="E9" s="132" t="str">
        <f>Pricing!N5</f>
        <v>24MM</v>
      </c>
      <c r="F9" s="68">
        <f>Pricing!G5</f>
        <v>2620</v>
      </c>
      <c r="G9" s="68">
        <f>Pricing!H5</f>
        <v>2210</v>
      </c>
      <c r="H9" s="100">
        <f t="shared" si="0"/>
        <v>5.7901999999999996</v>
      </c>
      <c r="I9" s="70">
        <f>Pricing!I5</f>
        <v>1</v>
      </c>
      <c r="J9" s="69">
        <f t="shared" ref="J9:J58" si="30">H9*I9</f>
        <v>5.7901999999999996</v>
      </c>
      <c r="K9" s="71">
        <f t="shared" ref="K9:K58" si="31">J9*10.764</f>
        <v>62.325712799999991</v>
      </c>
      <c r="L9" s="69"/>
      <c r="M9" s="72"/>
      <c r="N9" s="72"/>
      <c r="O9" s="72">
        <f t="shared" si="3"/>
        <v>0</v>
      </c>
      <c r="P9" s="73">
        <f>Pricing!M5</f>
        <v>38111.11</v>
      </c>
      <c r="Q9" s="74">
        <f t="shared" ref="Q9:Q14" si="32">P9*$Q$6</f>
        <v>3811.1110000000003</v>
      </c>
      <c r="R9" s="74">
        <f t="shared" ref="R9:R14" si="33">(P9+Q9)*$R$6</f>
        <v>4611.4443099999999</v>
      </c>
      <c r="S9" s="74">
        <f t="shared" ref="S9:S14" si="34">(P9+Q9+R9)*$S$6</f>
        <v>232.66832654999999</v>
      </c>
      <c r="T9" s="74">
        <f t="shared" ref="T9:T14" si="35">(P9+Q9+R9+S9)*$T$6</f>
        <v>467.66333636550002</v>
      </c>
      <c r="U9" s="72">
        <f t="shared" ref="U9:U14" si="36">SUM(P9:T9)</f>
        <v>47233.996972915498</v>
      </c>
      <c r="V9" s="74">
        <f t="shared" ref="V9:V14" si="37">U9*$V$6</f>
        <v>708.50995459373246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17011.607599999999</v>
      </c>
      <c r="AE9" s="76">
        <f t="shared" ref="AE9:AE57" si="43">((((F9+G9)*2)/305)*I9*$AE$7)</f>
        <v>791.80327868852464</v>
      </c>
      <c r="AF9" s="346">
        <f t="shared" ref="AF9:AF57" si="44">(((((F9*4)+(G9*4))/1000)*$AF$6*$AG$6)/300)*I9*$AF$7</f>
        <v>811.44</v>
      </c>
      <c r="AG9" s="347"/>
      <c r="AH9" s="76">
        <f t="shared" ref="AH9:AH72" si="45">(((F9+G9))*I9/1000)*8*$AH$7</f>
        <v>28.98</v>
      </c>
      <c r="AI9" s="76">
        <f t="shared" si="15"/>
        <v>96.6</v>
      </c>
      <c r="AJ9" s="76">
        <f>J9*Pricing!Q5</f>
        <v>3116.2856399999991</v>
      </c>
      <c r="AK9" s="76">
        <f>J9*Pricing!R5</f>
        <v>0</v>
      </c>
      <c r="AL9" s="76">
        <f t="shared" si="16"/>
        <v>6232.5712799999983</v>
      </c>
      <c r="AM9" s="77">
        <f t="shared" si="17"/>
        <v>0</v>
      </c>
      <c r="AN9" s="76">
        <f t="shared" si="18"/>
        <v>6232.5712799999983</v>
      </c>
      <c r="AO9" s="72">
        <f t="shared" si="19"/>
        <v>49671.330206197745</v>
      </c>
      <c r="AP9" s="74">
        <f t="shared" si="20"/>
        <v>89408.39437115594</v>
      </c>
      <c r="AQ9" s="74">
        <f t="shared" ref="AQ9:AQ14" si="46">(AO9+AP9)*$AQ$6</f>
        <v>0</v>
      </c>
      <c r="AR9" s="74">
        <f t="shared" si="22"/>
        <v>24019.848118778918</v>
      </c>
      <c r="AS9" s="72">
        <f t="shared" si="23"/>
        <v>171672.76037735367</v>
      </c>
      <c r="AT9" s="72">
        <f t="shared" si="24"/>
        <v>29648.848118778915</v>
      </c>
      <c r="AU9" s="78">
        <f t="shared" ref="AU9:AU14" si="47">AT9/10.764</f>
        <v>2754.4451986974095</v>
      </c>
      <c r="AV9" s="79">
        <f t="shared" si="26"/>
        <v>9.2223121468356734E-2</v>
      </c>
      <c r="AW9" s="80">
        <f t="shared" si="27"/>
        <v>769.22516845261396</v>
      </c>
      <c r="AX9" s="81">
        <f t="shared" si="28"/>
        <v>1985.2200302447961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WINDOW</v>
      </c>
      <c r="D10" s="131" t="str">
        <f>Pricing!B6</f>
        <v>W3</v>
      </c>
      <c r="E10" s="132" t="str">
        <f>Pricing!N6</f>
        <v>20MM</v>
      </c>
      <c r="F10" s="68">
        <f>Pricing!G6</f>
        <v>2420</v>
      </c>
      <c r="G10" s="68">
        <f>Pricing!H6</f>
        <v>460</v>
      </c>
      <c r="H10" s="100">
        <f t="shared" si="0"/>
        <v>1.1132</v>
      </c>
      <c r="I10" s="70">
        <f>Pricing!I6</f>
        <v>1</v>
      </c>
      <c r="J10" s="69">
        <f t="shared" si="30"/>
        <v>1.1132</v>
      </c>
      <c r="K10" s="71">
        <f t="shared" si="31"/>
        <v>11.982484799999998</v>
      </c>
      <c r="L10" s="69"/>
      <c r="M10" s="72"/>
      <c r="N10" s="72"/>
      <c r="O10" s="72">
        <f t="shared" si="3"/>
        <v>0</v>
      </c>
      <c r="P10" s="73">
        <f>Pricing!M6</f>
        <v>7313.96</v>
      </c>
      <c r="Q10" s="74">
        <f t="shared" si="32"/>
        <v>731.39600000000007</v>
      </c>
      <c r="R10" s="74">
        <f t="shared" si="33"/>
        <v>884.98915999999997</v>
      </c>
      <c r="S10" s="74">
        <f t="shared" si="34"/>
        <v>44.651725799999994</v>
      </c>
      <c r="T10" s="74">
        <f t="shared" si="35"/>
        <v>89.749968857999988</v>
      </c>
      <c r="U10" s="72">
        <f t="shared" si="36"/>
        <v>9064.7468546579985</v>
      </c>
      <c r="V10" s="74">
        <f t="shared" si="37"/>
        <v>135.97120281986997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2898.7727999999997</v>
      </c>
      <c r="AE10" s="76">
        <f t="shared" si="43"/>
        <v>472.13114754098359</v>
      </c>
      <c r="AF10" s="346">
        <f t="shared" si="44"/>
        <v>483.84000000000003</v>
      </c>
      <c r="AG10" s="347"/>
      <c r="AH10" s="76">
        <f t="shared" si="45"/>
        <v>17.28</v>
      </c>
      <c r="AI10" s="76">
        <f t="shared" si="15"/>
        <v>57.599999999999994</v>
      </c>
      <c r="AJ10" s="76">
        <f>J10*Pricing!Q6</f>
        <v>599.12423999999987</v>
      </c>
      <c r="AK10" s="76">
        <f>J10*Pricing!R6</f>
        <v>0</v>
      </c>
      <c r="AL10" s="76">
        <f t="shared" si="16"/>
        <v>1198.2484799999997</v>
      </c>
      <c r="AM10" s="77">
        <f t="shared" si="17"/>
        <v>0</v>
      </c>
      <c r="AN10" s="76">
        <f t="shared" si="18"/>
        <v>1198.2484799999997</v>
      </c>
      <c r="AO10" s="72">
        <f t="shared" si="19"/>
        <v>10231.569205018852</v>
      </c>
      <c r="AP10" s="74">
        <f t="shared" si="20"/>
        <v>18416.824569033935</v>
      </c>
      <c r="AQ10" s="74">
        <f t="shared" si="46"/>
        <v>0</v>
      </c>
      <c r="AR10" s="74">
        <f t="shared" si="22"/>
        <v>25735.172272774693</v>
      </c>
      <c r="AS10" s="72">
        <f t="shared" si="23"/>
        <v>34542.787774052784</v>
      </c>
      <c r="AT10" s="72">
        <f t="shared" si="24"/>
        <v>31030.172272774689</v>
      </c>
      <c r="AU10" s="78">
        <f t="shared" si="47"/>
        <v>2882.7733438103578</v>
      </c>
      <c r="AV10" s="79">
        <f t="shared" si="26"/>
        <v>1.7730437431966894E-2</v>
      </c>
      <c r="AW10" s="80">
        <f t="shared" si="27"/>
        <v>767.847254642699</v>
      </c>
      <c r="AX10" s="81">
        <f t="shared" si="28"/>
        <v>2114.9260891676595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W4</v>
      </c>
      <c r="E11" s="132" t="str">
        <f>Pricing!N7</f>
        <v>20MM</v>
      </c>
      <c r="F11" s="68">
        <f>Pricing!G7</f>
        <v>925</v>
      </c>
      <c r="G11" s="68">
        <f>Pricing!H7</f>
        <v>600</v>
      </c>
      <c r="H11" s="100">
        <f t="shared" si="0"/>
        <v>0.55500000000000005</v>
      </c>
      <c r="I11" s="70">
        <f>Pricing!I7</f>
        <v>1</v>
      </c>
      <c r="J11" s="69">
        <f t="shared" si="30"/>
        <v>0.55500000000000005</v>
      </c>
      <c r="K11" s="71">
        <f t="shared" si="31"/>
        <v>5.9740200000000003</v>
      </c>
      <c r="L11" s="69"/>
      <c r="M11" s="72"/>
      <c r="N11" s="72"/>
      <c r="O11" s="72">
        <f t="shared" si="3"/>
        <v>0</v>
      </c>
      <c r="P11" s="73">
        <f>Pricing!M7</f>
        <v>5160.1100000000006</v>
      </c>
      <c r="Q11" s="74">
        <f t="shared" si="32"/>
        <v>516.01100000000008</v>
      </c>
      <c r="R11" s="74">
        <f t="shared" si="33"/>
        <v>624.37331000000006</v>
      </c>
      <c r="S11" s="74">
        <f t="shared" si="34"/>
        <v>31.502471550000006</v>
      </c>
      <c r="T11" s="74">
        <f t="shared" si="35"/>
        <v>63.319967815500014</v>
      </c>
      <c r="U11" s="72">
        <f t="shared" si="36"/>
        <v>6395.316749365501</v>
      </c>
      <c r="V11" s="74">
        <f t="shared" si="37"/>
        <v>95.929751240482517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1445.22</v>
      </c>
      <c r="AE11" s="76">
        <f t="shared" si="43"/>
        <v>250</v>
      </c>
      <c r="AF11" s="346">
        <f t="shared" si="44"/>
        <v>256.19999999999993</v>
      </c>
      <c r="AG11" s="347"/>
      <c r="AH11" s="76">
        <f t="shared" si="45"/>
        <v>9.1499999999999986</v>
      </c>
      <c r="AI11" s="76">
        <f t="shared" si="15"/>
        <v>30.5</v>
      </c>
      <c r="AJ11" s="76">
        <f>J11*Pricing!Q7</f>
        <v>298.70099999999996</v>
      </c>
      <c r="AK11" s="76">
        <f>J11*Pricing!R7</f>
        <v>0</v>
      </c>
      <c r="AL11" s="76">
        <f t="shared" si="16"/>
        <v>597.40199999999993</v>
      </c>
      <c r="AM11" s="77">
        <f t="shared" si="17"/>
        <v>0</v>
      </c>
      <c r="AN11" s="76">
        <f t="shared" si="18"/>
        <v>597.40199999999993</v>
      </c>
      <c r="AO11" s="72">
        <f t="shared" si="19"/>
        <v>7037.0965006059841</v>
      </c>
      <c r="AP11" s="74">
        <f t="shared" si="20"/>
        <v>12666.773701090771</v>
      </c>
      <c r="AQ11" s="74">
        <f t="shared" si="46"/>
        <v>0</v>
      </c>
      <c r="AR11" s="74">
        <f t="shared" si="22"/>
        <v>35502.468831886043</v>
      </c>
      <c r="AS11" s="72">
        <f t="shared" si="23"/>
        <v>22642.595201696757</v>
      </c>
      <c r="AT11" s="72">
        <f t="shared" si="24"/>
        <v>40797.468831886043</v>
      </c>
      <c r="AU11" s="78">
        <f t="shared" si="47"/>
        <v>3790.1773348091829</v>
      </c>
      <c r="AV11" s="79">
        <f t="shared" si="26"/>
        <v>8.8397347958512652E-3</v>
      </c>
      <c r="AW11" s="80">
        <f t="shared" si="27"/>
        <v>1086.5793051590024</v>
      </c>
      <c r="AX11" s="81">
        <f t="shared" si="28"/>
        <v>2703.5980296501803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WINDOW</v>
      </c>
      <c r="D12" s="131" t="str">
        <f>Pricing!B8</f>
        <v>W5</v>
      </c>
      <c r="E12" s="132" t="str">
        <f>Pricing!N8</f>
        <v>20MM</v>
      </c>
      <c r="F12" s="68">
        <f>Pricing!G8</f>
        <v>1829</v>
      </c>
      <c r="G12" s="68">
        <f>Pricing!H8</f>
        <v>609</v>
      </c>
      <c r="H12" s="100">
        <f t="shared" si="0"/>
        <v>1.113861</v>
      </c>
      <c r="I12" s="70">
        <f>Pricing!I8</f>
        <v>2</v>
      </c>
      <c r="J12" s="69">
        <f t="shared" si="30"/>
        <v>2.227722</v>
      </c>
      <c r="K12" s="71">
        <f t="shared" si="31"/>
        <v>23.979199607999998</v>
      </c>
      <c r="L12" s="69"/>
      <c r="M12" s="72"/>
      <c r="N12" s="72"/>
      <c r="O12" s="72">
        <f t="shared" si="3"/>
        <v>0</v>
      </c>
      <c r="P12" s="73">
        <f>Pricing!M8</f>
        <v>13477.539999999999</v>
      </c>
      <c r="Q12" s="74">
        <f t="shared" si="32"/>
        <v>1347.7539999999999</v>
      </c>
      <c r="R12" s="74">
        <f t="shared" si="33"/>
        <v>1630.7823399999997</v>
      </c>
      <c r="S12" s="74">
        <f t="shared" si="34"/>
        <v>82.280381700000007</v>
      </c>
      <c r="T12" s="74">
        <f t="shared" si="35"/>
        <v>165.38356721699998</v>
      </c>
      <c r="U12" s="72">
        <f t="shared" si="36"/>
        <v>16703.740288916997</v>
      </c>
      <c r="V12" s="74">
        <f t="shared" si="37"/>
        <v>250.55610433375494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5800.9880880000001</v>
      </c>
      <c r="AE12" s="76">
        <f t="shared" si="43"/>
        <v>799.34426229508199</v>
      </c>
      <c r="AF12" s="346">
        <f t="shared" si="44"/>
        <v>819.16800000000001</v>
      </c>
      <c r="AG12" s="347"/>
      <c r="AH12" s="76">
        <f t="shared" si="45"/>
        <v>29.256</v>
      </c>
      <c r="AI12" s="76">
        <f t="shared" si="15"/>
        <v>97.52000000000001</v>
      </c>
      <c r="AJ12" s="76">
        <f>J12*Pricing!Q8</f>
        <v>1198.9599803999999</v>
      </c>
      <c r="AK12" s="76">
        <f>J12*Pricing!R8</f>
        <v>0</v>
      </c>
      <c r="AL12" s="76">
        <f t="shared" si="16"/>
        <v>2397.9199607999999</v>
      </c>
      <c r="AM12" s="77">
        <f t="shared" si="17"/>
        <v>0</v>
      </c>
      <c r="AN12" s="76">
        <f t="shared" si="18"/>
        <v>2397.9199607999999</v>
      </c>
      <c r="AO12" s="72">
        <f t="shared" si="19"/>
        <v>18699.584655545834</v>
      </c>
      <c r="AP12" s="74">
        <f t="shared" si="20"/>
        <v>33659.252379982499</v>
      </c>
      <c r="AQ12" s="74">
        <f t="shared" si="46"/>
        <v>0</v>
      </c>
      <c r="AR12" s="74">
        <f t="shared" si="22"/>
        <v>23503.308328206273</v>
      </c>
      <c r="AS12" s="72">
        <f t="shared" si="23"/>
        <v>64154.62502552833</v>
      </c>
      <c r="AT12" s="72">
        <f t="shared" si="24"/>
        <v>28798.308328206273</v>
      </c>
      <c r="AU12" s="78">
        <f t="shared" si="47"/>
        <v>2675.428124136592</v>
      </c>
      <c r="AV12" s="79">
        <f t="shared" si="26"/>
        <v>3.5481930952943011E-2</v>
      </c>
      <c r="AW12" s="80">
        <f t="shared" si="27"/>
        <v>707.04179749162347</v>
      </c>
      <c r="AX12" s="81">
        <f t="shared" si="28"/>
        <v>1968.3863266449684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SHUTTER SLIDING WINDOW</v>
      </c>
      <c r="D13" s="131" t="str">
        <f>Pricing!B9</f>
        <v>W6</v>
      </c>
      <c r="E13" s="132" t="str">
        <f>Pricing!N9</f>
        <v>20MM</v>
      </c>
      <c r="F13" s="68">
        <f>Pricing!G9</f>
        <v>1317</v>
      </c>
      <c r="G13" s="68">
        <f>Pricing!H9</f>
        <v>1473</v>
      </c>
      <c r="H13" s="100">
        <f t="shared" si="0"/>
        <v>1.9399409999999999</v>
      </c>
      <c r="I13" s="70">
        <f>Pricing!I9</f>
        <v>5</v>
      </c>
      <c r="J13" s="69">
        <f t="shared" si="30"/>
        <v>9.6997049999999998</v>
      </c>
      <c r="K13" s="71">
        <f t="shared" si="31"/>
        <v>104.40762461999999</v>
      </c>
      <c r="L13" s="69"/>
      <c r="M13" s="72"/>
      <c r="N13" s="72"/>
      <c r="O13" s="72">
        <f t="shared" si="3"/>
        <v>0</v>
      </c>
      <c r="P13" s="73">
        <f>Pricing!M9</f>
        <v>42085.149999999994</v>
      </c>
      <c r="Q13" s="74">
        <f t="shared" si="32"/>
        <v>4208.5149999999994</v>
      </c>
      <c r="R13" s="74">
        <f t="shared" si="33"/>
        <v>5092.3031499999997</v>
      </c>
      <c r="S13" s="74">
        <f t="shared" si="34"/>
        <v>256.92984074999998</v>
      </c>
      <c r="T13" s="74">
        <f t="shared" si="35"/>
        <v>516.42897990749998</v>
      </c>
      <c r="U13" s="72">
        <f t="shared" si="36"/>
        <v>52159.326970657494</v>
      </c>
      <c r="V13" s="74">
        <f t="shared" si="37"/>
        <v>782.38990455986243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25258.03182</v>
      </c>
      <c r="AE13" s="76">
        <f t="shared" si="43"/>
        <v>2286.8852459016393</v>
      </c>
      <c r="AF13" s="346">
        <f t="shared" si="44"/>
        <v>2343.6000000000004</v>
      </c>
      <c r="AG13" s="347"/>
      <c r="AH13" s="76">
        <f t="shared" si="45"/>
        <v>83.699999999999989</v>
      </c>
      <c r="AI13" s="76">
        <f t="shared" si="15"/>
        <v>279</v>
      </c>
      <c r="AJ13" s="76">
        <f>J13*Pricing!Q9</f>
        <v>5220.3812309999994</v>
      </c>
      <c r="AK13" s="76">
        <f>J13*Pricing!R9</f>
        <v>0</v>
      </c>
      <c r="AL13" s="76">
        <f t="shared" si="16"/>
        <v>10440.762461999999</v>
      </c>
      <c r="AM13" s="77">
        <f t="shared" si="17"/>
        <v>0</v>
      </c>
      <c r="AN13" s="76">
        <f t="shared" si="18"/>
        <v>10440.762461999999</v>
      </c>
      <c r="AO13" s="72">
        <f t="shared" si="19"/>
        <v>57934.902121118983</v>
      </c>
      <c r="AP13" s="74">
        <f t="shared" si="20"/>
        <v>104282.82381801418</v>
      </c>
      <c r="AQ13" s="74">
        <f t="shared" si="46"/>
        <v>0</v>
      </c>
      <c r="AR13" s="74">
        <f t="shared" si="22"/>
        <v>16723.985516995945</v>
      </c>
      <c r="AS13" s="72">
        <f t="shared" si="23"/>
        <v>213577.66391413315</v>
      </c>
      <c r="AT13" s="72">
        <f t="shared" si="24"/>
        <v>22018.985516995945</v>
      </c>
      <c r="AU13" s="78">
        <f t="shared" si="47"/>
        <v>2045.6136675024104</v>
      </c>
      <c r="AV13" s="79">
        <f t="shared" si="26"/>
        <v>0.15449156720359009</v>
      </c>
      <c r="AW13" s="80">
        <f t="shared" si="27"/>
        <v>507.0675352293764</v>
      </c>
      <c r="AX13" s="81">
        <f t="shared" si="28"/>
        <v>1538.5461322730343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2 SHUTTER SLIDING DOOR</v>
      </c>
      <c r="D14" s="131" t="str">
        <f>Pricing!B10</f>
        <v>W8</v>
      </c>
      <c r="E14" s="132" t="str">
        <f>Pricing!N10</f>
        <v>24MM</v>
      </c>
      <c r="F14" s="68">
        <f>Pricing!G10</f>
        <v>2305</v>
      </c>
      <c r="G14" s="68">
        <f>Pricing!H10</f>
        <v>2330</v>
      </c>
      <c r="H14" s="100">
        <f t="shared" si="0"/>
        <v>5.3706500000000004</v>
      </c>
      <c r="I14" s="70">
        <f>Pricing!I10</f>
        <v>1</v>
      </c>
      <c r="J14" s="69">
        <f t="shared" si="30"/>
        <v>5.3706500000000004</v>
      </c>
      <c r="K14" s="71">
        <f t="shared" si="31"/>
        <v>57.809676600000003</v>
      </c>
      <c r="L14" s="69"/>
      <c r="M14" s="72"/>
      <c r="N14" s="72"/>
      <c r="O14" s="72">
        <f t="shared" si="3"/>
        <v>0</v>
      </c>
      <c r="P14" s="73">
        <f>Pricing!M10</f>
        <v>37516.83</v>
      </c>
      <c r="Q14" s="74">
        <f t="shared" si="32"/>
        <v>3751.6830000000004</v>
      </c>
      <c r="R14" s="74">
        <f t="shared" si="33"/>
        <v>4539.5364300000001</v>
      </c>
      <c r="S14" s="74">
        <f t="shared" si="34"/>
        <v>229.04024715</v>
      </c>
      <c r="T14" s="74">
        <f t="shared" si="35"/>
        <v>460.37089677149999</v>
      </c>
      <c r="U14" s="72">
        <f t="shared" si="36"/>
        <v>46497.460573921497</v>
      </c>
      <c r="V14" s="74">
        <f t="shared" si="37"/>
        <v>697.46190860882245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15778.969700000001</v>
      </c>
      <c r="AE14" s="76">
        <f t="shared" si="43"/>
        <v>759.8360655737705</v>
      </c>
      <c r="AF14" s="346">
        <f t="shared" si="44"/>
        <v>778.67999999999984</v>
      </c>
      <c r="AG14" s="347"/>
      <c r="AH14" s="76">
        <f t="shared" si="45"/>
        <v>27.81</v>
      </c>
      <c r="AI14" s="76">
        <f t="shared" si="15"/>
        <v>92.699999999999989</v>
      </c>
      <c r="AJ14" s="76">
        <f>J14*Pricing!Q10</f>
        <v>2890.4838299999997</v>
      </c>
      <c r="AK14" s="76">
        <f>J14*Pricing!R10</f>
        <v>0</v>
      </c>
      <c r="AL14" s="76">
        <f t="shared" si="16"/>
        <v>5780.9676599999993</v>
      </c>
      <c r="AM14" s="77">
        <f t="shared" si="17"/>
        <v>0</v>
      </c>
      <c r="AN14" s="76">
        <f t="shared" si="18"/>
        <v>5780.9676599999993</v>
      </c>
      <c r="AO14" s="72">
        <f t="shared" si="19"/>
        <v>48853.94854810409</v>
      </c>
      <c r="AP14" s="74">
        <f t="shared" si="20"/>
        <v>87937.107386587362</v>
      </c>
      <c r="AQ14" s="74">
        <f t="shared" si="46"/>
        <v>0</v>
      </c>
      <c r="AR14" s="74">
        <f t="shared" si="22"/>
        <v>25470.111799259204</v>
      </c>
      <c r="AS14" s="72">
        <f t="shared" si="23"/>
        <v>167022.44478469144</v>
      </c>
      <c r="AT14" s="72">
        <f t="shared" si="24"/>
        <v>31099.111799259201</v>
      </c>
      <c r="AU14" s="78">
        <f t="shared" si="47"/>
        <v>2889.1779820939432</v>
      </c>
      <c r="AV14" s="79">
        <f t="shared" si="26"/>
        <v>8.5540759786195672E-2</v>
      </c>
      <c r="AW14" s="80">
        <f t="shared" si="27"/>
        <v>816.38447502628503</v>
      </c>
      <c r="AX14" s="81">
        <f t="shared" si="28"/>
        <v>2072.7935070676581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3 TRACK 2 SHUTTER SLIDING WINDOW</v>
      </c>
      <c r="D15" s="131" t="str">
        <f>Pricing!B11</f>
        <v>W7</v>
      </c>
      <c r="E15" s="132" t="str">
        <f>Pricing!N11</f>
        <v>20MM</v>
      </c>
      <c r="F15" s="68">
        <f>Pricing!G11</f>
        <v>1550</v>
      </c>
      <c r="G15" s="68">
        <f>Pricing!H11</f>
        <v>1917</v>
      </c>
      <c r="H15" s="100">
        <f t="shared" si="0"/>
        <v>2.9713500000000002</v>
      </c>
      <c r="I15" s="70">
        <f>Pricing!I11</f>
        <v>2</v>
      </c>
      <c r="J15" s="69">
        <f t="shared" si="30"/>
        <v>5.9427000000000003</v>
      </c>
      <c r="K15" s="71">
        <f t="shared" si="31"/>
        <v>63.967222800000002</v>
      </c>
      <c r="L15" s="69"/>
      <c r="M15" s="72"/>
      <c r="N15" s="72"/>
      <c r="O15" s="72">
        <f t="shared" si="3"/>
        <v>0</v>
      </c>
      <c r="P15" s="73">
        <f>Pricing!M11</f>
        <v>20940.900000000001</v>
      </c>
      <c r="Q15" s="74">
        <f t="shared" si="4"/>
        <v>2094.09</v>
      </c>
      <c r="R15" s="74">
        <f t="shared" si="5"/>
        <v>2533.8489000000004</v>
      </c>
      <c r="S15" s="74">
        <f t="shared" si="6"/>
        <v>127.84419450000001</v>
      </c>
      <c r="T15" s="74">
        <f t="shared" si="7"/>
        <v>256.96683094500003</v>
      </c>
      <c r="U15" s="72">
        <f t="shared" si="8"/>
        <v>25953.649925445003</v>
      </c>
      <c r="V15" s="74">
        <f t="shared" si="9"/>
        <v>389.30474888167504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15474.790800000001</v>
      </c>
      <c r="AE15" s="76">
        <f t="shared" si="43"/>
        <v>1136.7213114754099</v>
      </c>
      <c r="AF15" s="346">
        <f t="shared" si="44"/>
        <v>1164.9119999999998</v>
      </c>
      <c r="AG15" s="347"/>
      <c r="AH15" s="76">
        <f t="shared" si="45"/>
        <v>41.603999999999999</v>
      </c>
      <c r="AI15" s="76">
        <f t="shared" ref="AI15:AI20" si="49">(((F15+G15)*2*I15)/1000)*2*$AI$7</f>
        <v>138.68</v>
      </c>
      <c r="AJ15" s="76">
        <f>J15*Pricing!Q11</f>
        <v>3198.36114</v>
      </c>
      <c r="AK15" s="76">
        <f>J15*Pricing!R11</f>
        <v>0</v>
      </c>
      <c r="AL15" s="76">
        <f t="shared" si="16"/>
        <v>6396.72228</v>
      </c>
      <c r="AM15" s="77">
        <f t="shared" si="17"/>
        <v>0</v>
      </c>
      <c r="AN15" s="76">
        <f t="shared" si="18"/>
        <v>6396.72228</v>
      </c>
      <c r="AO15" s="72">
        <f t="shared" si="19"/>
        <v>28824.871985802085</v>
      </c>
      <c r="AP15" s="74">
        <f t="shared" si="20"/>
        <v>51884.769574443751</v>
      </c>
      <c r="AQ15" s="74">
        <f t="shared" si="21"/>
        <v>0</v>
      </c>
      <c r="AR15" s="74">
        <f t="shared" si="22"/>
        <v>13581.308422139065</v>
      </c>
      <c r="AS15" s="72">
        <f t="shared" si="23"/>
        <v>112176.23806024583</v>
      </c>
      <c r="AT15" s="72">
        <f t="shared" si="24"/>
        <v>18876.308422139064</v>
      </c>
      <c r="AU15" s="78">
        <f t="shared" si="25"/>
        <v>1753.6518415216522</v>
      </c>
      <c r="AV15" s="79">
        <f t="shared" si="26"/>
        <v>9.465205760595552E-2</v>
      </c>
      <c r="AW15" s="80">
        <f t="shared" si="27"/>
        <v>411.81957760915446</v>
      </c>
      <c r="AX15" s="81">
        <f t="shared" si="28"/>
        <v>1341.8322639124981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TOP HUNG WINDOW</v>
      </c>
      <c r="D16" s="131" t="str">
        <f>Pricing!B12</f>
        <v>W9</v>
      </c>
      <c r="E16" s="132" t="str">
        <f>Pricing!N12</f>
        <v>24MM (F)</v>
      </c>
      <c r="F16" s="68">
        <f>Pricing!G12</f>
        <v>620</v>
      </c>
      <c r="G16" s="68">
        <f>Pricing!H12</f>
        <v>600</v>
      </c>
      <c r="H16" s="100">
        <f t="shared" si="0"/>
        <v>0.372</v>
      </c>
      <c r="I16" s="70">
        <f>Pricing!I12</f>
        <v>1</v>
      </c>
      <c r="J16" s="69">
        <f t="shared" si="30"/>
        <v>0.372</v>
      </c>
      <c r="K16" s="71">
        <f t="shared" si="31"/>
        <v>4.0042079999999993</v>
      </c>
      <c r="L16" s="69"/>
      <c r="M16" s="72"/>
      <c r="N16" s="72"/>
      <c r="O16" s="72">
        <f t="shared" si="3"/>
        <v>0</v>
      </c>
      <c r="P16" s="73">
        <f>Pricing!M12</f>
        <v>10557.6</v>
      </c>
      <c r="Q16" s="74">
        <f t="shared" si="4"/>
        <v>1055.76</v>
      </c>
      <c r="R16" s="74">
        <f t="shared" si="5"/>
        <v>1277.4696000000001</v>
      </c>
      <c r="S16" s="74">
        <f t="shared" si="6"/>
        <v>64.454148000000004</v>
      </c>
      <c r="T16" s="74">
        <f t="shared" si="7"/>
        <v>129.55283748000002</v>
      </c>
      <c r="U16" s="72">
        <f t="shared" si="8"/>
        <v>13084.836585480001</v>
      </c>
      <c r="V16" s="74">
        <f t="shared" si="9"/>
        <v>196.2725487822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1465.68</v>
      </c>
      <c r="AE16" s="76">
        <f t="shared" si="43"/>
        <v>200</v>
      </c>
      <c r="AF16" s="346">
        <f t="shared" si="44"/>
        <v>204.96</v>
      </c>
      <c r="AG16" s="347"/>
      <c r="AH16" s="76">
        <f t="shared" si="45"/>
        <v>7.32</v>
      </c>
      <c r="AI16" s="76">
        <f t="shared" si="49"/>
        <v>24.4</v>
      </c>
      <c r="AJ16" s="76">
        <f>J16*Pricing!Q12</f>
        <v>0</v>
      </c>
      <c r="AK16" s="76">
        <f>J16*Pricing!R12</f>
        <v>8008.4160000000002</v>
      </c>
      <c r="AL16" s="76">
        <f t="shared" si="16"/>
        <v>400.42079999999993</v>
      </c>
      <c r="AM16" s="77">
        <f t="shared" si="17"/>
        <v>0</v>
      </c>
      <c r="AN16" s="76">
        <f t="shared" si="18"/>
        <v>400.42079999999993</v>
      </c>
      <c r="AO16" s="72">
        <f t="shared" si="19"/>
        <v>13717.789134262202</v>
      </c>
      <c r="AP16" s="74">
        <f t="shared" si="20"/>
        <v>24692.020441671964</v>
      </c>
      <c r="AQ16" s="74">
        <f t="shared" si="21"/>
        <v>0</v>
      </c>
      <c r="AR16" s="74">
        <f t="shared" si="22"/>
        <v>103252.17627939292</v>
      </c>
      <c r="AS16" s="72">
        <f t="shared" si="23"/>
        <v>48684.747175934164</v>
      </c>
      <c r="AT16" s="72">
        <f t="shared" si="24"/>
        <v>130872.97627939291</v>
      </c>
      <c r="AU16" s="78">
        <f t="shared" si="25"/>
        <v>12158.396161221935</v>
      </c>
      <c r="AV16" s="79">
        <f t="shared" si="26"/>
        <v>5.9250114307327385E-3</v>
      </c>
      <c r="AW16" s="80">
        <f t="shared" si="27"/>
        <v>3316.7880225658118</v>
      </c>
      <c r="AX16" s="81">
        <f t="shared" si="28"/>
        <v>8841.6081386561254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TOP HUNG WINDOW WITH BOTTOM FIXED</v>
      </c>
      <c r="D17" s="131" t="str">
        <f>Pricing!B13</f>
        <v>W10</v>
      </c>
      <c r="E17" s="132" t="str">
        <f>Pricing!N13</f>
        <v>24MM</v>
      </c>
      <c r="F17" s="68">
        <f>Pricing!G13</f>
        <v>555</v>
      </c>
      <c r="G17" s="68">
        <f>Pricing!H13</f>
        <v>2378</v>
      </c>
      <c r="H17" s="100">
        <f t="shared" si="0"/>
        <v>1.31979</v>
      </c>
      <c r="I17" s="70">
        <f>Pricing!I13</f>
        <v>4</v>
      </c>
      <c r="J17" s="69">
        <f t="shared" si="30"/>
        <v>5.2791600000000001</v>
      </c>
      <c r="K17" s="71">
        <f t="shared" si="31"/>
        <v>56.824878239999997</v>
      </c>
      <c r="L17" s="69"/>
      <c r="M17" s="72"/>
      <c r="N17" s="72"/>
      <c r="O17" s="72">
        <f t="shared" si="3"/>
        <v>0</v>
      </c>
      <c r="P17" s="73">
        <f>Pricing!M13</f>
        <v>73564.56</v>
      </c>
      <c r="Q17" s="74">
        <f t="shared" si="4"/>
        <v>7356.4560000000001</v>
      </c>
      <c r="R17" s="74">
        <f t="shared" si="5"/>
        <v>8901.3117600000005</v>
      </c>
      <c r="S17" s="74">
        <f t="shared" si="6"/>
        <v>449.11163880000004</v>
      </c>
      <c r="T17" s="74">
        <f t="shared" si="7"/>
        <v>902.71439398799998</v>
      </c>
      <c r="U17" s="72">
        <f t="shared" si="8"/>
        <v>91174.153792787998</v>
      </c>
      <c r="V17" s="74">
        <f t="shared" si="9"/>
        <v>1367.61230689182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15510.17208</v>
      </c>
      <c r="AE17" s="76">
        <f t="shared" si="43"/>
        <v>1923.2786885245901</v>
      </c>
      <c r="AF17" s="346">
        <f t="shared" si="44"/>
        <v>1970.9759999999999</v>
      </c>
      <c r="AG17" s="347"/>
      <c r="AH17" s="76">
        <f t="shared" si="45"/>
        <v>70.391999999999996</v>
      </c>
      <c r="AI17" s="76">
        <f t="shared" si="49"/>
        <v>234.64</v>
      </c>
      <c r="AJ17" s="76">
        <f>J17*Pricing!Q13</f>
        <v>0</v>
      </c>
      <c r="AK17" s="76">
        <f>J17*Pricing!R13</f>
        <v>56824.878239999998</v>
      </c>
      <c r="AL17" s="76">
        <f t="shared" si="16"/>
        <v>5682.4878239999989</v>
      </c>
      <c r="AM17" s="77">
        <f t="shared" si="17"/>
        <v>0</v>
      </c>
      <c r="AN17" s="76">
        <f t="shared" si="18"/>
        <v>5682.4878239999989</v>
      </c>
      <c r="AO17" s="72">
        <f t="shared" si="19"/>
        <v>96741.052788204412</v>
      </c>
      <c r="AP17" s="74">
        <f t="shared" si="20"/>
        <v>174133.89501876794</v>
      </c>
      <c r="AQ17" s="74">
        <f t="shared" si="21"/>
        <v>0</v>
      </c>
      <c r="AR17" s="74">
        <f t="shared" si="22"/>
        <v>51310.236440451205</v>
      </c>
      <c r="AS17" s="72">
        <f t="shared" si="23"/>
        <v>354574.97377497231</v>
      </c>
      <c r="AT17" s="72">
        <f t="shared" si="24"/>
        <v>67165.036440451193</v>
      </c>
      <c r="AU17" s="78">
        <f t="shared" si="25"/>
        <v>6239.7841360508355</v>
      </c>
      <c r="AV17" s="79">
        <f t="shared" si="26"/>
        <v>8.4083557378137233E-2</v>
      </c>
      <c r="AW17" s="80">
        <f t="shared" si="27"/>
        <v>1628.5431481054736</v>
      </c>
      <c r="AX17" s="81">
        <f t="shared" si="28"/>
        <v>4611.2409879453626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3 TRACK 2 SHUTTER SLIDING WINDOW</v>
      </c>
      <c r="D18" s="131" t="str">
        <f>Pricing!B14</f>
        <v>W11</v>
      </c>
      <c r="E18" s="132" t="str">
        <f>Pricing!N14</f>
        <v>20MM (F)</v>
      </c>
      <c r="F18" s="68">
        <f>Pricing!G14</f>
        <v>932</v>
      </c>
      <c r="G18" s="68">
        <f>Pricing!H14</f>
        <v>618</v>
      </c>
      <c r="H18" s="100">
        <f t="shared" si="0"/>
        <v>0.57597600000000004</v>
      </c>
      <c r="I18" s="70">
        <f>Pricing!I14</f>
        <v>5</v>
      </c>
      <c r="J18" s="69">
        <f t="shared" si="30"/>
        <v>2.87988</v>
      </c>
      <c r="K18" s="71">
        <f t="shared" si="31"/>
        <v>30.999028319999997</v>
      </c>
      <c r="L18" s="69"/>
      <c r="M18" s="72"/>
      <c r="N18" s="72"/>
      <c r="O18" s="72">
        <f t="shared" si="3"/>
        <v>0</v>
      </c>
      <c r="P18" s="73">
        <f>Pricing!M14</f>
        <v>26128.400000000001</v>
      </c>
      <c r="Q18" s="74">
        <f t="shared" si="4"/>
        <v>2612.84</v>
      </c>
      <c r="R18" s="74">
        <f t="shared" si="5"/>
        <v>3161.5364000000004</v>
      </c>
      <c r="S18" s="74">
        <f t="shared" si="6"/>
        <v>159.51388200000002</v>
      </c>
      <c r="T18" s="74">
        <f t="shared" si="7"/>
        <v>320.62290282000004</v>
      </c>
      <c r="U18" s="72">
        <f t="shared" si="8"/>
        <v>32382.913184820001</v>
      </c>
      <c r="V18" s="74">
        <f t="shared" si="9"/>
        <v>485.74369777229998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10384.84728</v>
      </c>
      <c r="AE18" s="76">
        <f t="shared" si="43"/>
        <v>1270.4918032786886</v>
      </c>
      <c r="AF18" s="346">
        <f t="shared" si="44"/>
        <v>1302.0000000000002</v>
      </c>
      <c r="AG18" s="347"/>
      <c r="AH18" s="76">
        <f t="shared" si="45"/>
        <v>46.5</v>
      </c>
      <c r="AI18" s="76">
        <f t="shared" si="49"/>
        <v>155</v>
      </c>
      <c r="AJ18" s="76">
        <f>J18*Pricing!Q14</f>
        <v>1549.9514159999999</v>
      </c>
      <c r="AK18" s="76">
        <f>J18*Pricing!R14</f>
        <v>0</v>
      </c>
      <c r="AL18" s="76">
        <f t="shared" si="16"/>
        <v>3099.9028319999998</v>
      </c>
      <c r="AM18" s="77">
        <f t="shared" si="17"/>
        <v>0</v>
      </c>
      <c r="AN18" s="76">
        <f t="shared" si="18"/>
        <v>3099.9028319999998</v>
      </c>
      <c r="AO18" s="72">
        <f t="shared" si="19"/>
        <v>35642.64868587099</v>
      </c>
      <c r="AP18" s="74">
        <f t="shared" si="20"/>
        <v>64156.767634567783</v>
      </c>
      <c r="AQ18" s="74">
        <f t="shared" si="21"/>
        <v>0</v>
      </c>
      <c r="AR18" s="74">
        <f t="shared" si="22"/>
        <v>34654.019028722993</v>
      </c>
      <c r="AS18" s="72">
        <f t="shared" si="23"/>
        <v>117934.02068043877</v>
      </c>
      <c r="AT18" s="72">
        <f t="shared" si="24"/>
        <v>40951.019028722993</v>
      </c>
      <c r="AU18" s="78">
        <f t="shared" si="25"/>
        <v>3804.4424961652726</v>
      </c>
      <c r="AV18" s="79">
        <f t="shared" si="26"/>
        <v>4.586914494392097E-2</v>
      </c>
      <c r="AW18" s="80">
        <f t="shared" si="27"/>
        <v>1060.3124892590924</v>
      </c>
      <c r="AX18" s="81">
        <f t="shared" si="28"/>
        <v>2744.1300069061804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2 SHUTTER SLIDING DOOR</v>
      </c>
      <c r="D19" s="131" t="str">
        <f>Pricing!B15</f>
        <v>W12</v>
      </c>
      <c r="E19" s="132" t="str">
        <f>Pricing!N15</f>
        <v>24MM</v>
      </c>
      <c r="F19" s="68">
        <f>Pricing!G15</f>
        <v>1772</v>
      </c>
      <c r="G19" s="68">
        <f>Pricing!H15</f>
        <v>2223</v>
      </c>
      <c r="H19" s="100">
        <f t="shared" si="0"/>
        <v>3.9391560000000001</v>
      </c>
      <c r="I19" s="70">
        <f>Pricing!I15</f>
        <v>2</v>
      </c>
      <c r="J19" s="69">
        <f t="shared" si="30"/>
        <v>7.8783120000000002</v>
      </c>
      <c r="K19" s="71">
        <f t="shared" si="31"/>
        <v>84.802150368</v>
      </c>
      <c r="L19" s="69"/>
      <c r="M19" s="72"/>
      <c r="N19" s="72"/>
      <c r="O19" s="72">
        <f t="shared" si="3"/>
        <v>0</v>
      </c>
      <c r="P19" s="73">
        <f>Pricing!M15</f>
        <v>68919.88</v>
      </c>
      <c r="Q19" s="74">
        <f t="shared" si="4"/>
        <v>6891.9880000000012</v>
      </c>
      <c r="R19" s="74">
        <f t="shared" si="5"/>
        <v>8339.3054800000009</v>
      </c>
      <c r="S19" s="74">
        <f t="shared" si="6"/>
        <v>420.7558674</v>
      </c>
      <c r="T19" s="74">
        <f t="shared" si="7"/>
        <v>845.71929347399998</v>
      </c>
      <c r="U19" s="72">
        <f t="shared" si="8"/>
        <v>85417.648640874002</v>
      </c>
      <c r="V19" s="74">
        <f t="shared" si="9"/>
        <v>1281.2647296131099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23146.480656</v>
      </c>
      <c r="AE19" s="76">
        <f t="shared" si="43"/>
        <v>1309.8360655737706</v>
      </c>
      <c r="AF19" s="346">
        <f t="shared" si="44"/>
        <v>1342.32</v>
      </c>
      <c r="AG19" s="347"/>
      <c r="AH19" s="76">
        <f t="shared" si="45"/>
        <v>47.94</v>
      </c>
      <c r="AI19" s="76">
        <f t="shared" si="49"/>
        <v>159.80000000000001</v>
      </c>
      <c r="AJ19" s="76">
        <f>J19*Pricing!Q15</f>
        <v>4240.1075183999992</v>
      </c>
      <c r="AK19" s="76">
        <f>J19*Pricing!R15</f>
        <v>0</v>
      </c>
      <c r="AL19" s="76">
        <f t="shared" si="16"/>
        <v>8480.2150367999984</v>
      </c>
      <c r="AM19" s="77">
        <f t="shared" si="17"/>
        <v>0</v>
      </c>
      <c r="AN19" s="76">
        <f t="shared" si="18"/>
        <v>8480.2150367999984</v>
      </c>
      <c r="AO19" s="72">
        <f t="shared" si="19"/>
        <v>89558.809436060867</v>
      </c>
      <c r="AP19" s="74">
        <f t="shared" si="20"/>
        <v>161205.85698490957</v>
      </c>
      <c r="AQ19" s="74">
        <f t="shared" si="21"/>
        <v>0</v>
      </c>
      <c r="AR19" s="74">
        <f t="shared" si="22"/>
        <v>31829.745562370521</v>
      </c>
      <c r="AS19" s="72">
        <f t="shared" si="23"/>
        <v>295111.68466897041</v>
      </c>
      <c r="AT19" s="72">
        <f t="shared" si="24"/>
        <v>37458.745562370517</v>
      </c>
      <c r="AU19" s="78">
        <f t="shared" si="25"/>
        <v>3480.0023748021663</v>
      </c>
      <c r="AV19" s="79">
        <f t="shared" si="26"/>
        <v>0.12548142111526589</v>
      </c>
      <c r="AW19" s="80">
        <f t="shared" si="27"/>
        <v>1022.36692105396</v>
      </c>
      <c r="AX19" s="81">
        <f t="shared" si="28"/>
        <v>2457.6354537482066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FIXED GLASS</v>
      </c>
      <c r="D20" s="131" t="str">
        <f>Pricing!B16</f>
        <v>W13</v>
      </c>
      <c r="E20" s="132" t="str">
        <f>Pricing!N16</f>
        <v>24MM</v>
      </c>
      <c r="F20" s="68">
        <f>Pricing!G16</f>
        <v>543</v>
      </c>
      <c r="G20" s="68">
        <f>Pricing!H16</f>
        <v>659</v>
      </c>
      <c r="H20" s="100">
        <f t="shared" si="0"/>
        <v>0.35783700000000002</v>
      </c>
      <c r="I20" s="70">
        <f>Pricing!I16</f>
        <v>1</v>
      </c>
      <c r="J20" s="69">
        <f t="shared" si="30"/>
        <v>0.35783700000000002</v>
      </c>
      <c r="K20" s="71">
        <f t="shared" si="31"/>
        <v>3.8517574679999997</v>
      </c>
      <c r="L20" s="69"/>
      <c r="M20" s="72"/>
      <c r="N20" s="72"/>
      <c r="O20" s="72">
        <f t="shared" si="3"/>
        <v>0</v>
      </c>
      <c r="P20" s="73">
        <f>Pricing!M16</f>
        <v>2360.52</v>
      </c>
      <c r="Q20" s="74">
        <f t="shared" si="4"/>
        <v>236.05200000000002</v>
      </c>
      <c r="R20" s="74">
        <f t="shared" si="5"/>
        <v>285.62292000000002</v>
      </c>
      <c r="S20" s="74">
        <f t="shared" si="6"/>
        <v>14.410974599999999</v>
      </c>
      <c r="T20" s="74">
        <f t="shared" si="7"/>
        <v>28.966058946</v>
      </c>
      <c r="U20" s="72">
        <f t="shared" si="8"/>
        <v>2925.5719535459998</v>
      </c>
      <c r="V20" s="74">
        <f t="shared" si="9"/>
        <v>43.883579303189997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1051.325106</v>
      </c>
      <c r="AE20" s="76">
        <f t="shared" si="43"/>
        <v>197.04918032786884</v>
      </c>
      <c r="AF20" s="346">
        <f t="shared" si="44"/>
        <v>201.93600000000001</v>
      </c>
      <c r="AG20" s="347"/>
      <c r="AH20" s="76">
        <f t="shared" si="45"/>
        <v>7.2119999999999997</v>
      </c>
      <c r="AI20" s="76">
        <f t="shared" si="49"/>
        <v>24.04</v>
      </c>
      <c r="AJ20" s="76">
        <f>J20*Pricing!Q16</f>
        <v>0</v>
      </c>
      <c r="AK20" s="76">
        <f>J20*Pricing!R16</f>
        <v>0</v>
      </c>
      <c r="AL20" s="76">
        <f t="shared" si="16"/>
        <v>385.17574679999996</v>
      </c>
      <c r="AM20" s="77">
        <f t="shared" si="17"/>
        <v>0</v>
      </c>
      <c r="AN20" s="76">
        <f t="shared" si="18"/>
        <v>385.17574679999996</v>
      </c>
      <c r="AO20" s="72">
        <f t="shared" si="19"/>
        <v>3399.6927131770581</v>
      </c>
      <c r="AP20" s="74">
        <f t="shared" si="20"/>
        <v>6119.4468837187051</v>
      </c>
      <c r="AQ20" s="74">
        <f t="shared" si="21"/>
        <v>0</v>
      </c>
      <c r="AR20" s="74">
        <f t="shared" si="22"/>
        <v>26601.887442874162</v>
      </c>
      <c r="AS20" s="72">
        <f t="shared" si="23"/>
        <v>11340.816196495764</v>
      </c>
      <c r="AT20" s="72">
        <f t="shared" si="24"/>
        <v>31692.687442874165</v>
      </c>
      <c r="AU20" s="78">
        <f t="shared" si="25"/>
        <v>2944.3225049121302</v>
      </c>
      <c r="AV20" s="79">
        <f t="shared" si="26"/>
        <v>5.6994309552126652E-3</v>
      </c>
      <c r="AW20" s="80">
        <f t="shared" si="27"/>
        <v>770.93523087035396</v>
      </c>
      <c r="AX20" s="81">
        <f t="shared" si="28"/>
        <v>2173.3872740417764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3 TRACK 2 SHUTTER SLIDING WINDOW</v>
      </c>
      <c r="D21" s="131" t="str">
        <f>Pricing!B17</f>
        <v>W14</v>
      </c>
      <c r="E21" s="132" t="str">
        <f>Pricing!N17</f>
        <v>20MM</v>
      </c>
      <c r="F21" s="68">
        <f>Pricing!G17</f>
        <v>2381</v>
      </c>
      <c r="G21" s="68">
        <f>Pricing!H17</f>
        <v>1473</v>
      </c>
      <c r="H21" s="100">
        <f t="shared" si="0"/>
        <v>3.5072130000000001</v>
      </c>
      <c r="I21" s="70">
        <f>Pricing!I17</f>
        <v>2</v>
      </c>
      <c r="J21" s="69">
        <f t="shared" si="30"/>
        <v>7.0144260000000003</v>
      </c>
      <c r="K21" s="71">
        <f t="shared" si="31"/>
        <v>75.503281463999997</v>
      </c>
      <c r="L21" s="69"/>
      <c r="M21" s="72"/>
      <c r="N21" s="72"/>
      <c r="O21" s="72">
        <f t="shared" si="3"/>
        <v>0</v>
      </c>
      <c r="P21" s="73">
        <f>Pricing!M17</f>
        <v>21169.98</v>
      </c>
      <c r="Q21" s="74">
        <f t="shared" ref="Q21:Q26" si="50">P21*$Q$6</f>
        <v>2116.998</v>
      </c>
      <c r="R21" s="74">
        <f t="shared" ref="R21:R26" si="51">(P21+Q21)*$R$6</f>
        <v>2561.5675799999999</v>
      </c>
      <c r="S21" s="74">
        <f t="shared" ref="S21:S26" si="52">(P21+Q21+R21)*$S$6</f>
        <v>129.24272790000001</v>
      </c>
      <c r="T21" s="74">
        <f t="shared" ref="T21:T26" si="53">(P21+Q21+R21+S21)*$T$6</f>
        <v>259.77788307899999</v>
      </c>
      <c r="U21" s="72">
        <f t="shared" ref="U21:U26" si="54">SUM(P21:T21)</f>
        <v>26237.566190979</v>
      </c>
      <c r="V21" s="74">
        <f t="shared" ref="V21:V26" si="55">U21*$V$6</f>
        <v>393.56349286468497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18265.565304</v>
      </c>
      <c r="AE21" s="76">
        <f t="shared" si="43"/>
        <v>1263.6065573770491</v>
      </c>
      <c r="AF21" s="346">
        <f t="shared" si="44"/>
        <v>1294.9440000000004</v>
      </c>
      <c r="AG21" s="347"/>
      <c r="AH21" s="76">
        <f t="shared" si="45"/>
        <v>46.248000000000005</v>
      </c>
      <c r="AI21" s="76">
        <f t="shared" si="15"/>
        <v>154.16</v>
      </c>
      <c r="AJ21" s="76">
        <f>J21*Pricing!Q17</f>
        <v>3775.1640731999996</v>
      </c>
      <c r="AK21" s="76">
        <f>J21*Pricing!R17</f>
        <v>0</v>
      </c>
      <c r="AL21" s="76">
        <f t="shared" si="16"/>
        <v>7550.3281463999992</v>
      </c>
      <c r="AM21" s="77">
        <f t="shared" si="17"/>
        <v>0</v>
      </c>
      <c r="AN21" s="76">
        <f t="shared" si="18"/>
        <v>7550.3281463999992</v>
      </c>
      <c r="AO21" s="72">
        <f t="shared" si="19"/>
        <v>29390.088241220732</v>
      </c>
      <c r="AP21" s="74">
        <f t="shared" si="20"/>
        <v>52902.158834197318</v>
      </c>
      <c r="AQ21" s="74">
        <f t="shared" ref="AQ21:AQ26" si="61">(AO21+AP21)*$AQ$6</f>
        <v>0</v>
      </c>
      <c r="AR21" s="74">
        <f t="shared" si="22"/>
        <v>11731.857613925651</v>
      </c>
      <c r="AS21" s="72">
        <f t="shared" si="23"/>
        <v>119433.63274541804</v>
      </c>
      <c r="AT21" s="72">
        <f t="shared" si="24"/>
        <v>17026.857613925651</v>
      </c>
      <c r="AU21" s="78">
        <f t="shared" ref="AU21:AU26" si="62">AT21/10.764</f>
        <v>1581.8336690752185</v>
      </c>
      <c r="AV21" s="79">
        <f t="shared" si="26"/>
        <v>0.11172191997319604</v>
      </c>
      <c r="AW21" s="80">
        <f t="shared" si="27"/>
        <v>352.71486440680621</v>
      </c>
      <c r="AX21" s="81">
        <f t="shared" si="28"/>
        <v>1229.1188046684122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2 SIDE HUNG DOORS WITH CORNOR FIXED</v>
      </c>
      <c r="D22" s="131" t="str">
        <f>Pricing!B18</f>
        <v>W15</v>
      </c>
      <c r="E22" s="132" t="str">
        <f>Pricing!N18</f>
        <v>24MM</v>
      </c>
      <c r="F22" s="68">
        <f>Pricing!G18</f>
        <v>3737</v>
      </c>
      <c r="G22" s="68">
        <f>Pricing!H18</f>
        <v>1981</v>
      </c>
      <c r="H22" s="100">
        <f t="shared" si="0"/>
        <v>7.402997</v>
      </c>
      <c r="I22" s="70">
        <f>Pricing!I18</f>
        <v>1</v>
      </c>
      <c r="J22" s="69">
        <f t="shared" si="30"/>
        <v>7.402997</v>
      </c>
      <c r="K22" s="71">
        <f t="shared" si="31"/>
        <v>79.685859707999995</v>
      </c>
      <c r="L22" s="69"/>
      <c r="M22" s="72"/>
      <c r="N22" s="72"/>
      <c r="O22" s="72">
        <f t="shared" si="3"/>
        <v>0</v>
      </c>
      <c r="P22" s="73">
        <f>Pricing!M18</f>
        <v>52893.409999999996</v>
      </c>
      <c r="Q22" s="74">
        <f t="shared" si="50"/>
        <v>5289.3410000000003</v>
      </c>
      <c r="R22" s="74">
        <f t="shared" si="51"/>
        <v>6400.1026099999999</v>
      </c>
      <c r="S22" s="74">
        <f t="shared" si="52"/>
        <v>322.91426804999998</v>
      </c>
      <c r="T22" s="74">
        <f t="shared" si="53"/>
        <v>649.05767878050005</v>
      </c>
      <c r="U22" s="72">
        <f t="shared" si="54"/>
        <v>65554.825556830503</v>
      </c>
      <c r="V22" s="74">
        <f t="shared" si="55"/>
        <v>983.32238335245756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21750.005185999999</v>
      </c>
      <c r="AE22" s="76">
        <f t="shared" si="43"/>
        <v>937.37704918032796</v>
      </c>
      <c r="AF22" s="346">
        <f t="shared" si="44"/>
        <v>960.62400000000002</v>
      </c>
      <c r="AG22" s="347"/>
      <c r="AH22" s="76">
        <f t="shared" si="45"/>
        <v>34.308</v>
      </c>
      <c r="AI22" s="76">
        <f t="shared" si="15"/>
        <v>114.36</v>
      </c>
      <c r="AJ22" s="76">
        <f>J22*Pricing!Q18</f>
        <v>0</v>
      </c>
      <c r="AK22" s="76">
        <f>J22*Pricing!R18</f>
        <v>31874.343883199996</v>
      </c>
      <c r="AL22" s="76">
        <f t="shared" si="16"/>
        <v>7968.5859707999989</v>
      </c>
      <c r="AM22" s="77">
        <f t="shared" si="17"/>
        <v>0</v>
      </c>
      <c r="AN22" s="76">
        <f t="shared" si="18"/>
        <v>7968.5859707999989</v>
      </c>
      <c r="AO22" s="72">
        <f t="shared" si="19"/>
        <v>68584.816989363288</v>
      </c>
      <c r="AP22" s="74">
        <f t="shared" si="20"/>
        <v>123452.67058085393</v>
      </c>
      <c r="AQ22" s="74">
        <f t="shared" si="61"/>
        <v>0</v>
      </c>
      <c r="AR22" s="74">
        <f t="shared" si="22"/>
        <v>25940.505928911931</v>
      </c>
      <c r="AS22" s="72">
        <f t="shared" si="23"/>
        <v>261599.0085810172</v>
      </c>
      <c r="AT22" s="72">
        <f t="shared" si="24"/>
        <v>35336.905928911925</v>
      </c>
      <c r="AU22" s="78">
        <f t="shared" si="62"/>
        <v>3282.8786630352961</v>
      </c>
      <c r="AV22" s="79">
        <f t="shared" si="26"/>
        <v>0.11791086517924779</v>
      </c>
      <c r="AW22" s="80">
        <f t="shared" si="27"/>
        <v>835.00571097563136</v>
      </c>
      <c r="AX22" s="81">
        <f t="shared" si="28"/>
        <v>2447.8729520596648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37.230071000000002</v>
      </c>
      <c r="I109" s="87">
        <f>SUM(I8:I108)</f>
        <v>30</v>
      </c>
      <c r="J109" s="88">
        <f>SUM(J8:J108)</f>
        <v>62.784689</v>
      </c>
      <c r="K109" s="89">
        <f>SUM(K8:K108)</f>
        <v>675.81439239599979</v>
      </c>
      <c r="L109" s="88">
        <f>SUM(L8:L8)</f>
        <v>0</v>
      </c>
      <c r="M109" s="88"/>
      <c r="N109" s="88"/>
      <c r="O109" s="88"/>
      <c r="P109" s="87">
        <f>SUM(P8:P108)</f>
        <v>426315.39</v>
      </c>
      <c r="Q109" s="88">
        <f t="shared" ref="Q109:AE109" si="156">SUM(Q8:Q108)</f>
        <v>42631.539000000004</v>
      </c>
      <c r="R109" s="88">
        <f t="shared" si="156"/>
        <v>51584.16219000001</v>
      </c>
      <c r="S109" s="88">
        <f t="shared" si="156"/>
        <v>2602.65545595</v>
      </c>
      <c r="T109" s="88">
        <f t="shared" si="156"/>
        <v>5231.3374664595003</v>
      </c>
      <c r="U109" s="88">
        <f t="shared" si="156"/>
        <v>528365.0841124095</v>
      </c>
      <c r="V109" s="88">
        <f t="shared" si="156"/>
        <v>7925.4762616861426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177588.40001999997</v>
      </c>
      <c r="AE109" s="88">
        <f t="shared" si="156"/>
        <v>13936.065573770491</v>
      </c>
      <c r="AF109" s="407">
        <f>SUM(AF8:AG108)</f>
        <v>14281.68</v>
      </c>
      <c r="AG109" s="408"/>
      <c r="AH109" s="88">
        <f t="shared" ref="AH109:AQ109" si="157">SUM(AH8:AH108)</f>
        <v>510.05999999999995</v>
      </c>
      <c r="AI109" s="88">
        <f t="shared" si="157"/>
        <v>1700.2</v>
      </c>
      <c r="AJ109" s="88">
        <f t="shared" ref="AJ109" si="158">SUM(AJ8:AJ108)</f>
        <v>26572.384448999997</v>
      </c>
      <c r="AK109" s="88">
        <f t="shared" si="157"/>
        <v>96707.638123199984</v>
      </c>
      <c r="AL109" s="88">
        <f t="shared" si="157"/>
        <v>67581.439239599975</v>
      </c>
      <c r="AM109" s="88">
        <f t="shared" si="157"/>
        <v>0</v>
      </c>
      <c r="AN109" s="88">
        <f t="shared" si="157"/>
        <v>67581.439239599975</v>
      </c>
      <c r="AO109" s="88">
        <f t="shared" si="157"/>
        <v>566718.56594786607</v>
      </c>
      <c r="AP109" s="88">
        <f t="shared" si="157"/>
        <v>1020093.4187061591</v>
      </c>
      <c r="AQ109" s="88">
        <f t="shared" si="157"/>
        <v>0</v>
      </c>
      <c r="AR109" s="88"/>
      <c r="AS109" s="87">
        <f>SUM(AS8:AS108)</f>
        <v>2022843.2857254248</v>
      </c>
      <c r="AT109" s="90"/>
      <c r="AU109" s="91"/>
      <c r="AV109" s="92">
        <f>SUM(AV8:AV108)</f>
        <v>1.0000000000000004</v>
      </c>
    </row>
    <row r="110" spans="2:54" ht="13.5" thickTop="1">
      <c r="AF110" s="49">
        <f>AF109</f>
        <v>14281.68</v>
      </c>
      <c r="AW110" s="84"/>
    </row>
    <row r="111" spans="2:54">
      <c r="AF111" s="174"/>
      <c r="AG111" s="174"/>
      <c r="AH111" s="174">
        <f>SUM(AE109:AI109,AC109)</f>
        <v>30428.005573770493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7"/>
  <sheetViews>
    <sheetView tabSelected="1" view="pageBreakPreview" zoomScale="55" zoomScaleNormal="60" zoomScaleSheetLayoutView="55" workbookViewId="0">
      <selection activeCell="O27" sqref="O27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33.8554687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2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4"/>
    </row>
    <row r="2" spans="2:15" ht="23.25" customHeight="1">
      <c r="B2" s="505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7"/>
    </row>
    <row r="3" spans="2:15" ht="23.25" customHeight="1">
      <c r="B3" s="505"/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7"/>
    </row>
    <row r="4" spans="2:15" ht="30" customHeight="1">
      <c r="B4" s="505"/>
      <c r="C4" s="506"/>
      <c r="D4" s="506"/>
      <c r="E4" s="506"/>
      <c r="F4" s="506"/>
      <c r="G4" s="506"/>
      <c r="H4" s="506"/>
      <c r="I4" s="506"/>
      <c r="J4" s="506"/>
      <c r="K4" s="506"/>
      <c r="L4" s="506"/>
      <c r="M4" s="506"/>
      <c r="N4" s="507"/>
    </row>
    <row r="5" spans="2:15" ht="30" customHeight="1" thickBot="1">
      <c r="B5" s="505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7"/>
    </row>
    <row r="6" spans="2:15" ht="24.95" customHeight="1" thickTop="1">
      <c r="B6" s="447"/>
      <c r="C6" s="448"/>
      <c r="D6" s="448"/>
      <c r="E6" s="448"/>
      <c r="F6" s="448"/>
      <c r="G6" s="448"/>
      <c r="H6" s="448"/>
      <c r="I6" s="448"/>
      <c r="J6" s="449"/>
      <c r="K6" s="454" t="s">
        <v>103</v>
      </c>
      <c r="L6" s="455"/>
      <c r="M6" s="450" t="str">
        <f>'BD Team'!J2</f>
        <v>ABPL-DE-19.20-2208</v>
      </c>
      <c r="N6" s="451"/>
    </row>
    <row r="7" spans="2:15" ht="24.95" customHeight="1">
      <c r="B7" s="430" t="s">
        <v>126</v>
      </c>
      <c r="C7" s="431"/>
      <c r="D7" s="431"/>
      <c r="E7" s="431"/>
      <c r="F7" s="463" t="str">
        <f>'BD Team'!E2</f>
        <v>Mr. Madhav reddy</v>
      </c>
      <c r="G7" s="463"/>
      <c r="H7" s="463"/>
      <c r="I7" s="463"/>
      <c r="J7" s="464"/>
      <c r="K7" s="439" t="s">
        <v>104</v>
      </c>
      <c r="L7" s="431"/>
      <c r="M7" s="436">
        <f>'BD Team'!J3</f>
        <v>43738</v>
      </c>
      <c r="N7" s="437"/>
    </row>
    <row r="8" spans="2:15" ht="24.95" customHeight="1">
      <c r="B8" s="430" t="s">
        <v>127</v>
      </c>
      <c r="C8" s="431"/>
      <c r="D8" s="431"/>
      <c r="E8" s="431"/>
      <c r="F8" s="215" t="str">
        <f>'BD Team'!E3</f>
        <v>Hyderabad</v>
      </c>
      <c r="G8" s="465" t="s">
        <v>179</v>
      </c>
      <c r="H8" s="466"/>
      <c r="I8" s="463" t="str">
        <f>'BD Team'!G3</f>
        <v>1.5Kpa</v>
      </c>
      <c r="J8" s="464"/>
      <c r="K8" s="439" t="s">
        <v>105</v>
      </c>
      <c r="L8" s="431"/>
      <c r="M8" s="178" t="s">
        <v>364</v>
      </c>
      <c r="N8" s="179">
        <v>43738</v>
      </c>
    </row>
    <row r="9" spans="2:15" ht="24.95" customHeight="1">
      <c r="B9" s="430" t="s">
        <v>168</v>
      </c>
      <c r="C9" s="431"/>
      <c r="D9" s="431"/>
      <c r="E9" s="431"/>
      <c r="F9" s="463" t="str">
        <f>'BD Team'!E4</f>
        <v>Ms. Rachana : 9154030271</v>
      </c>
      <c r="G9" s="463"/>
      <c r="H9" s="463"/>
      <c r="I9" s="463"/>
      <c r="J9" s="464"/>
      <c r="K9" s="439" t="s">
        <v>178</v>
      </c>
      <c r="L9" s="431"/>
      <c r="M9" s="452" t="str">
        <f>'BD Team'!J4</f>
        <v>Nikhil</v>
      </c>
      <c r="N9" s="453"/>
    </row>
    <row r="10" spans="2:15" ht="27.75" customHeight="1" thickBot="1">
      <c r="B10" s="432" t="s">
        <v>176</v>
      </c>
      <c r="C10" s="433"/>
      <c r="D10" s="433"/>
      <c r="E10" s="433"/>
      <c r="F10" s="217" t="str">
        <f>'BD Team'!E5</f>
        <v>Powder Coating Black Matt</v>
      </c>
      <c r="G10" s="444" t="s">
        <v>177</v>
      </c>
      <c r="H10" s="445"/>
      <c r="I10" s="442" t="str">
        <f>'BD Team'!G5</f>
        <v>Black</v>
      </c>
      <c r="J10" s="443"/>
      <c r="K10" s="440" t="s">
        <v>374</v>
      </c>
      <c r="L10" s="441"/>
      <c r="M10" s="434">
        <f>'BD Team'!J5</f>
        <v>0</v>
      </c>
      <c r="N10" s="435"/>
    </row>
    <row r="11" spans="2:15" ht="19.5" thickTop="1">
      <c r="B11" s="508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10"/>
    </row>
    <row r="12" spans="2:15" s="93" customFormat="1" ht="19.5" thickBot="1">
      <c r="B12" s="508"/>
      <c r="C12" s="509"/>
      <c r="D12" s="509"/>
      <c r="E12" s="509"/>
      <c r="F12" s="509"/>
      <c r="G12" s="509"/>
      <c r="H12" s="509"/>
      <c r="I12" s="509"/>
      <c r="J12" s="509"/>
      <c r="K12" s="509"/>
      <c r="L12" s="509"/>
      <c r="M12" s="509"/>
      <c r="N12" s="510"/>
    </row>
    <row r="13" spans="2:15" s="93" customFormat="1" ht="18" customHeight="1" thickTop="1" thickBot="1">
      <c r="B13" s="467" t="s">
        <v>169</v>
      </c>
      <c r="C13" s="468"/>
      <c r="D13" s="438" t="s">
        <v>170</v>
      </c>
      <c r="E13" s="438" t="s">
        <v>171</v>
      </c>
      <c r="F13" s="438" t="s">
        <v>37</v>
      </c>
      <c r="G13" s="446" t="s">
        <v>63</v>
      </c>
      <c r="H13" s="446" t="s">
        <v>209</v>
      </c>
      <c r="I13" s="446" t="s">
        <v>208</v>
      </c>
      <c r="J13" s="469" t="s">
        <v>172</v>
      </c>
      <c r="K13" s="469" t="s">
        <v>173</v>
      </c>
      <c r="L13" s="468" t="s">
        <v>210</v>
      </c>
      <c r="M13" s="469" t="s">
        <v>174</v>
      </c>
      <c r="N13" s="470" t="s">
        <v>175</v>
      </c>
    </row>
    <row r="14" spans="2:15" s="94" customFormat="1" ht="18" customHeight="1" thickTop="1" thickBot="1">
      <c r="B14" s="467"/>
      <c r="C14" s="468"/>
      <c r="D14" s="438"/>
      <c r="E14" s="438"/>
      <c r="F14" s="438"/>
      <c r="G14" s="446"/>
      <c r="H14" s="446"/>
      <c r="I14" s="446"/>
      <c r="J14" s="469"/>
      <c r="K14" s="469"/>
      <c r="L14" s="468"/>
      <c r="M14" s="469"/>
      <c r="N14" s="470"/>
    </row>
    <row r="15" spans="2:15" s="94" customFormat="1" ht="26.25" customHeight="1" thickTop="1" thickBot="1">
      <c r="B15" s="467"/>
      <c r="C15" s="468"/>
      <c r="D15" s="438"/>
      <c r="E15" s="438"/>
      <c r="F15" s="438"/>
      <c r="G15" s="446"/>
      <c r="H15" s="446"/>
      <c r="I15" s="446"/>
      <c r="J15" s="469"/>
      <c r="K15" s="469"/>
      <c r="L15" s="468"/>
      <c r="M15" s="469"/>
      <c r="N15" s="470"/>
    </row>
    <row r="16" spans="2:15" s="94" customFormat="1" ht="49.9" customHeight="1" thickTop="1" thickBot="1">
      <c r="B16" s="416">
        <f>Pricing!A4</f>
        <v>1</v>
      </c>
      <c r="C16" s="417"/>
      <c r="D16" s="187" t="str">
        <f>Pricing!B4</f>
        <v>W1</v>
      </c>
      <c r="E16" s="187" t="str">
        <f>Pricing!C4</f>
        <v>M900</v>
      </c>
      <c r="F16" s="187" t="str">
        <f>Pricing!D4</f>
        <v>3 TRACK 2 SHUTTER SLIDING WINDOW</v>
      </c>
      <c r="G16" s="187" t="str">
        <f>Pricing!N4</f>
        <v>20MM</v>
      </c>
      <c r="H16" s="187" t="str">
        <f>Pricing!F4</f>
        <v>GF - POOJA ROOM</v>
      </c>
      <c r="I16" s="216" t="str">
        <f>Pricing!E4</f>
        <v>SS</v>
      </c>
      <c r="J16" s="216">
        <f>Pricing!G4</f>
        <v>1430</v>
      </c>
      <c r="K16" s="216">
        <f>Pricing!H4</f>
        <v>630</v>
      </c>
      <c r="L16" s="216">
        <f>Pricing!I4</f>
        <v>1</v>
      </c>
      <c r="M16" s="188">
        <f t="shared" ref="M16:M24" si="0">J16*K16*L16/1000000</f>
        <v>0.90090000000000003</v>
      </c>
      <c r="N16" s="189">
        <f>'Cost Calculation'!AS8</f>
        <v>28375.286764476303</v>
      </c>
      <c r="O16" s="95"/>
    </row>
    <row r="17" spans="2:15" s="94" customFormat="1" ht="49.9" customHeight="1" thickTop="1" thickBot="1">
      <c r="B17" s="416">
        <f>Pricing!A5</f>
        <v>2</v>
      </c>
      <c r="C17" s="417"/>
      <c r="D17" s="187" t="str">
        <f>Pricing!B5</f>
        <v>W2</v>
      </c>
      <c r="E17" s="187" t="str">
        <f>Pricing!C5</f>
        <v>M14600</v>
      </c>
      <c r="F17" s="187" t="str">
        <f>Pricing!D5</f>
        <v>3 TRACK 2 SHUTTER SLIDING DOOR</v>
      </c>
      <c r="G17" s="187" t="str">
        <f>Pricing!N5</f>
        <v>24MM</v>
      </c>
      <c r="H17" s="187" t="str">
        <f>Pricing!F5</f>
        <v>GF - DINING</v>
      </c>
      <c r="I17" s="216" t="str">
        <f>Pricing!E5</f>
        <v>SS</v>
      </c>
      <c r="J17" s="216">
        <f>Pricing!G5</f>
        <v>2620</v>
      </c>
      <c r="K17" s="216">
        <f>Pricing!H5</f>
        <v>2210</v>
      </c>
      <c r="L17" s="216">
        <f>Pricing!I5</f>
        <v>1</v>
      </c>
      <c r="M17" s="188">
        <f t="shared" si="0"/>
        <v>5.7901999999999996</v>
      </c>
      <c r="N17" s="189">
        <f>'Cost Calculation'!AS9</f>
        <v>171672.76037735367</v>
      </c>
      <c r="O17" s="95"/>
    </row>
    <row r="18" spans="2:15" s="94" customFormat="1" ht="49.9" customHeight="1" thickTop="1" thickBot="1">
      <c r="B18" s="416">
        <f>Pricing!A6</f>
        <v>3</v>
      </c>
      <c r="C18" s="417"/>
      <c r="D18" s="187" t="str">
        <f>Pricing!B6</f>
        <v>W3</v>
      </c>
      <c r="E18" s="187" t="str">
        <f>Pricing!C6</f>
        <v>M900</v>
      </c>
      <c r="F18" s="187" t="str">
        <f>Pricing!D6</f>
        <v>3 TRACK 2 SHUTTER SLIDING WINDOW</v>
      </c>
      <c r="G18" s="187" t="str">
        <f>Pricing!N6</f>
        <v>20MM</v>
      </c>
      <c r="H18" s="187" t="str">
        <f>Pricing!F6</f>
        <v>GF - KITCHEN</v>
      </c>
      <c r="I18" s="216" t="str">
        <f>Pricing!E6</f>
        <v>SS</v>
      </c>
      <c r="J18" s="216">
        <f>Pricing!G6</f>
        <v>2420</v>
      </c>
      <c r="K18" s="216">
        <f>Pricing!H6</f>
        <v>460</v>
      </c>
      <c r="L18" s="216">
        <f>Pricing!I6</f>
        <v>1</v>
      </c>
      <c r="M18" s="188">
        <f t="shared" si="0"/>
        <v>1.1132</v>
      </c>
      <c r="N18" s="189">
        <f>'Cost Calculation'!AS10</f>
        <v>34542.787774052784</v>
      </c>
      <c r="O18" s="95"/>
    </row>
    <row r="19" spans="2:15" s="94" customFormat="1" ht="49.9" customHeight="1" thickTop="1" thickBot="1">
      <c r="B19" s="416">
        <f>Pricing!A7</f>
        <v>4</v>
      </c>
      <c r="C19" s="417"/>
      <c r="D19" s="187" t="str">
        <f>Pricing!B7</f>
        <v>W4</v>
      </c>
      <c r="E19" s="187" t="str">
        <f>Pricing!C7</f>
        <v>M900</v>
      </c>
      <c r="F19" s="187" t="str">
        <f>Pricing!D7</f>
        <v>3 TRACK 2 SHUTTER SLIDING WINDOW</v>
      </c>
      <c r="G19" s="187" t="str">
        <f>Pricing!N7</f>
        <v>20MM</v>
      </c>
      <c r="H19" s="187" t="str">
        <f>Pricing!F7</f>
        <v>GF - STORE</v>
      </c>
      <c r="I19" s="216" t="str">
        <f>Pricing!E7</f>
        <v>SS</v>
      </c>
      <c r="J19" s="216">
        <f>Pricing!G7</f>
        <v>925</v>
      </c>
      <c r="K19" s="216">
        <f>Pricing!H7</f>
        <v>600</v>
      </c>
      <c r="L19" s="216">
        <f>Pricing!I7</f>
        <v>1</v>
      </c>
      <c r="M19" s="188">
        <f t="shared" si="0"/>
        <v>0.55500000000000005</v>
      </c>
      <c r="N19" s="189">
        <f>'Cost Calculation'!AS11</f>
        <v>22642.595201696757</v>
      </c>
      <c r="O19" s="95"/>
    </row>
    <row r="20" spans="2:15" s="94" customFormat="1" ht="49.9" customHeight="1" thickTop="1" thickBot="1">
      <c r="B20" s="416">
        <f>Pricing!A8</f>
        <v>5</v>
      </c>
      <c r="C20" s="417"/>
      <c r="D20" s="187" t="str">
        <f>Pricing!B8</f>
        <v>W5</v>
      </c>
      <c r="E20" s="187" t="str">
        <f>Pricing!C8</f>
        <v>M900</v>
      </c>
      <c r="F20" s="187" t="str">
        <f>Pricing!D8</f>
        <v>3 TRACK 2 SHUTTER SLIDING WINDOW</v>
      </c>
      <c r="G20" s="187" t="str">
        <f>Pricing!N8</f>
        <v>20MM</v>
      </c>
      <c r="H20" s="187" t="str">
        <f>Pricing!F8</f>
        <v>GF - GUEST BEDROOM</v>
      </c>
      <c r="I20" s="216" t="str">
        <f>Pricing!E8</f>
        <v>SS</v>
      </c>
      <c r="J20" s="216">
        <f>Pricing!G8</f>
        <v>1829</v>
      </c>
      <c r="K20" s="216">
        <f>Pricing!H8</f>
        <v>609</v>
      </c>
      <c r="L20" s="216">
        <f>Pricing!I8</f>
        <v>2</v>
      </c>
      <c r="M20" s="188">
        <f t="shared" si="0"/>
        <v>2.227722</v>
      </c>
      <c r="N20" s="189">
        <f>'Cost Calculation'!AS12</f>
        <v>64154.62502552833</v>
      </c>
      <c r="O20" s="95"/>
    </row>
    <row r="21" spans="2:15" s="94" customFormat="1" ht="49.9" customHeight="1" thickTop="1" thickBot="1">
      <c r="B21" s="416">
        <f>Pricing!A9</f>
        <v>6</v>
      </c>
      <c r="C21" s="417"/>
      <c r="D21" s="187" t="str">
        <f>Pricing!B9</f>
        <v>W6</v>
      </c>
      <c r="E21" s="187" t="str">
        <f>Pricing!C9</f>
        <v>M900</v>
      </c>
      <c r="F21" s="187" t="str">
        <f>Pricing!D9</f>
        <v>3 TRACK 2 SHUTTER SLIDING WINDOW</v>
      </c>
      <c r="G21" s="187" t="str">
        <f>Pricing!N9</f>
        <v>20MM</v>
      </c>
      <c r="H21" s="187" t="str">
        <f>Pricing!F9</f>
        <v>GF - GBR, 1F - BR &amp; MBR</v>
      </c>
      <c r="I21" s="216" t="str">
        <f>Pricing!E9</f>
        <v>SS</v>
      </c>
      <c r="J21" s="216">
        <f>Pricing!G9</f>
        <v>1317</v>
      </c>
      <c r="K21" s="216">
        <f>Pricing!H9</f>
        <v>1473</v>
      </c>
      <c r="L21" s="216">
        <f>Pricing!I9</f>
        <v>5</v>
      </c>
      <c r="M21" s="188">
        <f t="shared" si="0"/>
        <v>9.6997049999999998</v>
      </c>
      <c r="N21" s="189">
        <f>'Cost Calculation'!AS13</f>
        <v>213577.66391413315</v>
      </c>
      <c r="O21" s="95"/>
    </row>
    <row r="22" spans="2:15" s="94" customFormat="1" ht="49.9" customHeight="1" thickTop="1" thickBot="1">
      <c r="B22" s="416">
        <f>Pricing!A10</f>
        <v>7</v>
      </c>
      <c r="C22" s="417"/>
      <c r="D22" s="187" t="str">
        <f>Pricing!B10</f>
        <v>W8</v>
      </c>
      <c r="E22" s="187" t="str">
        <f>Pricing!C10</f>
        <v>M14600</v>
      </c>
      <c r="F22" s="187" t="str">
        <f>Pricing!D10</f>
        <v>3 TRACK 2 SHUTTER SLIDING DOOR</v>
      </c>
      <c r="G22" s="187" t="str">
        <f>Pricing!N10</f>
        <v>24MM</v>
      </c>
      <c r="H22" s="187" t="str">
        <f>Pricing!F10</f>
        <v>GF - LIVING</v>
      </c>
      <c r="I22" s="216" t="str">
        <f>Pricing!E10</f>
        <v>SS</v>
      </c>
      <c r="J22" s="216">
        <f>Pricing!G10</f>
        <v>2305</v>
      </c>
      <c r="K22" s="216">
        <f>Pricing!H10</f>
        <v>2330</v>
      </c>
      <c r="L22" s="216">
        <f>Pricing!I10</f>
        <v>1</v>
      </c>
      <c r="M22" s="188">
        <f t="shared" si="0"/>
        <v>5.3706500000000004</v>
      </c>
      <c r="N22" s="189">
        <f>'Cost Calculation'!AS14</f>
        <v>167022.44478469144</v>
      </c>
      <c r="O22" s="95"/>
    </row>
    <row r="23" spans="2:15" s="94" customFormat="1" ht="49.9" customHeight="1" thickTop="1" thickBot="1">
      <c r="B23" s="416">
        <f>Pricing!A11</f>
        <v>8</v>
      </c>
      <c r="C23" s="417"/>
      <c r="D23" s="187" t="str">
        <f>Pricing!B11</f>
        <v>W7</v>
      </c>
      <c r="E23" s="187" t="str">
        <f>Pricing!C11</f>
        <v>M900</v>
      </c>
      <c r="F23" s="187" t="str">
        <f>Pricing!D11</f>
        <v>3 TRACK 2 SHUTTER SLIDING WINDOW</v>
      </c>
      <c r="G23" s="187" t="str">
        <f>Pricing!N11</f>
        <v>20MM</v>
      </c>
      <c r="H23" s="187" t="str">
        <f>Pricing!F11</f>
        <v>GF - LIVING</v>
      </c>
      <c r="I23" s="216" t="str">
        <f>Pricing!E11</f>
        <v>SS</v>
      </c>
      <c r="J23" s="216">
        <f>Pricing!G11</f>
        <v>1550</v>
      </c>
      <c r="K23" s="216">
        <f>Pricing!H11</f>
        <v>1917</v>
      </c>
      <c r="L23" s="216">
        <f>Pricing!I11</f>
        <v>2</v>
      </c>
      <c r="M23" s="188">
        <f t="shared" si="0"/>
        <v>5.9427000000000003</v>
      </c>
      <c r="N23" s="189">
        <f>'Cost Calculation'!AS15</f>
        <v>112176.23806024583</v>
      </c>
      <c r="O23" s="95"/>
    </row>
    <row r="24" spans="2:15" s="94" customFormat="1" ht="49.9" customHeight="1" thickTop="1" thickBot="1">
      <c r="B24" s="416">
        <f>Pricing!A12</f>
        <v>9</v>
      </c>
      <c r="C24" s="417"/>
      <c r="D24" s="187" t="str">
        <f>Pricing!B12</f>
        <v>W9</v>
      </c>
      <c r="E24" s="187" t="str">
        <f>Pricing!C12</f>
        <v>M15000</v>
      </c>
      <c r="F24" s="187" t="str">
        <f>Pricing!D12</f>
        <v>TOP HUNG WINDOW</v>
      </c>
      <c r="G24" s="187" t="str">
        <f>Pricing!N12</f>
        <v>24MM (F)</v>
      </c>
      <c r="H24" s="187" t="str">
        <f>Pricing!F12</f>
        <v>GF - POWDER ROOM</v>
      </c>
      <c r="I24" s="216" t="str">
        <f>Pricing!E12</f>
        <v>ROLL UP</v>
      </c>
      <c r="J24" s="216">
        <f>Pricing!G12</f>
        <v>620</v>
      </c>
      <c r="K24" s="216">
        <f>Pricing!H12</f>
        <v>600</v>
      </c>
      <c r="L24" s="216">
        <f>Pricing!I12</f>
        <v>1</v>
      </c>
      <c r="M24" s="188">
        <f t="shared" si="0"/>
        <v>0.372</v>
      </c>
      <c r="N24" s="189">
        <f>'Cost Calculation'!AS16</f>
        <v>48684.747175934164</v>
      </c>
      <c r="O24" s="95"/>
    </row>
    <row r="25" spans="2:15" s="94" customFormat="1" ht="49.9" customHeight="1" thickTop="1" thickBot="1">
      <c r="B25" s="416">
        <f>Pricing!A13</f>
        <v>10</v>
      </c>
      <c r="C25" s="417"/>
      <c r="D25" s="187" t="str">
        <f>Pricing!B13</f>
        <v>W10</v>
      </c>
      <c r="E25" s="187" t="str">
        <f>Pricing!C13</f>
        <v>M15000</v>
      </c>
      <c r="F25" s="187" t="str">
        <f>Pricing!D13</f>
        <v>TOP HUNG WINDOW WITH BOTTOM FIXED</v>
      </c>
      <c r="G25" s="187" t="str">
        <f>Pricing!N13</f>
        <v>24MM</v>
      </c>
      <c r="H25" s="187" t="str">
        <f>Pricing!F13</f>
        <v>STAIRCASE</v>
      </c>
      <c r="I25" s="216" t="str">
        <f>Pricing!E13</f>
        <v>ROLL UP</v>
      </c>
      <c r="J25" s="216">
        <f>Pricing!G13</f>
        <v>555</v>
      </c>
      <c r="K25" s="216">
        <f>Pricing!H13</f>
        <v>2378</v>
      </c>
      <c r="L25" s="216">
        <f>Pricing!I13</f>
        <v>4</v>
      </c>
      <c r="M25" s="188">
        <f t="shared" ref="M25:M42" si="1">J25*K25*L25/1000000</f>
        <v>5.2791600000000001</v>
      </c>
      <c r="N25" s="189">
        <f>'Cost Calculation'!AS17</f>
        <v>354574.97377497231</v>
      </c>
      <c r="O25" s="95"/>
    </row>
    <row r="26" spans="2:15" s="94" customFormat="1" ht="49.9" customHeight="1" thickTop="1" thickBot="1">
      <c r="B26" s="416">
        <f>Pricing!A14</f>
        <v>11</v>
      </c>
      <c r="C26" s="417"/>
      <c r="D26" s="187" t="str">
        <f>Pricing!B14</f>
        <v>W11</v>
      </c>
      <c r="E26" s="187" t="str">
        <f>Pricing!C14</f>
        <v>M900</v>
      </c>
      <c r="F26" s="187" t="str">
        <f>Pricing!D14</f>
        <v>3 TRACK 2 SHUTTER SLIDING WINDOW</v>
      </c>
      <c r="G26" s="187" t="str">
        <f>Pricing!N14</f>
        <v>20MM (F)</v>
      </c>
      <c r="H26" s="187" t="str">
        <f>Pricing!F14</f>
        <v>TOILETS</v>
      </c>
      <c r="I26" s="216" t="str">
        <f>Pricing!E14</f>
        <v>SS</v>
      </c>
      <c r="J26" s="216">
        <f>Pricing!G14</f>
        <v>932</v>
      </c>
      <c r="K26" s="216">
        <f>Pricing!H14</f>
        <v>618</v>
      </c>
      <c r="L26" s="216">
        <f>Pricing!I14</f>
        <v>5</v>
      </c>
      <c r="M26" s="188">
        <f t="shared" si="1"/>
        <v>2.87988</v>
      </c>
      <c r="N26" s="189">
        <f>'Cost Calculation'!AS18</f>
        <v>117934.02068043877</v>
      </c>
      <c r="O26" s="95"/>
    </row>
    <row r="27" spans="2:15" s="94" customFormat="1" ht="49.9" customHeight="1" thickTop="1" thickBot="1">
      <c r="B27" s="416">
        <f>Pricing!A15</f>
        <v>12</v>
      </c>
      <c r="C27" s="417"/>
      <c r="D27" s="187" t="str">
        <f>Pricing!B15</f>
        <v>W12</v>
      </c>
      <c r="E27" s="187" t="str">
        <f>Pricing!C15</f>
        <v>M14600</v>
      </c>
      <c r="F27" s="187" t="str">
        <f>Pricing!D15</f>
        <v>3 TRACK 2 SHUTTER SLIDING DOOR</v>
      </c>
      <c r="G27" s="187" t="str">
        <f>Pricing!N15</f>
        <v>24MM</v>
      </c>
      <c r="H27" s="187" t="str">
        <f>Pricing!F15</f>
        <v>1F - FAMILY</v>
      </c>
      <c r="I27" s="216" t="str">
        <f>Pricing!E15</f>
        <v>SS</v>
      </c>
      <c r="J27" s="216">
        <f>Pricing!G15</f>
        <v>1772</v>
      </c>
      <c r="K27" s="216">
        <f>Pricing!H15</f>
        <v>2223</v>
      </c>
      <c r="L27" s="216">
        <f>Pricing!I15</f>
        <v>2</v>
      </c>
      <c r="M27" s="188">
        <f t="shared" si="1"/>
        <v>7.8783120000000002</v>
      </c>
      <c r="N27" s="189">
        <f>'Cost Calculation'!AS19</f>
        <v>295111.68466897041</v>
      </c>
      <c r="O27" s="95"/>
    </row>
    <row r="28" spans="2:15" s="94" customFormat="1" ht="49.9" customHeight="1" thickTop="1" thickBot="1">
      <c r="B28" s="416">
        <f>Pricing!A16</f>
        <v>13</v>
      </c>
      <c r="C28" s="417"/>
      <c r="D28" s="187" t="str">
        <f>Pricing!B16</f>
        <v>W13</v>
      </c>
      <c r="E28" s="187" t="str">
        <f>Pricing!C16</f>
        <v>M15000</v>
      </c>
      <c r="F28" s="187" t="str">
        <f>Pricing!D16</f>
        <v>FIXED GLASS</v>
      </c>
      <c r="G28" s="187" t="str">
        <f>Pricing!N16</f>
        <v>24MM</v>
      </c>
      <c r="H28" s="187" t="str">
        <f>Pricing!F16</f>
        <v>1F - STAIRCASE</v>
      </c>
      <c r="I28" s="216" t="str">
        <f>Pricing!E16</f>
        <v>NO</v>
      </c>
      <c r="J28" s="216">
        <f>Pricing!G16</f>
        <v>543</v>
      </c>
      <c r="K28" s="216">
        <f>Pricing!H16</f>
        <v>659</v>
      </c>
      <c r="L28" s="216">
        <f>Pricing!I16</f>
        <v>1</v>
      </c>
      <c r="M28" s="188">
        <f t="shared" si="1"/>
        <v>0.35783700000000002</v>
      </c>
      <c r="N28" s="189">
        <f>'Cost Calculation'!AS20</f>
        <v>11340.816196495764</v>
      </c>
      <c r="O28" s="95"/>
    </row>
    <row r="29" spans="2:15" s="94" customFormat="1" ht="49.9" customHeight="1" thickTop="1" thickBot="1">
      <c r="B29" s="416">
        <f>Pricing!A17</f>
        <v>14</v>
      </c>
      <c r="C29" s="417"/>
      <c r="D29" s="187" t="str">
        <f>Pricing!B17</f>
        <v>W14</v>
      </c>
      <c r="E29" s="187" t="str">
        <f>Pricing!C17</f>
        <v>M900</v>
      </c>
      <c r="F29" s="187" t="str">
        <f>Pricing!D17</f>
        <v>3 TRACK 2 SHUTTER SLIDING WINDOW</v>
      </c>
      <c r="G29" s="187" t="str">
        <f>Pricing!N17</f>
        <v>20MM</v>
      </c>
      <c r="H29" s="187" t="str">
        <f>Pricing!F17</f>
        <v>1F - GYM &amp; LIVING</v>
      </c>
      <c r="I29" s="216" t="str">
        <f>Pricing!E17</f>
        <v>SS</v>
      </c>
      <c r="J29" s="216">
        <f>Pricing!G17</f>
        <v>2381</v>
      </c>
      <c r="K29" s="216">
        <f>Pricing!H17</f>
        <v>1473</v>
      </c>
      <c r="L29" s="216">
        <f>Pricing!I17</f>
        <v>2</v>
      </c>
      <c r="M29" s="188">
        <f t="shared" si="1"/>
        <v>7.0144260000000003</v>
      </c>
      <c r="N29" s="189">
        <f>'Cost Calculation'!AS21</f>
        <v>119433.63274541804</v>
      </c>
      <c r="O29" s="95"/>
    </row>
    <row r="30" spans="2:15" s="94" customFormat="1" ht="49.9" customHeight="1" thickTop="1" thickBot="1">
      <c r="B30" s="416">
        <f>Pricing!A18</f>
        <v>15</v>
      </c>
      <c r="C30" s="417"/>
      <c r="D30" s="187" t="str">
        <f>Pricing!B18</f>
        <v>W15</v>
      </c>
      <c r="E30" s="187" t="str">
        <f>Pricing!C18</f>
        <v>M15000</v>
      </c>
      <c r="F30" s="187" t="str">
        <f>Pricing!D18</f>
        <v>2 SIDE HUNG DOORS WITH CORNOR FIXED</v>
      </c>
      <c r="G30" s="187" t="str">
        <f>Pricing!N18</f>
        <v>24MM</v>
      </c>
      <c r="H30" s="187" t="str">
        <f>Pricing!F18</f>
        <v>1F - DAUGHTER BEDROOM</v>
      </c>
      <c r="I30" s="216" t="str">
        <f>Pricing!E18</f>
        <v>RETRACTABLE</v>
      </c>
      <c r="J30" s="216">
        <f>Pricing!G18</f>
        <v>3737</v>
      </c>
      <c r="K30" s="216">
        <f>Pricing!H18</f>
        <v>1981</v>
      </c>
      <c r="L30" s="216">
        <f>Pricing!I18</f>
        <v>1</v>
      </c>
      <c r="M30" s="188">
        <f t="shared" si="1"/>
        <v>7.402997</v>
      </c>
      <c r="N30" s="189">
        <f>'Cost Calculation'!AS22</f>
        <v>261599.0085810172</v>
      </c>
      <c r="O30" s="95"/>
    </row>
    <row r="31" spans="2:15" s="94" customFormat="1" ht="49.9" hidden="1" customHeight="1" thickTop="1" thickBot="1">
      <c r="B31" s="416">
        <f>Pricing!A19</f>
        <v>16</v>
      </c>
      <c r="C31" s="417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6">
        <f>Pricing!A20</f>
        <v>17</v>
      </c>
      <c r="C32" s="417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6">
        <f>Pricing!A21</f>
        <v>18</v>
      </c>
      <c r="C33" s="417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6">
        <f>Pricing!A22</f>
        <v>19</v>
      </c>
      <c r="C34" s="417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6">
        <f>Pricing!A23</f>
        <v>20</v>
      </c>
      <c r="C35" s="417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6">
        <f>Pricing!A24</f>
        <v>21</v>
      </c>
      <c r="C36" s="417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6">
        <f>Pricing!A25</f>
        <v>22</v>
      </c>
      <c r="C37" s="417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6">
        <f>Pricing!A26</f>
        <v>23</v>
      </c>
      <c r="C38" s="417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6">
        <f>Pricing!A27</f>
        <v>24</v>
      </c>
      <c r="C39" s="417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6">
        <f>Pricing!A28</f>
        <v>25</v>
      </c>
      <c r="C40" s="417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6">
        <f>Pricing!A29</f>
        <v>26</v>
      </c>
      <c r="C41" s="417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6">
        <f>Pricing!A30</f>
        <v>27</v>
      </c>
      <c r="C42" s="417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6">
        <f>Pricing!A31</f>
        <v>28</v>
      </c>
      <c r="C43" s="417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6">
        <f>Pricing!A32</f>
        <v>29</v>
      </c>
      <c r="C44" s="417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6">
        <f>Pricing!A33</f>
        <v>30</v>
      </c>
      <c r="C45" s="417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6">
        <f>Pricing!A34</f>
        <v>31</v>
      </c>
      <c r="C46" s="417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6">
        <f>Pricing!A35</f>
        <v>32</v>
      </c>
      <c r="C47" s="417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6">
        <f>Pricing!A36</f>
        <v>33</v>
      </c>
      <c r="C48" s="417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6">
        <f>Pricing!A37</f>
        <v>34</v>
      </c>
      <c r="C49" s="417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6">
        <f>Pricing!A38</f>
        <v>35</v>
      </c>
      <c r="C50" s="417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6">
        <f>Pricing!A39</f>
        <v>36</v>
      </c>
      <c r="C51" s="417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6">
        <f>Pricing!A40</f>
        <v>37</v>
      </c>
      <c r="C52" s="417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6">
        <f>Pricing!A41</f>
        <v>38</v>
      </c>
      <c r="C53" s="417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6">
        <f>Pricing!A42</f>
        <v>39</v>
      </c>
      <c r="C54" s="417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6">
        <f>Pricing!A43</f>
        <v>40</v>
      </c>
      <c r="C55" s="417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6">
        <f>Pricing!A44</f>
        <v>41</v>
      </c>
      <c r="C56" s="417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6">
        <f>Pricing!A45</f>
        <v>42</v>
      </c>
      <c r="C57" s="417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6">
        <f>Pricing!A46</f>
        <v>43</v>
      </c>
      <c r="C58" s="417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6">
        <f>Pricing!A47</f>
        <v>44</v>
      </c>
      <c r="C59" s="417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6">
        <f>Pricing!A48</f>
        <v>45</v>
      </c>
      <c r="C60" s="417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6">
        <f>Pricing!A49</f>
        <v>46</v>
      </c>
      <c r="C61" s="417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6">
        <f>Pricing!A50</f>
        <v>47</v>
      </c>
      <c r="C62" s="417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6">
        <f>Pricing!A51</f>
        <v>48</v>
      </c>
      <c r="C63" s="417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6">
        <f>Pricing!A52</f>
        <v>49</v>
      </c>
      <c r="C64" s="417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6">
        <f>Pricing!A53</f>
        <v>50</v>
      </c>
      <c r="C65" s="417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6">
        <f>Pricing!A54</f>
        <v>51</v>
      </c>
      <c r="C66" s="417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6">
        <f>Pricing!A55</f>
        <v>52</v>
      </c>
      <c r="C67" s="417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6">
        <f>Pricing!A56</f>
        <v>53</v>
      </c>
      <c r="C68" s="417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6">
        <f>Pricing!A57</f>
        <v>54</v>
      </c>
      <c r="C69" s="417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6">
        <f>Pricing!A58</f>
        <v>55</v>
      </c>
      <c r="C70" s="417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6">
        <f>Pricing!A59</f>
        <v>56</v>
      </c>
      <c r="C71" s="417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6">
        <f>Pricing!A60</f>
        <v>57</v>
      </c>
      <c r="C72" s="417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6">
        <f>Pricing!A61</f>
        <v>58</v>
      </c>
      <c r="C73" s="417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6">
        <f>Pricing!A62</f>
        <v>59</v>
      </c>
      <c r="C74" s="417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6">
        <f>Pricing!A63</f>
        <v>60</v>
      </c>
      <c r="C75" s="417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6">
        <f>Pricing!A64</f>
        <v>61</v>
      </c>
      <c r="C76" s="417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6">
        <f>Pricing!A65</f>
        <v>62</v>
      </c>
      <c r="C77" s="417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6">
        <f>Pricing!A66</f>
        <v>63</v>
      </c>
      <c r="C78" s="417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6">
        <f>Pricing!A67</f>
        <v>64</v>
      </c>
      <c r="C79" s="417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6">
        <f>Pricing!A68</f>
        <v>65</v>
      </c>
      <c r="C80" s="417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6">
        <f>Pricing!A69</f>
        <v>66</v>
      </c>
      <c r="C81" s="417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6">
        <f>Pricing!A70</f>
        <v>67</v>
      </c>
      <c r="C82" s="417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6">
        <f>Pricing!A71</f>
        <v>68</v>
      </c>
      <c r="C83" s="417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6">
        <f>Pricing!A72</f>
        <v>69</v>
      </c>
      <c r="C84" s="417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6">
        <f>Pricing!A73</f>
        <v>70</v>
      </c>
      <c r="C85" s="417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6">
        <f>Pricing!A74</f>
        <v>71</v>
      </c>
      <c r="C86" s="417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6">
        <f>Pricing!A75</f>
        <v>72</v>
      </c>
      <c r="C87" s="417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6">
        <f>Pricing!A76</f>
        <v>73</v>
      </c>
      <c r="C88" s="417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6">
        <f>Pricing!A77</f>
        <v>74</v>
      </c>
      <c r="C89" s="417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6">
        <f>Pricing!A78</f>
        <v>75</v>
      </c>
      <c r="C90" s="417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6">
        <f>Pricing!A79</f>
        <v>76</v>
      </c>
      <c r="C91" s="417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6">
        <f>Pricing!A80</f>
        <v>77</v>
      </c>
      <c r="C92" s="417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6">
        <f>Pricing!A81</f>
        <v>78</v>
      </c>
      <c r="C93" s="417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6">
        <f>Pricing!A82</f>
        <v>79</v>
      </c>
      <c r="C94" s="417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6">
        <f>Pricing!A83</f>
        <v>80</v>
      </c>
      <c r="C95" s="417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6">
        <f>Pricing!A84</f>
        <v>81</v>
      </c>
      <c r="C96" s="417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6">
        <f>Pricing!A85</f>
        <v>82</v>
      </c>
      <c r="C97" s="417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6">
        <f>Pricing!A86</f>
        <v>83</v>
      </c>
      <c r="C98" s="417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6">
        <f>Pricing!A87</f>
        <v>84</v>
      </c>
      <c r="C99" s="417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6">
        <f>Pricing!A88</f>
        <v>85</v>
      </c>
      <c r="C100" s="417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6">
        <f>Pricing!A89</f>
        <v>86</v>
      </c>
      <c r="C101" s="417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6">
        <f>Pricing!A90</f>
        <v>87</v>
      </c>
      <c r="C102" s="417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6">
        <f>Pricing!A91</f>
        <v>88</v>
      </c>
      <c r="C103" s="417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6">
        <f>Pricing!A92</f>
        <v>89</v>
      </c>
      <c r="C104" s="417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6">
        <f>Pricing!A93</f>
        <v>90</v>
      </c>
      <c r="C105" s="417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6">
        <f>Pricing!A94</f>
        <v>91</v>
      </c>
      <c r="C106" s="417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6">
        <f>Pricing!A95</f>
        <v>92</v>
      </c>
      <c r="C107" s="417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6">
        <f>Pricing!A96</f>
        <v>93</v>
      </c>
      <c r="C108" s="417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6">
        <f>Pricing!A97</f>
        <v>94</v>
      </c>
      <c r="C109" s="417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6">
        <f>Pricing!A98</f>
        <v>95</v>
      </c>
      <c r="C110" s="417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6">
        <f>Pricing!A99</f>
        <v>96</v>
      </c>
      <c r="C111" s="417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6">
        <f>Pricing!A100</f>
        <v>97</v>
      </c>
      <c r="C112" s="417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6">
        <f>Pricing!A101</f>
        <v>98</v>
      </c>
      <c r="C113" s="417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6">
        <f>Pricing!A102</f>
        <v>99</v>
      </c>
      <c r="C114" s="417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6">
        <f>Pricing!A103</f>
        <v>100</v>
      </c>
      <c r="C115" s="417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24"/>
      <c r="C116" s="425"/>
      <c r="D116" s="425"/>
      <c r="E116" s="425"/>
      <c r="F116" s="425"/>
      <c r="G116" s="425"/>
      <c r="H116" s="425"/>
      <c r="I116" s="425"/>
      <c r="J116" s="425"/>
      <c r="K116" s="426"/>
      <c r="L116" s="190">
        <f>SUM(L16:L115)</f>
        <v>30</v>
      </c>
      <c r="M116" s="191">
        <f>SUM(M16:M115)</f>
        <v>62.784689</v>
      </c>
      <c r="N116" s="186"/>
      <c r="O116" s="95"/>
    </row>
    <row r="117" spans="2:15" s="94" customFormat="1" ht="30" customHeight="1" thickTop="1" thickBot="1">
      <c r="B117" s="427" t="s">
        <v>180</v>
      </c>
      <c r="C117" s="428"/>
      <c r="D117" s="428"/>
      <c r="E117" s="428"/>
      <c r="F117" s="428"/>
      <c r="G117" s="428"/>
      <c r="H117" s="428"/>
      <c r="I117" s="428"/>
      <c r="J117" s="428"/>
      <c r="K117" s="428"/>
      <c r="L117" s="428"/>
      <c r="M117" s="429"/>
      <c r="N117" s="192">
        <f>ROUND(SUM(N16:N115),0.1)</f>
        <v>2022843</v>
      </c>
      <c r="O117" s="95">
        <f>N117/SUM(M116)</f>
        <v>32218.730907466947</v>
      </c>
    </row>
    <row r="118" spans="2:15" s="94" customFormat="1" ht="30" customHeight="1" thickTop="1" thickBot="1">
      <c r="B118" s="427" t="s">
        <v>111</v>
      </c>
      <c r="C118" s="428"/>
      <c r="D118" s="428"/>
      <c r="E118" s="428"/>
      <c r="F118" s="428"/>
      <c r="G118" s="428"/>
      <c r="H118" s="428"/>
      <c r="I118" s="428"/>
      <c r="J118" s="428"/>
      <c r="K118" s="428"/>
      <c r="L118" s="428"/>
      <c r="M118" s="429"/>
      <c r="N118" s="192">
        <f>ROUND(N117*18%,0.1)</f>
        <v>364112</v>
      </c>
      <c r="O118" s="95">
        <f>N118/SUM(M116)</f>
        <v>5799.3757044810718</v>
      </c>
    </row>
    <row r="119" spans="2:15" s="94" customFormat="1" ht="30" customHeight="1" thickTop="1" thickBot="1">
      <c r="B119" s="427" t="s">
        <v>181</v>
      </c>
      <c r="C119" s="428"/>
      <c r="D119" s="428"/>
      <c r="E119" s="428"/>
      <c r="F119" s="428"/>
      <c r="G119" s="428"/>
      <c r="H119" s="428"/>
      <c r="I119" s="428"/>
      <c r="J119" s="428"/>
      <c r="K119" s="428"/>
      <c r="L119" s="428"/>
      <c r="M119" s="429"/>
      <c r="N119" s="192">
        <f>ROUND(SUM(N117:N118),0.1)</f>
        <v>2386955</v>
      </c>
      <c r="O119" s="95">
        <f>N119/SUM(M116)</f>
        <v>38018.106611948017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2993.1931352161787</v>
      </c>
    </row>
    <row r="121" spans="2:15" s="139" customFormat="1" ht="30" customHeight="1" thickTop="1">
      <c r="B121" s="456" t="s">
        <v>236</v>
      </c>
      <c r="C121" s="457"/>
      <c r="D121" s="457"/>
      <c r="E121" s="457"/>
      <c r="F121" s="457"/>
      <c r="G121" s="457"/>
      <c r="H121" s="457"/>
      <c r="I121" s="457"/>
      <c r="J121" s="457"/>
      <c r="K121" s="457"/>
      <c r="L121" s="457"/>
      <c r="M121" s="457"/>
      <c r="N121" s="458"/>
      <c r="O121" s="138"/>
    </row>
    <row r="122" spans="2:15" s="93" customFormat="1" ht="24.95" customHeight="1">
      <c r="B122" s="412">
        <v>1</v>
      </c>
      <c r="C122" s="413"/>
      <c r="D122" s="410"/>
      <c r="E122" s="410"/>
      <c r="F122" s="410"/>
      <c r="G122" s="410"/>
      <c r="H122" s="410"/>
      <c r="I122" s="410"/>
      <c r="J122" s="410"/>
      <c r="K122" s="410"/>
      <c r="L122" s="410"/>
      <c r="M122" s="410"/>
      <c r="N122" s="411"/>
    </row>
    <row r="123" spans="2:15" s="93" customFormat="1" ht="24.95" customHeight="1">
      <c r="B123" s="459">
        <v>2</v>
      </c>
      <c r="C123" s="460"/>
      <c r="D123" s="461"/>
      <c r="E123" s="461"/>
      <c r="F123" s="461"/>
      <c r="G123" s="461"/>
      <c r="H123" s="461"/>
      <c r="I123" s="461"/>
      <c r="J123" s="461"/>
      <c r="K123" s="461"/>
      <c r="L123" s="461"/>
      <c r="M123" s="461"/>
      <c r="N123" s="462"/>
    </row>
    <row r="124" spans="2:15" s="139" customFormat="1" ht="30" customHeight="1">
      <c r="B124" s="421" t="s">
        <v>206</v>
      </c>
      <c r="C124" s="422"/>
      <c r="D124" s="422"/>
      <c r="E124" s="422"/>
      <c r="F124" s="422"/>
      <c r="G124" s="422"/>
      <c r="H124" s="422"/>
      <c r="I124" s="422"/>
      <c r="J124" s="422"/>
      <c r="K124" s="422"/>
      <c r="L124" s="422"/>
      <c r="M124" s="422"/>
      <c r="N124" s="423"/>
      <c r="O124" s="138"/>
    </row>
    <row r="125" spans="2:15" s="93" customFormat="1" ht="24.95" customHeight="1">
      <c r="B125" s="412">
        <v>1</v>
      </c>
      <c r="C125" s="413"/>
      <c r="D125" s="410" t="s">
        <v>373</v>
      </c>
      <c r="E125" s="410"/>
      <c r="F125" s="410"/>
      <c r="G125" s="410"/>
      <c r="H125" s="410"/>
      <c r="I125" s="410"/>
      <c r="J125" s="410"/>
      <c r="K125" s="410"/>
      <c r="L125" s="410"/>
      <c r="M125" s="410"/>
      <c r="N125" s="411"/>
    </row>
    <row r="126" spans="2:15" s="93" customFormat="1" ht="24.95" customHeight="1">
      <c r="B126" s="412">
        <v>2</v>
      </c>
      <c r="C126" s="413"/>
      <c r="D126" s="410" t="s">
        <v>474</v>
      </c>
      <c r="E126" s="410"/>
      <c r="F126" s="410"/>
      <c r="G126" s="410"/>
      <c r="H126" s="410"/>
      <c r="I126" s="410"/>
      <c r="J126" s="410"/>
      <c r="K126" s="410"/>
      <c r="L126" s="410"/>
      <c r="M126" s="410"/>
      <c r="N126" s="411"/>
    </row>
    <row r="127" spans="2:15" s="93" customFormat="1" ht="24.95" customHeight="1">
      <c r="B127" s="412">
        <v>3</v>
      </c>
      <c r="C127" s="413"/>
      <c r="D127" s="410" t="s">
        <v>475</v>
      </c>
      <c r="E127" s="410"/>
      <c r="F127" s="410"/>
      <c r="G127" s="410"/>
      <c r="H127" s="410"/>
      <c r="I127" s="410"/>
      <c r="J127" s="410"/>
      <c r="K127" s="410"/>
      <c r="L127" s="410"/>
      <c r="M127" s="410"/>
      <c r="N127" s="411"/>
    </row>
    <row r="128" spans="2:15" s="93" customFormat="1" ht="24.95" customHeight="1">
      <c r="B128" s="412">
        <v>4</v>
      </c>
      <c r="C128" s="413"/>
      <c r="D128" s="410" t="s">
        <v>476</v>
      </c>
      <c r="E128" s="410"/>
      <c r="F128" s="410"/>
      <c r="G128" s="410"/>
      <c r="H128" s="410"/>
      <c r="I128" s="410"/>
      <c r="J128" s="410"/>
      <c r="K128" s="410"/>
      <c r="L128" s="410"/>
      <c r="M128" s="410"/>
      <c r="N128" s="411"/>
    </row>
    <row r="129" spans="2:15" s="139" customFormat="1" ht="30" customHeight="1">
      <c r="B129" s="421" t="s">
        <v>140</v>
      </c>
      <c r="C129" s="422"/>
      <c r="D129" s="422"/>
      <c r="E129" s="422"/>
      <c r="F129" s="422"/>
      <c r="G129" s="422"/>
      <c r="H129" s="422"/>
      <c r="I129" s="422"/>
      <c r="J129" s="422"/>
      <c r="K129" s="422"/>
      <c r="L129" s="422"/>
      <c r="M129" s="422"/>
      <c r="N129" s="423"/>
      <c r="O129" s="138"/>
    </row>
    <row r="130" spans="2:15" s="93" customFormat="1" ht="24.95" customHeight="1">
      <c r="B130" s="412">
        <v>1</v>
      </c>
      <c r="C130" s="413"/>
      <c r="D130" s="410" t="s">
        <v>363</v>
      </c>
      <c r="E130" s="410"/>
      <c r="F130" s="410"/>
      <c r="G130" s="410"/>
      <c r="H130" s="410"/>
      <c r="I130" s="410"/>
      <c r="J130" s="410"/>
      <c r="K130" s="410"/>
      <c r="L130" s="410"/>
      <c r="M130" s="410"/>
      <c r="N130" s="411"/>
    </row>
    <row r="131" spans="2:15" s="93" customFormat="1" ht="24.95" customHeight="1">
      <c r="B131" s="412">
        <v>2</v>
      </c>
      <c r="C131" s="413"/>
      <c r="D131" s="410" t="s">
        <v>389</v>
      </c>
      <c r="E131" s="410"/>
      <c r="F131" s="410"/>
      <c r="G131" s="410"/>
      <c r="H131" s="410"/>
      <c r="I131" s="410"/>
      <c r="J131" s="410"/>
      <c r="K131" s="410"/>
      <c r="L131" s="410"/>
      <c r="M131" s="410"/>
      <c r="N131" s="411"/>
    </row>
    <row r="132" spans="2:15" s="93" customFormat="1" ht="24.95" customHeight="1">
      <c r="B132" s="412">
        <v>3</v>
      </c>
      <c r="C132" s="413"/>
      <c r="D132" s="414" t="s">
        <v>404</v>
      </c>
      <c r="E132" s="414"/>
      <c r="F132" s="414"/>
      <c r="G132" s="414"/>
      <c r="H132" s="414"/>
      <c r="I132" s="414"/>
      <c r="J132" s="414"/>
      <c r="K132" s="414"/>
      <c r="L132" s="414"/>
      <c r="M132" s="414"/>
      <c r="N132" s="415"/>
    </row>
    <row r="133" spans="2:15" s="93" customFormat="1" ht="24.95" customHeight="1">
      <c r="B133" s="412">
        <v>4</v>
      </c>
      <c r="C133" s="413"/>
      <c r="D133" s="414" t="s">
        <v>405</v>
      </c>
      <c r="E133" s="414"/>
      <c r="F133" s="414"/>
      <c r="G133" s="414"/>
      <c r="H133" s="414"/>
      <c r="I133" s="414"/>
      <c r="J133" s="414"/>
      <c r="K133" s="414"/>
      <c r="L133" s="414"/>
      <c r="M133" s="414"/>
      <c r="N133" s="415"/>
    </row>
    <row r="134" spans="2:15" s="139" customFormat="1" ht="30" customHeight="1">
      <c r="B134" s="418" t="s">
        <v>141</v>
      </c>
      <c r="C134" s="419"/>
      <c r="D134" s="419"/>
      <c r="E134" s="419"/>
      <c r="F134" s="419"/>
      <c r="G134" s="419"/>
      <c r="H134" s="419"/>
      <c r="I134" s="419"/>
      <c r="J134" s="419"/>
      <c r="K134" s="419"/>
      <c r="L134" s="419"/>
      <c r="M134" s="419"/>
      <c r="N134" s="420"/>
    </row>
    <row r="135" spans="2:15" s="93" customFormat="1" ht="24.95" customHeight="1">
      <c r="B135" s="412">
        <v>1</v>
      </c>
      <c r="C135" s="413"/>
      <c r="D135" s="410" t="s">
        <v>142</v>
      </c>
      <c r="E135" s="410"/>
      <c r="F135" s="410"/>
      <c r="G135" s="410"/>
      <c r="H135" s="410"/>
      <c r="I135" s="410"/>
      <c r="J135" s="410"/>
      <c r="K135" s="410"/>
      <c r="L135" s="410"/>
      <c r="M135" s="410"/>
      <c r="N135" s="411"/>
    </row>
    <row r="136" spans="2:15" s="93" customFormat="1" ht="24.95" customHeight="1">
      <c r="B136" s="412">
        <v>2</v>
      </c>
      <c r="C136" s="413"/>
      <c r="D136" s="410" t="s">
        <v>424</v>
      </c>
      <c r="E136" s="410"/>
      <c r="F136" s="410"/>
      <c r="G136" s="410"/>
      <c r="H136" s="410"/>
      <c r="I136" s="410"/>
      <c r="J136" s="410"/>
      <c r="K136" s="410"/>
      <c r="L136" s="410"/>
      <c r="M136" s="410"/>
      <c r="N136" s="411"/>
    </row>
    <row r="137" spans="2:15" s="93" customFormat="1" ht="24.95" customHeight="1">
      <c r="B137" s="412">
        <v>3</v>
      </c>
      <c r="C137" s="413"/>
      <c r="D137" s="410" t="s">
        <v>143</v>
      </c>
      <c r="E137" s="410"/>
      <c r="F137" s="410"/>
      <c r="G137" s="410"/>
      <c r="H137" s="410"/>
      <c r="I137" s="410"/>
      <c r="J137" s="410"/>
      <c r="K137" s="410"/>
      <c r="L137" s="410"/>
      <c r="M137" s="410"/>
      <c r="N137" s="411"/>
    </row>
    <row r="138" spans="2:15" s="93" customFormat="1" ht="24.95" customHeight="1">
      <c r="B138" s="412">
        <v>4</v>
      </c>
      <c r="C138" s="413"/>
      <c r="D138" s="410" t="s">
        <v>144</v>
      </c>
      <c r="E138" s="410"/>
      <c r="F138" s="410"/>
      <c r="G138" s="410"/>
      <c r="H138" s="410"/>
      <c r="I138" s="410"/>
      <c r="J138" s="410"/>
      <c r="K138" s="410"/>
      <c r="L138" s="410"/>
      <c r="M138" s="410"/>
      <c r="N138" s="411"/>
    </row>
    <row r="139" spans="2:15" s="139" customFormat="1" ht="30" customHeight="1">
      <c r="B139" s="418" t="s">
        <v>145</v>
      </c>
      <c r="C139" s="419"/>
      <c r="D139" s="419"/>
      <c r="E139" s="419"/>
      <c r="F139" s="419"/>
      <c r="G139" s="419"/>
      <c r="H139" s="419"/>
      <c r="I139" s="419"/>
      <c r="J139" s="419"/>
      <c r="K139" s="419"/>
      <c r="L139" s="419"/>
      <c r="M139" s="419"/>
      <c r="N139" s="420"/>
    </row>
    <row r="140" spans="2:15" s="139" customFormat="1" ht="30" customHeight="1">
      <c r="B140" s="511" t="s">
        <v>146</v>
      </c>
      <c r="C140" s="512"/>
      <c r="D140" s="512"/>
      <c r="E140" s="512"/>
      <c r="F140" s="512"/>
      <c r="G140" s="512"/>
      <c r="H140" s="512"/>
      <c r="I140" s="512"/>
      <c r="J140" s="512"/>
      <c r="K140" s="512"/>
      <c r="L140" s="512"/>
      <c r="M140" s="512"/>
      <c r="N140" s="513"/>
    </row>
    <row r="141" spans="2:15" s="93" customFormat="1" ht="24.95" customHeight="1">
      <c r="B141" s="412">
        <v>1</v>
      </c>
      <c r="C141" s="413"/>
      <c r="D141" s="410" t="s">
        <v>147</v>
      </c>
      <c r="E141" s="410"/>
      <c r="F141" s="410"/>
      <c r="G141" s="410"/>
      <c r="H141" s="410"/>
      <c r="I141" s="410"/>
      <c r="J141" s="410"/>
      <c r="K141" s="410"/>
      <c r="L141" s="410"/>
      <c r="M141" s="410"/>
      <c r="N141" s="411"/>
    </row>
    <row r="142" spans="2:15" s="93" customFormat="1" ht="24.95" customHeight="1">
      <c r="B142" s="412">
        <v>2</v>
      </c>
      <c r="C142" s="413"/>
      <c r="D142" s="410" t="s">
        <v>401</v>
      </c>
      <c r="E142" s="410"/>
      <c r="F142" s="410"/>
      <c r="G142" s="410"/>
      <c r="H142" s="410"/>
      <c r="I142" s="410"/>
      <c r="J142" s="410"/>
      <c r="K142" s="410"/>
      <c r="L142" s="410"/>
      <c r="M142" s="410"/>
      <c r="N142" s="411"/>
    </row>
    <row r="143" spans="2:15" s="93" customFormat="1" ht="24.95" customHeight="1">
      <c r="B143" s="412">
        <v>3</v>
      </c>
      <c r="C143" s="413"/>
      <c r="D143" s="410" t="s">
        <v>148</v>
      </c>
      <c r="E143" s="410"/>
      <c r="F143" s="410"/>
      <c r="G143" s="410"/>
      <c r="H143" s="410"/>
      <c r="I143" s="410"/>
      <c r="J143" s="410"/>
      <c r="K143" s="410"/>
      <c r="L143" s="410"/>
      <c r="M143" s="410"/>
      <c r="N143" s="411"/>
    </row>
    <row r="144" spans="2:15" s="93" customFormat="1" ht="24.95" customHeight="1">
      <c r="B144" s="412">
        <v>4</v>
      </c>
      <c r="C144" s="413"/>
      <c r="D144" s="410" t="s">
        <v>149</v>
      </c>
      <c r="E144" s="410"/>
      <c r="F144" s="410"/>
      <c r="G144" s="410"/>
      <c r="H144" s="410"/>
      <c r="I144" s="410"/>
      <c r="J144" s="410"/>
      <c r="K144" s="410"/>
      <c r="L144" s="410"/>
      <c r="M144" s="410"/>
      <c r="N144" s="411"/>
    </row>
    <row r="145" spans="2:14" s="93" customFormat="1" ht="24.95" customHeight="1">
      <c r="B145" s="412">
        <v>5</v>
      </c>
      <c r="C145" s="413"/>
      <c r="D145" s="410" t="s">
        <v>150</v>
      </c>
      <c r="E145" s="410"/>
      <c r="F145" s="410"/>
      <c r="G145" s="410"/>
      <c r="H145" s="410"/>
      <c r="I145" s="410"/>
      <c r="J145" s="410"/>
      <c r="K145" s="410"/>
      <c r="L145" s="410"/>
      <c r="M145" s="410"/>
      <c r="N145" s="411"/>
    </row>
    <row r="146" spans="2:14" s="93" customFormat="1" ht="24.95" customHeight="1">
      <c r="B146" s="412">
        <v>6</v>
      </c>
      <c r="C146" s="413"/>
      <c r="D146" s="410" t="s">
        <v>151</v>
      </c>
      <c r="E146" s="410"/>
      <c r="F146" s="410"/>
      <c r="G146" s="410"/>
      <c r="H146" s="410"/>
      <c r="I146" s="410"/>
      <c r="J146" s="410"/>
      <c r="K146" s="410"/>
      <c r="L146" s="410"/>
      <c r="M146" s="410"/>
      <c r="N146" s="411"/>
    </row>
    <row r="147" spans="2:14" s="140" customFormat="1" ht="30" customHeight="1">
      <c r="B147" s="418" t="s">
        <v>152</v>
      </c>
      <c r="C147" s="419"/>
      <c r="D147" s="419"/>
      <c r="E147" s="419"/>
      <c r="F147" s="419"/>
      <c r="G147" s="419"/>
      <c r="H147" s="419"/>
      <c r="I147" s="419"/>
      <c r="J147" s="419"/>
      <c r="K147" s="419"/>
      <c r="L147" s="419"/>
      <c r="M147" s="419"/>
      <c r="N147" s="420"/>
    </row>
    <row r="148" spans="2:14" s="93" customFormat="1" ht="24.95" customHeight="1">
      <c r="B148" s="412">
        <v>1</v>
      </c>
      <c r="C148" s="413"/>
      <c r="D148" s="410" t="s">
        <v>153</v>
      </c>
      <c r="E148" s="410"/>
      <c r="F148" s="410"/>
      <c r="G148" s="410"/>
      <c r="H148" s="410"/>
      <c r="I148" s="410"/>
      <c r="J148" s="410"/>
      <c r="K148" s="410"/>
      <c r="L148" s="410"/>
      <c r="M148" s="410"/>
      <c r="N148" s="411"/>
    </row>
    <row r="149" spans="2:14" s="93" customFormat="1" ht="135" customHeight="1">
      <c r="B149" s="412">
        <v>2</v>
      </c>
      <c r="C149" s="413"/>
      <c r="D149" s="499" t="s">
        <v>422</v>
      </c>
      <c r="E149" s="500"/>
      <c r="F149" s="500"/>
      <c r="G149" s="500"/>
      <c r="H149" s="500"/>
      <c r="I149" s="500"/>
      <c r="J149" s="500"/>
      <c r="K149" s="500"/>
      <c r="L149" s="500"/>
      <c r="M149" s="500"/>
      <c r="N149" s="501"/>
    </row>
    <row r="150" spans="2:14" s="93" customFormat="1" ht="24.95" customHeight="1">
      <c r="B150" s="412">
        <v>3</v>
      </c>
      <c r="C150" s="413"/>
      <c r="D150" s="410" t="s">
        <v>154</v>
      </c>
      <c r="E150" s="410"/>
      <c r="F150" s="410"/>
      <c r="G150" s="410"/>
      <c r="H150" s="410"/>
      <c r="I150" s="410"/>
      <c r="J150" s="410"/>
      <c r="K150" s="410"/>
      <c r="L150" s="410"/>
      <c r="M150" s="410"/>
      <c r="N150" s="411"/>
    </row>
    <row r="151" spans="2:14" s="93" customFormat="1" ht="24.95" customHeight="1">
      <c r="B151" s="412">
        <v>4</v>
      </c>
      <c r="C151" s="413"/>
      <c r="D151" s="410" t="s">
        <v>155</v>
      </c>
      <c r="E151" s="410"/>
      <c r="F151" s="410"/>
      <c r="G151" s="410"/>
      <c r="H151" s="410"/>
      <c r="I151" s="410"/>
      <c r="J151" s="410"/>
      <c r="K151" s="410"/>
      <c r="L151" s="410"/>
      <c r="M151" s="410"/>
      <c r="N151" s="411"/>
    </row>
    <row r="152" spans="2:14" s="140" customFormat="1" ht="30" customHeight="1">
      <c r="B152" s="418" t="s">
        <v>156</v>
      </c>
      <c r="C152" s="419"/>
      <c r="D152" s="419"/>
      <c r="E152" s="419"/>
      <c r="F152" s="419"/>
      <c r="G152" s="419"/>
      <c r="H152" s="419"/>
      <c r="I152" s="419"/>
      <c r="J152" s="419"/>
      <c r="K152" s="419"/>
      <c r="L152" s="419"/>
      <c r="M152" s="419"/>
      <c r="N152" s="420"/>
    </row>
    <row r="153" spans="2:14" s="93" customFormat="1" ht="24.95" customHeight="1">
      <c r="B153" s="412">
        <v>1</v>
      </c>
      <c r="C153" s="413"/>
      <c r="D153" s="410" t="s">
        <v>157</v>
      </c>
      <c r="E153" s="410"/>
      <c r="F153" s="410"/>
      <c r="G153" s="410"/>
      <c r="H153" s="410"/>
      <c r="I153" s="410"/>
      <c r="J153" s="410"/>
      <c r="K153" s="410"/>
      <c r="L153" s="410"/>
      <c r="M153" s="410"/>
      <c r="N153" s="411"/>
    </row>
    <row r="154" spans="2:14" s="93" customFormat="1" ht="55.9" customHeight="1">
      <c r="B154" s="412">
        <v>2</v>
      </c>
      <c r="C154" s="413"/>
      <c r="D154" s="499" t="s">
        <v>158</v>
      </c>
      <c r="E154" s="500"/>
      <c r="F154" s="500"/>
      <c r="G154" s="500"/>
      <c r="H154" s="500"/>
      <c r="I154" s="500"/>
      <c r="J154" s="500"/>
      <c r="K154" s="500"/>
      <c r="L154" s="500"/>
      <c r="M154" s="500"/>
      <c r="N154" s="501"/>
    </row>
    <row r="155" spans="2:14" s="140" customFormat="1" ht="30" customHeight="1">
      <c r="B155" s="418" t="s">
        <v>159</v>
      </c>
      <c r="C155" s="419"/>
      <c r="D155" s="419"/>
      <c r="E155" s="419"/>
      <c r="F155" s="419"/>
      <c r="G155" s="419"/>
      <c r="H155" s="419"/>
      <c r="I155" s="419"/>
      <c r="J155" s="419"/>
      <c r="K155" s="419"/>
      <c r="L155" s="419"/>
      <c r="M155" s="419"/>
      <c r="N155" s="420"/>
    </row>
    <row r="156" spans="2:14" s="93" customFormat="1" ht="24.95" customHeight="1">
      <c r="B156" s="412">
        <v>1</v>
      </c>
      <c r="C156" s="413"/>
      <c r="D156" s="477" t="s">
        <v>160</v>
      </c>
      <c r="E156" s="477"/>
      <c r="F156" s="477"/>
      <c r="G156" s="477"/>
      <c r="H156" s="477"/>
      <c r="I156" s="477"/>
      <c r="J156" s="477"/>
      <c r="K156" s="477"/>
      <c r="L156" s="477"/>
      <c r="M156" s="477"/>
      <c r="N156" s="478"/>
    </row>
    <row r="157" spans="2:14" s="93" customFormat="1" ht="24.95" customHeight="1">
      <c r="B157" s="412">
        <v>2</v>
      </c>
      <c r="C157" s="413"/>
      <c r="D157" s="477" t="s">
        <v>161</v>
      </c>
      <c r="E157" s="477"/>
      <c r="F157" s="477"/>
      <c r="G157" s="477"/>
      <c r="H157" s="477"/>
      <c r="I157" s="477"/>
      <c r="J157" s="477"/>
      <c r="K157" s="477"/>
      <c r="L157" s="477"/>
      <c r="M157" s="477"/>
      <c r="N157" s="478"/>
    </row>
    <row r="158" spans="2:14" s="93" customFormat="1" ht="49.9" customHeight="1">
      <c r="B158" s="412">
        <v>3</v>
      </c>
      <c r="C158" s="413"/>
      <c r="D158" s="496" t="s">
        <v>162</v>
      </c>
      <c r="E158" s="497"/>
      <c r="F158" s="497"/>
      <c r="G158" s="497"/>
      <c r="H158" s="497"/>
      <c r="I158" s="497"/>
      <c r="J158" s="497"/>
      <c r="K158" s="497"/>
      <c r="L158" s="497"/>
      <c r="M158" s="497"/>
      <c r="N158" s="498"/>
    </row>
    <row r="159" spans="2:14" s="93" customFormat="1" ht="24.95" customHeight="1">
      <c r="B159" s="412">
        <v>4</v>
      </c>
      <c r="C159" s="413"/>
      <c r="D159" s="477" t="s">
        <v>163</v>
      </c>
      <c r="E159" s="477"/>
      <c r="F159" s="477"/>
      <c r="G159" s="477"/>
      <c r="H159" s="477"/>
      <c r="I159" s="477"/>
      <c r="J159" s="477"/>
      <c r="K159" s="477"/>
      <c r="L159" s="477"/>
      <c r="M159" s="477"/>
      <c r="N159" s="478"/>
    </row>
    <row r="160" spans="2:14" s="140" customFormat="1" ht="30" customHeight="1">
      <c r="B160" s="418" t="s">
        <v>164</v>
      </c>
      <c r="C160" s="419"/>
      <c r="D160" s="419"/>
      <c r="E160" s="419"/>
      <c r="F160" s="419"/>
      <c r="G160" s="419"/>
      <c r="H160" s="419"/>
      <c r="I160" s="419"/>
      <c r="J160" s="419"/>
      <c r="K160" s="419"/>
      <c r="L160" s="419"/>
      <c r="M160" s="419"/>
      <c r="N160" s="420"/>
    </row>
    <row r="161" spans="2:14" s="93" customFormat="1" ht="24.95" customHeight="1">
      <c r="B161" s="412">
        <v>1</v>
      </c>
      <c r="C161" s="413"/>
      <c r="D161" s="477" t="s">
        <v>165</v>
      </c>
      <c r="E161" s="477"/>
      <c r="F161" s="477"/>
      <c r="G161" s="477"/>
      <c r="H161" s="477"/>
      <c r="I161" s="477"/>
      <c r="J161" s="477"/>
      <c r="K161" s="477"/>
      <c r="L161" s="477"/>
      <c r="M161" s="477"/>
      <c r="N161" s="478"/>
    </row>
    <row r="162" spans="2:14" s="93" customFormat="1" ht="24.95" customHeight="1">
      <c r="B162" s="412">
        <v>2</v>
      </c>
      <c r="C162" s="413"/>
      <c r="D162" s="477" t="s">
        <v>166</v>
      </c>
      <c r="E162" s="477"/>
      <c r="F162" s="477"/>
      <c r="G162" s="477"/>
      <c r="H162" s="477"/>
      <c r="I162" s="477"/>
      <c r="J162" s="477"/>
      <c r="K162" s="477"/>
      <c r="L162" s="477"/>
      <c r="M162" s="477"/>
      <c r="N162" s="478"/>
    </row>
    <row r="163" spans="2:14" s="93" customFormat="1" ht="24.95" customHeight="1">
      <c r="B163" s="412">
        <v>3</v>
      </c>
      <c r="C163" s="413"/>
      <c r="D163" s="477" t="s">
        <v>167</v>
      </c>
      <c r="E163" s="477"/>
      <c r="F163" s="477"/>
      <c r="G163" s="477"/>
      <c r="H163" s="477"/>
      <c r="I163" s="477"/>
      <c r="J163" s="477"/>
      <c r="K163" s="477"/>
      <c r="L163" s="477"/>
      <c r="M163" s="477"/>
      <c r="N163" s="478"/>
    </row>
    <row r="164" spans="2:14" s="93" customFormat="1" ht="24.95" customHeight="1">
      <c r="B164" s="412">
        <v>4</v>
      </c>
      <c r="C164" s="413"/>
      <c r="D164" s="477" t="s">
        <v>423</v>
      </c>
      <c r="E164" s="477"/>
      <c r="F164" s="477"/>
      <c r="G164" s="477"/>
      <c r="H164" s="477"/>
      <c r="I164" s="477"/>
      <c r="J164" s="477"/>
      <c r="K164" s="477"/>
      <c r="L164" s="477"/>
      <c r="M164" s="477"/>
      <c r="N164" s="478"/>
    </row>
    <row r="165" spans="2:14" s="93" customFormat="1" ht="24.95" customHeight="1">
      <c r="B165" s="459" t="s">
        <v>239</v>
      </c>
      <c r="C165" s="494"/>
      <c r="D165" s="494"/>
      <c r="E165" s="494"/>
      <c r="F165" s="494"/>
      <c r="G165" s="494"/>
      <c r="H165" s="494"/>
      <c r="I165" s="494"/>
      <c r="J165" s="494"/>
      <c r="K165" s="494"/>
      <c r="L165" s="494"/>
      <c r="M165" s="494"/>
      <c r="N165" s="495"/>
    </row>
    <row r="166" spans="2:14" s="93" customFormat="1" ht="24.95" customHeight="1">
      <c r="B166" s="459" t="s">
        <v>240</v>
      </c>
      <c r="C166" s="494"/>
      <c r="D166" s="494"/>
      <c r="E166" s="494"/>
      <c r="F166" s="494"/>
      <c r="G166" s="494"/>
      <c r="H166" s="494"/>
      <c r="I166" s="494"/>
      <c r="J166" s="494"/>
      <c r="K166" s="494"/>
      <c r="L166" s="494"/>
      <c r="M166" s="494"/>
      <c r="N166" s="495"/>
    </row>
    <row r="167" spans="2:14" s="93" customFormat="1" ht="41.25" customHeight="1">
      <c r="B167" s="485"/>
      <c r="C167" s="486"/>
      <c r="D167" s="486"/>
      <c r="E167" s="486"/>
      <c r="F167" s="486"/>
      <c r="G167" s="486"/>
      <c r="H167" s="486"/>
      <c r="I167" s="486"/>
      <c r="J167" s="486"/>
      <c r="K167" s="486"/>
      <c r="L167" s="486"/>
      <c r="M167" s="486"/>
      <c r="N167" s="487"/>
    </row>
    <row r="168" spans="2:14" s="93" customFormat="1" ht="39.950000000000003" customHeight="1">
      <c r="B168" s="488"/>
      <c r="C168" s="489"/>
      <c r="D168" s="489"/>
      <c r="E168" s="489"/>
      <c r="F168" s="489"/>
      <c r="G168" s="489"/>
      <c r="H168" s="489"/>
      <c r="I168" s="489"/>
      <c r="J168" s="489"/>
      <c r="K168" s="489"/>
      <c r="L168" s="489"/>
      <c r="M168" s="489"/>
      <c r="N168" s="490"/>
    </row>
    <row r="169" spans="2:14" s="93" customFormat="1" ht="41.25" customHeight="1">
      <c r="B169" s="488"/>
      <c r="C169" s="489"/>
      <c r="D169" s="489"/>
      <c r="E169" s="489"/>
      <c r="F169" s="489"/>
      <c r="G169" s="489"/>
      <c r="H169" s="489"/>
      <c r="I169" s="489"/>
      <c r="J169" s="489"/>
      <c r="K169" s="489"/>
      <c r="L169" s="489"/>
      <c r="M169" s="489"/>
      <c r="N169" s="490"/>
    </row>
    <row r="170" spans="2:14" s="93" customFormat="1" ht="39.950000000000003" customHeight="1" thickBot="1">
      <c r="B170" s="491"/>
      <c r="C170" s="492"/>
      <c r="D170" s="492"/>
      <c r="E170" s="492"/>
      <c r="F170" s="492"/>
      <c r="G170" s="492"/>
      <c r="H170" s="492"/>
      <c r="I170" s="492"/>
      <c r="J170" s="492"/>
      <c r="K170" s="492"/>
      <c r="L170" s="492"/>
      <c r="M170" s="492"/>
      <c r="N170" s="493"/>
    </row>
    <row r="171" spans="2:14" s="93" customFormat="1" ht="30" customHeight="1" thickTop="1">
      <c r="B171" s="473" t="s">
        <v>110</v>
      </c>
      <c r="C171" s="474"/>
      <c r="D171" s="474"/>
      <c r="E171" s="479"/>
      <c r="F171" s="480"/>
      <c r="G171" s="480"/>
      <c r="H171" s="480"/>
      <c r="I171" s="480"/>
      <c r="J171" s="480"/>
      <c r="K171" s="480"/>
      <c r="L171" s="481"/>
      <c r="M171" s="474" t="s">
        <v>204</v>
      </c>
      <c r="N171" s="475"/>
    </row>
    <row r="172" spans="2:14" s="93" customFormat="1" ht="33" customHeight="1" thickBot="1">
      <c r="B172" s="476" t="s">
        <v>107</v>
      </c>
      <c r="C172" s="471"/>
      <c r="D172" s="471"/>
      <c r="E172" s="482"/>
      <c r="F172" s="483"/>
      <c r="G172" s="483"/>
      <c r="H172" s="483"/>
      <c r="I172" s="483"/>
      <c r="J172" s="483"/>
      <c r="K172" s="483"/>
      <c r="L172" s="484"/>
      <c r="M172" s="471" t="s">
        <v>108</v>
      </c>
      <c r="N172" s="472"/>
    </row>
    <row r="173" spans="2:14" s="93" customFormat="1" ht="19.5" thickTop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  <row r="636" spans="3:9" s="93" customFormat="1">
      <c r="C636" s="97"/>
      <c r="D636" s="96"/>
      <c r="E636" s="96"/>
      <c r="F636" s="96"/>
      <c r="G636" s="96"/>
      <c r="H636" s="96"/>
      <c r="I636" s="96"/>
    </row>
    <row r="637" spans="3:9" s="93" customFormat="1">
      <c r="C637" s="97"/>
      <c r="D637" s="96"/>
      <c r="E637" s="96"/>
      <c r="F637" s="96"/>
      <c r="G637" s="96"/>
      <c r="H637" s="96"/>
      <c r="I637" s="96"/>
    </row>
  </sheetData>
  <mergeCells count="225">
    <mergeCell ref="B114:C114"/>
    <mergeCell ref="B128:C128"/>
    <mergeCell ref="D128:N128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7:C127"/>
    <mergeCell ref="D127:N127"/>
    <mergeCell ref="B126:C126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D141:N141"/>
    <mergeCell ref="D149:N149"/>
    <mergeCell ref="B142:C142"/>
    <mergeCell ref="D142:N142"/>
    <mergeCell ref="B1:N5"/>
    <mergeCell ref="B11:N12"/>
    <mergeCell ref="F7:J7"/>
    <mergeCell ref="F9:J9"/>
    <mergeCell ref="B147:N147"/>
    <mergeCell ref="B148:C148"/>
    <mergeCell ref="D148:N148"/>
    <mergeCell ref="B139:N139"/>
    <mergeCell ref="B140:N140"/>
    <mergeCell ref="B130:C130"/>
    <mergeCell ref="D130:N130"/>
    <mergeCell ref="B133:C133"/>
    <mergeCell ref="D133:N133"/>
    <mergeCell ref="B138:C138"/>
    <mergeCell ref="D138:N138"/>
    <mergeCell ref="B135:C135"/>
    <mergeCell ref="D135:N135"/>
    <mergeCell ref="B43:C43"/>
    <mergeCell ref="B44:C44"/>
    <mergeCell ref="B45:C45"/>
    <mergeCell ref="B137:C137"/>
    <mergeCell ref="D137:N137"/>
    <mergeCell ref="D161:N161"/>
    <mergeCell ref="B161:C161"/>
    <mergeCell ref="B165:N165"/>
    <mergeCell ref="B166:N166"/>
    <mergeCell ref="B149:C149"/>
    <mergeCell ref="B144:C144"/>
    <mergeCell ref="D144:N144"/>
    <mergeCell ref="B145:C145"/>
    <mergeCell ref="D145:N145"/>
    <mergeCell ref="B146:C146"/>
    <mergeCell ref="D146:N146"/>
    <mergeCell ref="D158:N158"/>
    <mergeCell ref="B152:N152"/>
    <mergeCell ref="B155:N155"/>
    <mergeCell ref="B160:N160"/>
    <mergeCell ref="B159:C159"/>
    <mergeCell ref="D159:N159"/>
    <mergeCell ref="B153:C153"/>
    <mergeCell ref="D153:N153"/>
    <mergeCell ref="B154:C154"/>
    <mergeCell ref="D154:N154"/>
    <mergeCell ref="B141:C141"/>
    <mergeCell ref="M172:N172"/>
    <mergeCell ref="B171:D171"/>
    <mergeCell ref="M171:N171"/>
    <mergeCell ref="B172:D172"/>
    <mergeCell ref="B143:C143"/>
    <mergeCell ref="D143:N143"/>
    <mergeCell ref="B150:C150"/>
    <mergeCell ref="D150:N150"/>
    <mergeCell ref="B164:C164"/>
    <mergeCell ref="D164:N164"/>
    <mergeCell ref="B162:C162"/>
    <mergeCell ref="D162:N162"/>
    <mergeCell ref="B163:C163"/>
    <mergeCell ref="D163:N163"/>
    <mergeCell ref="B151:C151"/>
    <mergeCell ref="D151:N151"/>
    <mergeCell ref="E171:L171"/>
    <mergeCell ref="E172:L172"/>
    <mergeCell ref="B167:N170"/>
    <mergeCell ref="D156:N156"/>
    <mergeCell ref="B157:C157"/>
    <mergeCell ref="D157:N157"/>
    <mergeCell ref="B158:C158"/>
    <mergeCell ref="B156:C156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34:C34"/>
    <mergeCell ref="B35:C35"/>
    <mergeCell ref="B36:C36"/>
    <mergeCell ref="B37:C37"/>
    <mergeCell ref="B38:C38"/>
    <mergeCell ref="B39:C39"/>
    <mergeCell ref="B40:C40"/>
    <mergeCell ref="B7:E7"/>
    <mergeCell ref="B8:E8"/>
    <mergeCell ref="B9:E9"/>
    <mergeCell ref="B10:E10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20:C20"/>
    <mergeCell ref="B21:C21"/>
    <mergeCell ref="B22:C22"/>
    <mergeCell ref="B23:C23"/>
    <mergeCell ref="B41:C41"/>
    <mergeCell ref="B42:C42"/>
    <mergeCell ref="B134:N134"/>
    <mergeCell ref="B129:N129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24:C24"/>
    <mergeCell ref="B116:K116"/>
    <mergeCell ref="B117:M117"/>
    <mergeCell ref="B118:M118"/>
    <mergeCell ref="B119:M119"/>
    <mergeCell ref="B124:N124"/>
    <mergeCell ref="D126:N126"/>
    <mergeCell ref="B125:C125"/>
    <mergeCell ref="D125:N125"/>
    <mergeCell ref="B136:C136"/>
    <mergeCell ref="D136:N136"/>
    <mergeCell ref="B131:C131"/>
    <mergeCell ref="D131:N131"/>
    <mergeCell ref="B132:C132"/>
    <mergeCell ref="D132:N132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43738</v>
      </c>
      <c r="F2" s="518" t="s">
        <v>244</v>
      </c>
      <c r="G2" s="518"/>
    </row>
    <row r="3" spans="3:13">
      <c r="C3" s="297" t="s">
        <v>126</v>
      </c>
      <c r="D3" s="519" t="str">
        <f>QUOTATION!F7</f>
        <v>Mr. Madhav reddy</v>
      </c>
      <c r="E3" s="519"/>
      <c r="F3" s="522" t="s">
        <v>245</v>
      </c>
      <c r="G3" s="523">
        <f>QUOTATION!N8</f>
        <v>43738</v>
      </c>
    </row>
    <row r="4" spans="3:13">
      <c r="C4" s="297" t="s">
        <v>242</v>
      </c>
      <c r="D4" s="520" t="str">
        <f>QUOTATION!M6</f>
        <v>ABPL-DE-19.20-2208</v>
      </c>
      <c r="E4" s="520"/>
      <c r="F4" s="522"/>
      <c r="G4" s="524"/>
    </row>
    <row r="5" spans="3:13">
      <c r="C5" s="297" t="s">
        <v>127</v>
      </c>
      <c r="D5" s="519" t="str">
        <f>QUOTATION!F8</f>
        <v>Hyderabad</v>
      </c>
      <c r="E5" s="519"/>
      <c r="F5" s="522"/>
      <c r="G5" s="524"/>
    </row>
    <row r="6" spans="3:13">
      <c r="C6" s="297" t="s">
        <v>168</v>
      </c>
      <c r="D6" s="519" t="str">
        <f>QUOTATION!F9</f>
        <v>Ms. Rachana : 9154030271</v>
      </c>
      <c r="E6" s="519"/>
      <c r="F6" s="522"/>
      <c r="G6" s="524"/>
    </row>
    <row r="7" spans="3:13">
      <c r="C7" s="297" t="s">
        <v>376</v>
      </c>
      <c r="D7" s="519">
        <f>QUOTATION!M10</f>
        <v>0</v>
      </c>
      <c r="E7" s="519"/>
      <c r="F7" s="522"/>
      <c r="G7" s="524"/>
    </row>
    <row r="8" spans="3:13">
      <c r="C8" s="297" t="s">
        <v>176</v>
      </c>
      <c r="D8" s="519" t="str">
        <f>QUOTATION!F10</f>
        <v>Powder Coating Black Matt</v>
      </c>
      <c r="E8" s="519"/>
      <c r="F8" s="522"/>
      <c r="G8" s="524"/>
    </row>
    <row r="9" spans="3:13">
      <c r="C9" s="297" t="s">
        <v>177</v>
      </c>
      <c r="D9" s="519" t="str">
        <f>QUOTATION!I10</f>
        <v>Black</v>
      </c>
      <c r="E9" s="519"/>
      <c r="F9" s="522"/>
      <c r="G9" s="524"/>
    </row>
    <row r="10" spans="3:13">
      <c r="C10" s="297" t="s">
        <v>179</v>
      </c>
      <c r="D10" s="519" t="str">
        <f>QUOTATION!I8</f>
        <v>1.5Kpa</v>
      </c>
      <c r="E10" s="519"/>
      <c r="F10" s="522"/>
      <c r="G10" s="524"/>
    </row>
    <row r="11" spans="3:13">
      <c r="C11" s="297" t="s">
        <v>241</v>
      </c>
      <c r="D11" s="519" t="str">
        <f>QUOTATION!M9</f>
        <v>Nikhil</v>
      </c>
      <c r="E11" s="519"/>
      <c r="F11" s="522"/>
      <c r="G11" s="524"/>
    </row>
    <row r="12" spans="3:13">
      <c r="C12" s="297" t="s">
        <v>243</v>
      </c>
      <c r="D12" s="521">
        <f>QUOTATION!M7</f>
        <v>43738</v>
      </c>
      <c r="E12" s="521"/>
      <c r="F12" s="522"/>
      <c r="G12" s="525"/>
    </row>
    <row r="13" spans="3:13">
      <c r="C13" s="193" t="s">
        <v>235</v>
      </c>
      <c r="D13" s="514" t="s">
        <v>231</v>
      </c>
      <c r="E13" s="515"/>
      <c r="F13" s="516" t="s">
        <v>232</v>
      </c>
      <c r="G13" s="517"/>
    </row>
    <row r="14" spans="3:13">
      <c r="C14" s="194" t="s">
        <v>233</v>
      </c>
      <c r="D14" s="296"/>
      <c r="E14" s="244">
        <f>Pricing!L104</f>
        <v>5136.33</v>
      </c>
      <c r="F14" s="205"/>
      <c r="G14" s="206">
        <f>E14</f>
        <v>5136.33</v>
      </c>
    </row>
    <row r="15" spans="3:13">
      <c r="C15" s="194" t="s">
        <v>234</v>
      </c>
      <c r="D15" s="296">
        <f>'Changable Values'!D4</f>
        <v>83</v>
      </c>
      <c r="E15" s="199">
        <f>E14*D15</f>
        <v>426315.39</v>
      </c>
      <c r="F15" s="205"/>
      <c r="G15" s="207">
        <f>E15</f>
        <v>426315.39</v>
      </c>
    </row>
    <row r="16" spans="3:13">
      <c r="C16" s="195" t="s">
        <v>97</v>
      </c>
      <c r="D16" s="200">
        <f>'Changable Values'!D5</f>
        <v>0.1</v>
      </c>
      <c r="E16" s="199">
        <f>E15*D16</f>
        <v>42631.539000000004</v>
      </c>
      <c r="F16" s="208">
        <f>'Changable Values'!D5</f>
        <v>0.1</v>
      </c>
      <c r="G16" s="207">
        <f>G15*F16</f>
        <v>42631.539000000004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51584.162190000003</v>
      </c>
      <c r="F17" s="208">
        <f>'Changable Values'!D6</f>
        <v>0.11</v>
      </c>
      <c r="G17" s="207">
        <f>SUM(G15:G16)*F17</f>
        <v>51584.162190000003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2602.65545595</v>
      </c>
      <c r="F18" s="208">
        <f>'Changable Values'!D7</f>
        <v>5.0000000000000001E-3</v>
      </c>
      <c r="G18" s="207">
        <f>SUM(G15:G17)*F18</f>
        <v>2602.65545595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5231.3374664595003</v>
      </c>
      <c r="F19" s="208">
        <f>'Changable Values'!D8</f>
        <v>0.01</v>
      </c>
      <c r="G19" s="207">
        <f>SUM(G15:G18)*F19</f>
        <v>5231.3374664595003</v>
      </c>
    </row>
    <row r="20" spans="3:7">
      <c r="C20" s="195" t="s">
        <v>99</v>
      </c>
      <c r="D20" s="201"/>
      <c r="E20" s="199">
        <f>SUM(E15:E19)</f>
        <v>528365.0841124095</v>
      </c>
      <c r="F20" s="208"/>
      <c r="G20" s="207">
        <f>SUM(G15:G19)</f>
        <v>528365.0841124095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7925.4762616861426</v>
      </c>
      <c r="F21" s="208">
        <f>'Changable Values'!D9</f>
        <v>1.4999999999999999E-2</v>
      </c>
      <c r="G21" s="207">
        <f>G20*F21</f>
        <v>7925.4762616861426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177588.40001999997</v>
      </c>
      <c r="F23" s="209"/>
      <c r="G23" s="207">
        <f t="shared" si="0"/>
        <v>177588.40001999997</v>
      </c>
    </row>
    <row r="24" spans="3:7">
      <c r="C24" s="195" t="s">
        <v>229</v>
      </c>
      <c r="D24" s="198"/>
      <c r="E24" s="199">
        <f>'Cost Calculation'!AH111</f>
        <v>30428.005573770493</v>
      </c>
      <c r="F24" s="209"/>
      <c r="G24" s="207">
        <f t="shared" si="0"/>
        <v>30428.005573770493</v>
      </c>
    </row>
    <row r="25" spans="3:7">
      <c r="C25" s="196" t="s">
        <v>237</v>
      </c>
      <c r="D25" s="198"/>
      <c r="E25" s="199">
        <f>'Cost Calculation'!AJ109</f>
        <v>26572.384448999997</v>
      </c>
      <c r="F25" s="209"/>
      <c r="G25" s="207">
        <f t="shared" si="0"/>
        <v>26572.384448999997</v>
      </c>
    </row>
    <row r="26" spans="3:7">
      <c r="C26" s="196" t="s">
        <v>238</v>
      </c>
      <c r="D26" s="198"/>
      <c r="E26" s="199">
        <f>'Cost Calculation'!AK109</f>
        <v>96707.638123199984</v>
      </c>
      <c r="F26" s="209"/>
      <c r="G26" s="207">
        <f t="shared" si="0"/>
        <v>96707.638123199984</v>
      </c>
    </row>
    <row r="27" spans="3:7">
      <c r="C27" s="195" t="s">
        <v>86</v>
      </c>
      <c r="D27" s="198"/>
      <c r="E27" s="199">
        <f>'Cost Calculation'!AL109</f>
        <v>67581.439239599975</v>
      </c>
      <c r="F27" s="209"/>
      <c r="G27" s="207">
        <f t="shared" si="0"/>
        <v>67581.439239599975</v>
      </c>
    </row>
    <row r="28" spans="3:7">
      <c r="C28" s="195" t="s">
        <v>88</v>
      </c>
      <c r="D28" s="198"/>
      <c r="E28" s="199">
        <f>'Cost Calculation'!AN109</f>
        <v>67581.439239599975</v>
      </c>
      <c r="F28" s="209"/>
      <c r="G28" s="207">
        <f t="shared" si="0"/>
        <v>67581.439239599975</v>
      </c>
    </row>
    <row r="29" spans="3:7">
      <c r="C29" s="293" t="s">
        <v>379</v>
      </c>
      <c r="D29" s="294"/>
      <c r="E29" s="295">
        <f>SUM(E20:E28)</f>
        <v>1002749.8670192661</v>
      </c>
      <c r="F29" s="209"/>
      <c r="G29" s="207">
        <f>SUM(G20:G21,G24)</f>
        <v>566718.56594786618</v>
      </c>
    </row>
    <row r="30" spans="3:7">
      <c r="C30" s="293" t="s">
        <v>380</v>
      </c>
      <c r="D30" s="294"/>
      <c r="E30" s="295">
        <f>E29/E33</f>
        <v>1483.7651850890081</v>
      </c>
      <c r="F30" s="209"/>
      <c r="G30" s="207"/>
    </row>
    <row r="31" spans="3:7">
      <c r="C31" s="195" t="s">
        <v>4</v>
      </c>
      <c r="D31" s="202">
        <f>'Changable Values'!D23</f>
        <v>1.8</v>
      </c>
      <c r="E31" s="199">
        <f>(E29-SUM(E22:E23,E25:E28))*D31</f>
        <v>1020093.4187061591</v>
      </c>
      <c r="F31" s="214">
        <f>'Changable Values'!D23</f>
        <v>1.8</v>
      </c>
      <c r="G31" s="207">
        <f>G29*F31</f>
        <v>1020093.4187061591</v>
      </c>
    </row>
    <row r="32" spans="3:7">
      <c r="C32" s="290" t="s">
        <v>5</v>
      </c>
      <c r="D32" s="291"/>
      <c r="E32" s="292">
        <f>E31+E29</f>
        <v>2022843.2857254252</v>
      </c>
      <c r="F32" s="205"/>
      <c r="G32" s="207">
        <f>SUM(G25:G31,G22:G23)</f>
        <v>2022843.2857254252</v>
      </c>
    </row>
    <row r="33" spans="3:7">
      <c r="C33" s="300" t="s">
        <v>230</v>
      </c>
      <c r="D33" s="301"/>
      <c r="E33" s="308">
        <f>'Cost Calculation'!K109</f>
        <v>675.81439239599979</v>
      </c>
      <c r="F33" s="210"/>
      <c r="G33" s="211">
        <f>E33</f>
        <v>675.81439239599979</v>
      </c>
    </row>
    <row r="34" spans="3:7">
      <c r="C34" s="302" t="s">
        <v>9</v>
      </c>
      <c r="D34" s="303"/>
      <c r="E34" s="304">
        <f>QUOTATION!L116</f>
        <v>30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2993.1935580030104</v>
      </c>
      <c r="F35" s="212"/>
      <c r="G35" s="213">
        <f>G32/(G33)</f>
        <v>2993.1935580030104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2019-09-30T10:28:21Z</cp:lastPrinted>
  <dcterms:created xsi:type="dcterms:W3CDTF">2010-12-18T06:34:46Z</dcterms:created>
  <dcterms:modified xsi:type="dcterms:W3CDTF">2019-10-01T10:48:58Z</dcterms:modified>
</cp:coreProperties>
</file>