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Drawings!$C$2:$O$271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4" i="158" l="1"/>
  <c r="Q22" i="158"/>
  <c r="Q17" i="158"/>
  <c r="Q16" i="158"/>
  <c r="Q15" i="158"/>
  <c r="Q12" i="158"/>
  <c r="Q9" i="158"/>
  <c r="Q8" i="158"/>
  <c r="Q5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0" i="159" l="1"/>
  <c r="AH56" i="159"/>
  <c r="AH24" i="159"/>
  <c r="AH32" i="159"/>
  <c r="AH40" i="159"/>
  <c r="AH50" i="159"/>
  <c r="AH12" i="159"/>
  <c r="M51" i="160"/>
  <c r="M50" i="160"/>
  <c r="AH35" i="159"/>
  <c r="AH38" i="159"/>
  <c r="AH43" i="159"/>
  <c r="AH46" i="159"/>
  <c r="AH54" i="159"/>
  <c r="AH57" i="159"/>
  <c r="M26" i="160"/>
  <c r="AH45" i="159"/>
  <c r="AH47" i="159"/>
  <c r="AH48" i="159"/>
  <c r="AH51" i="159"/>
  <c r="AH53" i="159"/>
  <c r="AH33" i="159"/>
  <c r="AH36" i="159"/>
  <c r="AH41" i="159"/>
  <c r="AH44" i="159"/>
  <c r="AH37" i="159"/>
  <c r="M41" i="160"/>
  <c r="AH52" i="159"/>
  <c r="AH55" i="159"/>
  <c r="AH49" i="159"/>
  <c r="AH26" i="159"/>
  <c r="AH34" i="159"/>
  <c r="AH39" i="159"/>
  <c r="AH42" i="159"/>
  <c r="AH31" i="159"/>
  <c r="AH30" i="159"/>
  <c r="M38" i="160"/>
  <c r="AH29" i="159"/>
  <c r="AH28" i="159"/>
  <c r="M36" i="160"/>
  <c r="AH27" i="159"/>
  <c r="M35" i="160"/>
  <c r="AH25" i="159"/>
  <c r="AH23" i="159"/>
  <c r="M31" i="160"/>
  <c r="AH22" i="159"/>
  <c r="M30" i="160"/>
  <c r="AH21" i="159"/>
  <c r="AH20" i="159"/>
  <c r="AH19" i="159"/>
  <c r="AH18" i="159"/>
  <c r="AH17" i="159"/>
  <c r="AH16" i="159"/>
  <c r="AH15" i="159"/>
  <c r="AH14" i="159"/>
  <c r="AH13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<sst xmlns="http://schemas.openxmlformats.org/spreadsheetml/2006/main" count="2064" uniqueCount="488">
  <si>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</si>
  <si>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</si>
  <si>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</si>
  <si>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</si>
  <si>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</si>
  <si>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</si>
  <si>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</si>
  <si>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</si>
  <si>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</si>
  <si>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</si>
  <si>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</si>
  <si>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</si>
  <si>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</si>
  <si>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</si>
  <si>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</si>
  <si>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</si>
  <si>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</si>
  <si>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</si>
  <si>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</si>
  <si>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</si>
  <si>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</si>
  <si>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</si>
  <si>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</si>
  <si>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</si>
  <si>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</si>
  <si>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</si>
  <si>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</si>
  <si>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</si>
  <si>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</si>
  <si>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</si>
  <si>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</si>
  <si>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</si>
  <si>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</si>
  <si>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</si>
  <si>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</si>
  <si>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</si>
  <si>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</si>
  <si>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</si>
  <si>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</si>
  <si>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</si>
  <si>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</si>
  <si>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</si>
  <si>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</si>
  <si>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</si>
  <si>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</si>
  <si>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</si>
  <si>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</si>
  <si>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</si>
  <si>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</si>
  <si>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</si>
  <si>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</si>
  <si>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</si>
  <si>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</si>
  <si>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</si>
  <si>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</si>
  <si>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</si>
  <si>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</si>
  <si>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</si>
  <si>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</si>
  <si>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</si>
  <si>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</si>
  <si>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</si>
  <si>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</si>
  <si>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</si>
  <si>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</si>
  <si>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</si>
  <si>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</si>
  <si>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</si>
  <si>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</si>
  <si>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</si>
  <si>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</si>
  <si>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</si>
  <si>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</si>
  <si>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</si>
  <si>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</si>
  <si>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</si>
  <si>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</si>
  <si>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</si>
  <si>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</si>
  <si>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</si>
  <si>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</si>
  <si>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</si>
  <si>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</si>
  <si>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</si>
  <si>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</si>
  <si>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</si>
  <si>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</si>
  <si>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</si>
  <si>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</si>
  <si>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</si>
  <si>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</si>
  <si>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</si>
  <si>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</si>
  <si>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</si>
  <si>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</si>
  <si>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</si>
  <si>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</si>
  <si>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</si>
  <si>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</si>
  <si>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</si>
  <si>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</si>
  <si>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</si>
  <si>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</si>
  <si>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</si>
  <si>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</si>
  <si>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</si>
  <si>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</si>
  <si>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</si>
  <si>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</si>
  <si>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</si>
  <si>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</si>
  <si>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</si>
  <si>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</si>
  <si>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</si>
  <si>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</si>
  <si>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</si>
  <si>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</si>
  <si>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</si>
  <si>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</si>
  <si>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</si>
  <si>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</si>
  <si>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</si>
  <si>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</si>
  <si>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</si>
  <si>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</si>
  <si>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</si>
  <si>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</si>
  <si>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</si>
  <si>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</si>
  <si>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</si>
  <si>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</si>
  <si>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</si>
  <si>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</si>
  <si>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</si>
  <si>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</si>
  <si>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</si>
  <si>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</si>
  <si>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</si>
  <si>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</si>
  <si>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</si>
  <si>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</si>
  <si>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</si>
  <si>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</si>
  <si>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</si>
  <si>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</si>
  <si>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</si>
  <si>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</si>
  <si>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</si>
  <si>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</si>
  <si>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</si>
  <si>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</si>
  <si>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</si>
  <si>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</si>
  <si>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</si>
  <si>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</si>
  <si>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</si>
  <si>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</si>
  <si>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</si>
  <si>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</si>
  <si>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</si>
  <si>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</si>
  <si>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</si>
  <si>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</si>
  <si>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</si>
  <si>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</si>
  <si>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</si>
  <si>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</si>
  <si>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</si>
  <si>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</si>
  <si>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</si>
  <si>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</si>
  <si>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</si>
  <si>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</si>
  <si>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</si>
  <si>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</si>
  <si>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</si>
  <si>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</si>
  <si>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</si>
  <si>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</si>
  <si>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</si>
  <si>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</si>
  <si>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</si>
  <si>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</si>
  <si>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</si>
  <si>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</si>
  <si>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</si>
  <si>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</si>
  <si>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</si>
  <si>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</si>
  <si>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</si>
  <si>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</si>
  <si>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</si>
  <si>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</si>
  <si>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</si>
  <si>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</si>
  <si>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</si>
  <si>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</si>
  <si>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</si>
  <si>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</si>
  <si>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</si>
  <si>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</si>
  <si>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</si>
  <si>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</si>
  <si>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</si>
  <si>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</si>
  <si>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</si>
  <si>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</si>
  <si>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</si>
  <si>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</si>
  <si>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</si>
  <si>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</si>
  <si>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</si>
  <si>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</si>
  <si>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</si>
  <si>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</si>
  <si>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</si>
  <si>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</si>
  <si>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</si>
  <si>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</si>
  <si>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</si>
  <si>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</si>
  <si>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</si>
  <si>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</si>
  <si>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</si>
  <si>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</si>
  <si>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</si>
  <si>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</si>
  <si>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</si>
  <si>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</si>
  <si>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</si>
  <si>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</si>
  <si>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</si>
  <si>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</si>
  <si>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</si>
  <si>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</si>
  <si>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</si>
  <si>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</si>
  <si>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</si>
  <si>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</si>
  <si>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</si>
  <si>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</si>
  <si>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</si>
  <si>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</si>
  <si>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</si>
  <si>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</si>
  <si>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</si>
  <si>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</si>
  <si>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</si>
  <si>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</si>
  <si>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</si>
  <si>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</si>
  <si>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</si>
  <si>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</si>
  <si>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</si>
  <si>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</si>
  <si>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</si>
  <si>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</si>
  <si>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</si>
  <si>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</si>
  <si>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</si>
  <si>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</si>
  <si>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</si>
  <si>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</si>
  <si>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</si>
  <si>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</si>
  <si>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</si>
  <si>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</si>
  <si>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</si>
  <si>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</si>
  <si>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</si>
  <si>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</si>
  <si>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</si>
  <si>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</si>
  <si>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</si>
  <si>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</si>
  <si>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</si>
  <si>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</si>
  <si>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</si>
  <si>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</si>
  <si>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</si>
  <si>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</si>
  <si>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</si>
  <si>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</si>
  <si>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</si>
  <si>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</si>
  <si>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</si>
  <si>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</si>
  <si>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</si>
  <si>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</si>
  <si>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</si>
  <si>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</si>
  <si>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</si>
  <si>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</si>
  <si>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</si>
  <si>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</si>
  <si>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</si>
  <si>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</si>
  <si>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</si>
  <si>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</si>
  <si>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</si>
  <si>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</si>
  <si>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</si>
  <si>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</si>
  <si>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</si>
  <si>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</si>
  <si>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</si>
  <si>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</si>
  <si>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</si>
  <si>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</si>
  <si>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</si>
  <si>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</si>
  <si>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</si>
  <si>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</si>
  <si>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</si>
  <si>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</si>
  <si>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</si>
  <si>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</si>
  <si>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</si>
  <si>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</si>
  <si>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</si>
  <si>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</si>
  <si>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</si>
  <si>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</si>
  <si>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</si>
  <si>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</si>
  <si>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</si>
  <si>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</si>
  <si>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</si>
  <si>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</si>
  <si>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</si>
  <si>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</si>
  <si>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</si>
  <si>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</si>
  <si>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</si>
  <si>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</si>
  <si>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</si>
  <si>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</si>
  <si>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</si>
  <si>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</si>
  <si>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</si>
  <si>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</si>
  <si>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</si>
  <si>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</si>
  <si>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</si>
  <si>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</si>
  <si>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</si>
  <si>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</si>
  <si>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</si>
  <si>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</si>
  <si>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</si>
  <si>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</si>
  <si>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</si>
  <si>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</si>
  <si>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</si>
  <si>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</si>
  <si>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</si>
  <si>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</si>
  <si>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</si>
  <si>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</si>
  <si>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</si>
  <si>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</si>
  <si>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</si>
  <si>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</si>
  <si>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</si>
  <si>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</si>
  <si>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</si>
  <si>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</si>
  <si>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</si>
  <si>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</si>
  <si>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</si>
  <si>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</si>
  <si>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</si>
  <si>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</si>
  <si>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</si>
  <si>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</si>
  <si>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</si>
  <si>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</si>
  <si>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</si>
  <si>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</si>
  <si>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</si>
  <si>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</si>
  <si>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</si>
  <si>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</si>
  <si>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</si>
  <si>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</si>
  <si>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</si>
  <si>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</si>
  <si>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</si>
  <si>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</si>
  <si>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</si>
  <si>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</si>
  <si>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</si>
  <si>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</si>
  <si>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</si>
  <si>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</si>
  <si>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</si>
  <si>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</si>
  <si>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</si>
  <si>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</si>
  <si>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</si>
  <si>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</si>
  <si>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</si>
  <si>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</si>
  <si>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</si>
  <si>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</si>
  <si>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</si>
  <si>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</si>
  <si>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</si>
  <si>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</si>
  <si>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</si>
  <si>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</si>
  <si>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</si>
  <si>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</si>
  <si>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</si>
  <si>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</si>
  <si>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</si>
  <si>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</si>
  <si>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</si>
  <si>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</si>
  <si>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</si>
  <si>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</si>
  <si>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</si>
  <si>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</si>
  <si>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</si>
  <si>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ABPL-DE-19.20-2210</t>
  </si>
  <si>
    <t>Mr. Amith</t>
  </si>
  <si>
    <t>Hyderabad</t>
  </si>
  <si>
    <t>Anodized</t>
  </si>
  <si>
    <t>Mr. Shekar</t>
  </si>
  <si>
    <t>W1</t>
  </si>
  <si>
    <t>M14600</t>
  </si>
  <si>
    <t>3 TRACK 2 SHUTTER SLIDING WINDOW</t>
  </si>
  <si>
    <t>SS</t>
  </si>
  <si>
    <t>GF - KITCHEN</t>
  </si>
  <si>
    <t>W2</t>
  </si>
  <si>
    <t>W3</t>
  </si>
  <si>
    <t>M15000</t>
  </si>
  <si>
    <t>FRENCH CASEMENT DOOR</t>
  </si>
  <si>
    <t>NO</t>
  </si>
  <si>
    <t>GF - SW - BEDROOM</t>
  </si>
  <si>
    <t>W4 &amp; W5</t>
  </si>
  <si>
    <t>-</t>
  </si>
  <si>
    <t>GLASS LOUVERS</t>
  </si>
  <si>
    <t>6MM (F)</t>
  </si>
  <si>
    <t>GF - SW - BEDROOM TOILET</t>
  </si>
  <si>
    <t>W6</t>
  </si>
  <si>
    <t>3 TRACK 2 SHUTTER SLIDING DOOR</t>
  </si>
  <si>
    <t>GF - NW BEDROOM</t>
  </si>
  <si>
    <t>W7</t>
  </si>
  <si>
    <t>GF - DINING</t>
  </si>
  <si>
    <t>W8</t>
  </si>
  <si>
    <t>GF - POOJA</t>
  </si>
  <si>
    <t>W9</t>
  </si>
  <si>
    <t>FIXED GLASS</t>
  </si>
  <si>
    <t>GF - STAIRCASE</t>
  </si>
  <si>
    <t>W10</t>
  </si>
  <si>
    <t>1F - SW - BEDROOM</t>
  </si>
  <si>
    <t>W11</t>
  </si>
  <si>
    <t>1F - SW - BEDROOM TOILET</t>
  </si>
  <si>
    <t>W12</t>
  </si>
  <si>
    <t>1F - NW - BEDROOM TOILET</t>
  </si>
  <si>
    <t>W13</t>
  </si>
  <si>
    <t>1F - NW - BEDROOM</t>
  </si>
  <si>
    <t>W14</t>
  </si>
  <si>
    <t>1F - FAMILY ROOM</t>
  </si>
  <si>
    <t>W15</t>
  </si>
  <si>
    <t>1F - SE BEDROOM</t>
  </si>
  <si>
    <t>W16</t>
  </si>
  <si>
    <t>1F - SE BEDROOM TOILET</t>
  </si>
  <si>
    <t>W17</t>
  </si>
  <si>
    <t>SIDE HUNG WINDOW</t>
  </si>
  <si>
    <t>W18</t>
  </si>
  <si>
    <t>1F - STAIRCASE</t>
  </si>
  <si>
    <t>W19</t>
  </si>
  <si>
    <t>W20</t>
  </si>
  <si>
    <t>2F - GYM ROOM</t>
  </si>
  <si>
    <t>W21</t>
  </si>
  <si>
    <t>2F - GYM ROOM TOILET</t>
  </si>
  <si>
    <t>W22</t>
  </si>
  <si>
    <t>2F - HOME THEATER</t>
  </si>
  <si>
    <t>W23</t>
  </si>
  <si>
    <t>2F - SERVANT TOILET</t>
  </si>
  <si>
    <t>W24</t>
  </si>
  <si>
    <t>2F - SERVANT BEDROOM</t>
  </si>
  <si>
    <t>W25</t>
  </si>
  <si>
    <t>SINGLE DOOR</t>
  </si>
  <si>
    <t>2F - OPEN TERRANCE DOOR</t>
  </si>
  <si>
    <t>6mm (F) :- 6mm Frosted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</si>
</sst>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8</xdr:row>
      <xdr:rowOff>289891</xdr:rowOff>
    </xdr:from>
    <xdr:to>
      <xdr:col>7</xdr:col>
      <xdr:colOff>140805</xdr:colOff>
      <xdr:row>15</xdr:row>
      <xdr:rowOff>271252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1764195"/>
          <a:ext cx="2609022" cy="2184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149087</xdr:colOff>
      <xdr:row>20</xdr:row>
      <xdr:rowOff>8283</xdr:rowOff>
    </xdr:from>
    <xdr:to>
      <xdr:col>5</xdr:col>
      <xdr:colOff>1772479</xdr:colOff>
      <xdr:row>26</xdr:row>
      <xdr:rowOff>226858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7" y="5110370"/>
          <a:ext cx="1623392" cy="2107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30</xdr:row>
      <xdr:rowOff>124239</xdr:rowOff>
    </xdr:from>
    <xdr:to>
      <xdr:col>5</xdr:col>
      <xdr:colOff>1648239</xdr:colOff>
      <xdr:row>38</xdr:row>
      <xdr:rowOff>73188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8224630"/>
          <a:ext cx="1408044" cy="2466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438979</xdr:colOff>
      <xdr:row>43</xdr:row>
      <xdr:rowOff>66261</xdr:rowOff>
    </xdr:from>
    <xdr:to>
      <xdr:col>7</xdr:col>
      <xdr:colOff>99393</xdr:colOff>
      <xdr:row>47</xdr:row>
      <xdr:rowOff>232848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3175" y="12109174"/>
          <a:ext cx="3313044" cy="1425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306457</xdr:colOff>
      <xdr:row>44</xdr:row>
      <xdr:rowOff>198782</xdr:rowOff>
    </xdr:from>
    <xdr:to>
      <xdr:col>5</xdr:col>
      <xdr:colOff>1565413</xdr:colOff>
      <xdr:row>46</xdr:row>
      <xdr:rowOff>182217</xdr:rowOff>
    </xdr:to>
    <xdr:grpSp>
      <xdr:nvGrpSpPr>
        <xdr:cNvPr id="13" name="Group 12"/>
        <xdr:cNvGrpSpPr/>
      </xdr:nvGrpSpPr>
      <xdr:grpSpPr>
        <a:xfrm>
          <a:off x="3354457" y="12556434"/>
          <a:ext cx="1258956" cy="612913"/>
          <a:chOff x="3354457" y="12556434"/>
          <a:chExt cx="1258956" cy="612913"/>
        </a:xfrm>
      </xdr:grpSpPr>
      <xdr:cxnSp macro="">
        <xdr:nvCxnSpPr>
          <xdr:cNvPr id="7" name="Straight Connector 6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372717</xdr:colOff>
      <xdr:row>52</xdr:row>
      <xdr:rowOff>182217</xdr:rowOff>
    </xdr:from>
    <xdr:to>
      <xdr:col>5</xdr:col>
      <xdr:colOff>1771632</xdr:colOff>
      <xdr:row>60</xdr:row>
      <xdr:rowOff>82826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14908695"/>
          <a:ext cx="1398915" cy="2418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63</xdr:row>
      <xdr:rowOff>66260</xdr:rowOff>
    </xdr:from>
    <xdr:to>
      <xdr:col>8</xdr:col>
      <xdr:colOff>173933</xdr:colOff>
      <xdr:row>71</xdr:row>
      <xdr:rowOff>197136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18105782"/>
          <a:ext cx="3197087" cy="2648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74</xdr:row>
      <xdr:rowOff>149087</xdr:rowOff>
    </xdr:from>
    <xdr:to>
      <xdr:col>5</xdr:col>
      <xdr:colOff>1805608</xdr:colOff>
      <xdr:row>82</xdr:row>
      <xdr:rowOff>118837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1501652"/>
          <a:ext cx="1424609" cy="2487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86</xdr:row>
      <xdr:rowOff>215348</xdr:rowOff>
    </xdr:from>
    <xdr:to>
      <xdr:col>5</xdr:col>
      <xdr:colOff>1797326</xdr:colOff>
      <xdr:row>92</xdr:row>
      <xdr:rowOff>131005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25195696"/>
          <a:ext cx="1598544" cy="180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</xdr:colOff>
      <xdr:row>96</xdr:row>
      <xdr:rowOff>132522</xdr:rowOff>
    </xdr:from>
    <xdr:to>
      <xdr:col>7</xdr:col>
      <xdr:colOff>94395</xdr:colOff>
      <xdr:row>104</xdr:row>
      <xdr:rowOff>207066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5" y="28111174"/>
          <a:ext cx="2446656" cy="2592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182216</xdr:colOff>
      <xdr:row>108</xdr:row>
      <xdr:rowOff>289892</xdr:rowOff>
    </xdr:from>
    <xdr:to>
      <xdr:col>8</xdr:col>
      <xdr:colOff>315656</xdr:colOff>
      <xdr:row>114</xdr:row>
      <xdr:rowOff>41413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412" y="31896327"/>
          <a:ext cx="4051114" cy="1639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16563</xdr:colOff>
      <xdr:row>110</xdr:row>
      <xdr:rowOff>91109</xdr:rowOff>
    </xdr:from>
    <xdr:to>
      <xdr:col>6</xdr:col>
      <xdr:colOff>74543</xdr:colOff>
      <xdr:row>112</xdr:row>
      <xdr:rowOff>74544</xdr:rowOff>
    </xdr:to>
    <xdr:grpSp>
      <xdr:nvGrpSpPr>
        <xdr:cNvPr id="20" name="Group 19"/>
        <xdr:cNvGrpSpPr/>
      </xdr:nvGrpSpPr>
      <xdr:grpSpPr>
        <a:xfrm>
          <a:off x="3064563" y="32327022"/>
          <a:ext cx="2037523" cy="612913"/>
          <a:chOff x="3354457" y="12556434"/>
          <a:chExt cx="1258956" cy="612913"/>
        </a:xfrm>
      </xdr:grpSpPr>
      <xdr:cxnSp macro="">
        <xdr:nvCxnSpPr>
          <xdr:cNvPr id="21" name="Straight Connector 20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240195</xdr:colOff>
      <xdr:row>119</xdr:row>
      <xdr:rowOff>57979</xdr:rowOff>
    </xdr:from>
    <xdr:to>
      <xdr:col>8</xdr:col>
      <xdr:colOff>1129</xdr:colOff>
      <xdr:row>124</xdr:row>
      <xdr:rowOff>149087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391" y="34977457"/>
          <a:ext cx="3678608" cy="1664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107675</xdr:colOff>
      <xdr:row>120</xdr:row>
      <xdr:rowOff>173936</xdr:rowOff>
    </xdr:from>
    <xdr:to>
      <xdr:col>5</xdr:col>
      <xdr:colOff>1722783</xdr:colOff>
      <xdr:row>122</xdr:row>
      <xdr:rowOff>157370</xdr:rowOff>
    </xdr:to>
    <xdr:grpSp>
      <xdr:nvGrpSpPr>
        <xdr:cNvPr id="28" name="Group 27"/>
        <xdr:cNvGrpSpPr/>
      </xdr:nvGrpSpPr>
      <xdr:grpSpPr>
        <a:xfrm>
          <a:off x="3155675" y="35408153"/>
          <a:ext cx="1615108" cy="612913"/>
          <a:chOff x="3354457" y="12556434"/>
          <a:chExt cx="1258956" cy="612913"/>
        </a:xfrm>
      </xdr:grpSpPr>
      <xdr:cxnSp macro="">
        <xdr:nvCxnSpPr>
          <xdr:cNvPr id="29" name="Straight Connector 28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16563</xdr:colOff>
      <xdr:row>129</xdr:row>
      <xdr:rowOff>157369</xdr:rowOff>
    </xdr:from>
    <xdr:to>
      <xdr:col>6</xdr:col>
      <xdr:colOff>82825</xdr:colOff>
      <xdr:row>137</xdr:row>
      <xdr:rowOff>104681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3" y="38075152"/>
          <a:ext cx="2045805" cy="246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140</xdr:row>
      <xdr:rowOff>91108</xdr:rowOff>
    </xdr:from>
    <xdr:to>
      <xdr:col>8</xdr:col>
      <xdr:colOff>231912</xdr:colOff>
      <xdr:row>148</xdr:row>
      <xdr:rowOff>239558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41321934"/>
          <a:ext cx="3238500" cy="2666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151</xdr:row>
      <xdr:rowOff>66260</xdr:rowOff>
    </xdr:from>
    <xdr:to>
      <xdr:col>5</xdr:col>
      <xdr:colOff>1896717</xdr:colOff>
      <xdr:row>159</xdr:row>
      <xdr:rowOff>260134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44610130"/>
          <a:ext cx="1524000" cy="2711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488673</xdr:colOff>
      <xdr:row>164</xdr:row>
      <xdr:rowOff>57977</xdr:rowOff>
    </xdr:from>
    <xdr:to>
      <xdr:col>7</xdr:col>
      <xdr:colOff>0</xdr:colOff>
      <xdr:row>168</xdr:row>
      <xdr:rowOff>166979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2869" y="48544368"/>
          <a:ext cx="3163957" cy="13679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472110</xdr:colOff>
      <xdr:row>165</xdr:row>
      <xdr:rowOff>190499</xdr:rowOff>
    </xdr:from>
    <xdr:to>
      <xdr:col>5</xdr:col>
      <xdr:colOff>1350066</xdr:colOff>
      <xdr:row>167</xdr:row>
      <xdr:rowOff>132520</xdr:rowOff>
    </xdr:to>
    <xdr:grpSp>
      <xdr:nvGrpSpPr>
        <xdr:cNvPr id="39" name="Group 38"/>
        <xdr:cNvGrpSpPr/>
      </xdr:nvGrpSpPr>
      <xdr:grpSpPr>
        <a:xfrm>
          <a:off x="3520110" y="48991629"/>
          <a:ext cx="877956" cy="571500"/>
          <a:chOff x="3354457" y="12556434"/>
          <a:chExt cx="1258956" cy="612913"/>
        </a:xfrm>
      </xdr:grpSpPr>
      <xdr:cxnSp macro="">
        <xdr:nvCxnSpPr>
          <xdr:cNvPr id="40" name="Straight Connector 39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463826</xdr:colOff>
      <xdr:row>173</xdr:row>
      <xdr:rowOff>157370</xdr:rowOff>
    </xdr:from>
    <xdr:to>
      <xdr:col>5</xdr:col>
      <xdr:colOff>1598544</xdr:colOff>
      <xdr:row>181</xdr:row>
      <xdr:rowOff>145413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51327327"/>
          <a:ext cx="1134718" cy="2505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356151</xdr:colOff>
      <xdr:row>184</xdr:row>
      <xdr:rowOff>289892</xdr:rowOff>
    </xdr:from>
    <xdr:to>
      <xdr:col>5</xdr:col>
      <xdr:colOff>1722782</xdr:colOff>
      <xdr:row>191</xdr:row>
      <xdr:rowOff>182808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1" y="54772892"/>
          <a:ext cx="1366631" cy="209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447261</xdr:colOff>
      <xdr:row>196</xdr:row>
      <xdr:rowOff>240194</xdr:rowOff>
    </xdr:from>
    <xdr:to>
      <xdr:col>6</xdr:col>
      <xdr:colOff>289276</xdr:colOff>
      <xdr:row>202</xdr:row>
      <xdr:rowOff>157369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2" y="58350977"/>
          <a:ext cx="2517297" cy="1805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331302</xdr:colOff>
      <xdr:row>206</xdr:row>
      <xdr:rowOff>149087</xdr:rowOff>
    </xdr:from>
    <xdr:to>
      <xdr:col>7</xdr:col>
      <xdr:colOff>115956</xdr:colOff>
      <xdr:row>214</xdr:row>
      <xdr:rowOff>186000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3" y="61258174"/>
          <a:ext cx="2849219" cy="255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240195</xdr:colOff>
      <xdr:row>218</xdr:row>
      <xdr:rowOff>149085</xdr:rowOff>
    </xdr:from>
    <xdr:to>
      <xdr:col>8</xdr:col>
      <xdr:colOff>213779</xdr:colOff>
      <xdr:row>223</xdr:row>
      <xdr:rowOff>57977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391" y="64885955"/>
          <a:ext cx="3891258" cy="1482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505238</xdr:colOff>
      <xdr:row>220</xdr:row>
      <xdr:rowOff>24846</xdr:rowOff>
    </xdr:from>
    <xdr:to>
      <xdr:col>5</xdr:col>
      <xdr:colOff>1606825</xdr:colOff>
      <xdr:row>221</xdr:row>
      <xdr:rowOff>281607</xdr:rowOff>
    </xdr:to>
    <xdr:grpSp>
      <xdr:nvGrpSpPr>
        <xdr:cNvPr id="51" name="Group 50"/>
        <xdr:cNvGrpSpPr/>
      </xdr:nvGrpSpPr>
      <xdr:grpSpPr>
        <a:xfrm>
          <a:off x="3553238" y="65391194"/>
          <a:ext cx="1101587" cy="571500"/>
          <a:chOff x="3354457" y="12556434"/>
          <a:chExt cx="1258956" cy="612913"/>
        </a:xfrm>
      </xdr:grpSpPr>
      <xdr:cxnSp macro="">
        <xdr:nvCxnSpPr>
          <xdr:cNvPr id="52" name="Straight Connector 51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Straight Connector 52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Connector 53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Straight Connector 55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546652</xdr:colOff>
      <xdr:row>228</xdr:row>
      <xdr:rowOff>66261</xdr:rowOff>
    </xdr:from>
    <xdr:to>
      <xdr:col>8</xdr:col>
      <xdr:colOff>124239</xdr:colOff>
      <xdr:row>236</xdr:row>
      <xdr:rowOff>222248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3" y="67801435"/>
          <a:ext cx="2907196" cy="267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82826</xdr:colOff>
      <xdr:row>240</xdr:row>
      <xdr:rowOff>248476</xdr:rowOff>
    </xdr:from>
    <xdr:to>
      <xdr:col>8</xdr:col>
      <xdr:colOff>252061</xdr:colOff>
      <xdr:row>245</xdr:row>
      <xdr:rowOff>231912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022" y="71611433"/>
          <a:ext cx="4086909" cy="1557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250</xdr:row>
      <xdr:rowOff>248478</xdr:rowOff>
    </xdr:from>
    <xdr:to>
      <xdr:col>5</xdr:col>
      <xdr:colOff>1638818</xdr:colOff>
      <xdr:row>257</xdr:row>
      <xdr:rowOff>132521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74609739"/>
          <a:ext cx="1630536" cy="2087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132522</xdr:colOff>
      <xdr:row>261</xdr:row>
      <xdr:rowOff>66261</xdr:rowOff>
    </xdr:from>
    <xdr:to>
      <xdr:col>5</xdr:col>
      <xdr:colOff>1532283</xdr:colOff>
      <xdr:row>269</xdr:row>
      <xdr:rowOff>219264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2" y="77740565"/>
          <a:ext cx="1399761" cy="2670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242</xdr:row>
      <xdr:rowOff>165650</xdr:rowOff>
    </xdr:from>
    <xdr:to>
      <xdr:col>5</xdr:col>
      <xdr:colOff>1557130</xdr:colOff>
      <xdr:row>244</xdr:row>
      <xdr:rowOff>107672</xdr:rowOff>
    </xdr:to>
    <xdr:grpSp>
      <xdr:nvGrpSpPr>
        <xdr:cNvPr id="62" name="Group 61"/>
        <xdr:cNvGrpSpPr/>
      </xdr:nvGrpSpPr>
      <xdr:grpSpPr>
        <a:xfrm>
          <a:off x="3503543" y="72158085"/>
          <a:ext cx="1101587" cy="571500"/>
          <a:chOff x="3354457" y="12556434"/>
          <a:chExt cx="1258956" cy="612913"/>
        </a:xfrm>
      </xdr:grpSpPr>
      <xdr:cxnSp macro="">
        <xdr:nvCxnSpPr>
          <xdr:cNvPr id="63" name="Straight Connector 62"/>
          <xdr:cNvCxnSpPr/>
        </xdr:nvCxnSpPr>
        <xdr:spPr>
          <a:xfrm>
            <a:off x="3354457" y="12556434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Straight Connector 63"/>
          <xdr:cNvCxnSpPr/>
        </xdr:nvCxnSpPr>
        <xdr:spPr>
          <a:xfrm>
            <a:off x="3354457" y="1268895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/>
          <xdr:cNvCxnSpPr/>
        </xdr:nvCxnSpPr>
        <xdr:spPr>
          <a:xfrm>
            <a:off x="3354457" y="12813195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>
            <a:off x="3354457" y="12912586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>
            <a:off x="3354457" y="13045108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/>
        </xdr:nvCxnSpPr>
        <xdr:spPr>
          <a:xfrm>
            <a:off x="3354457" y="13169347"/>
            <a:ext cx="12589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8" sqref="R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ABPL-DE-19.20-2210</v>
      </c>
      <c r="O2" s="537"/>
      <c r="P2" s="219" t="s">
        <v>256</v>
      </c>
    </row>
    <row r="3" spans="2:16">
      <c r="B3" s="218"/>
      <c r="C3" s="536" t="s">
        <v>126</v>
      </c>
      <c r="D3" s="536"/>
      <c r="E3" s="536"/>
      <c r="F3" s="537" t="str">
        <f>QUOTATION!F7</f>
        <v>Mr. Amith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43739</v>
      </c>
      <c r="O3" s="544"/>
      <c r="P3" s="219" t="s">
        <v>255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8" t="s">
        <v>179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R0</v>
      </c>
      <c r="O4" s="287">
        <f>QUOTATION!N8</f>
        <v>43739</v>
      </c>
    </row>
    <row r="5" spans="2:16">
      <c r="B5" s="218"/>
      <c r="C5" s="536" t="s">
        <v>168</v>
      </c>
      <c r="D5" s="536"/>
      <c r="E5" s="536"/>
      <c r="F5" s="537" t="str">
        <f>QUOTATION!F9</f>
        <v>Ms. Rachana : 9154030271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Mahesh</v>
      </c>
      <c r="O5" s="537"/>
    </row>
    <row r="6" spans="2:16">
      <c r="B6" s="218"/>
      <c r="C6" s="536" t="s">
        <v>176</v>
      </c>
      <c r="D6" s="536"/>
      <c r="E6" s="536"/>
      <c r="F6" s="285" t="str">
        <f>QUOTATION!F10</f>
        <v>Anodized</v>
      </c>
      <c r="G6" s="536"/>
      <c r="H6" s="536"/>
      <c r="I6" s="538" t="s">
        <v>177</v>
      </c>
      <c r="J6" s="538"/>
      <c r="K6" s="537" t="str">
        <f>QUOTATION!I10</f>
        <v>Silver</v>
      </c>
      <c r="L6" s="537"/>
      <c r="M6" s="320" t="s">
        <v>374</v>
      </c>
      <c r="N6" s="545" t="str">
        <f>'BD Team'!J5</f>
        <v>Mr. Shekar</v>
      </c>
      <c r="O6" s="546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253</v>
      </c>
      <c r="D8" s="536"/>
      <c r="E8" s="286" t="str">
        <f>'BD Team'!B9</f>
        <v>W1</v>
      </c>
      <c r="F8" s="288" t="s">
        <v>254</v>
      </c>
      <c r="G8" s="537" t="str">
        <f>'BD Team'!D9</f>
        <v>3 TRACK 2 SHUTTER SLIDING WINDOW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GF - KITCHEN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246</v>
      </c>
      <c r="M10" s="536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177</v>
      </c>
      <c r="M11" s="536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247</v>
      </c>
      <c r="M12" s="536"/>
      <c r="N12" s="542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248</v>
      </c>
      <c r="M13" s="536"/>
      <c r="N13" s="537" t="str">
        <f>CONCATENATE('BD Team'!H9," X ",'BD Team'!I9)</f>
        <v>1524 X 672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249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250</v>
      </c>
      <c r="M15" s="536"/>
      <c r="N15" s="537" t="str">
        <f>'BD Team'!C9</f>
        <v>M14600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251</v>
      </c>
      <c r="M16" s="536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252</v>
      </c>
      <c r="M17" s="536"/>
      <c r="N17" s="537" t="str">
        <f>'BD Team'!F9</f>
        <v>SS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253</v>
      </c>
      <c r="D19" s="536"/>
      <c r="E19" s="286" t="str">
        <f>'BD Team'!B10</f>
        <v>W2</v>
      </c>
      <c r="F19" s="288" t="s">
        <v>254</v>
      </c>
      <c r="G19" s="537" t="str">
        <f>'BD Team'!D10</f>
        <v>3 TRACK 2 SHUTTER SLIDING WINDOW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GF - KITCHEN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246</v>
      </c>
      <c r="M21" s="536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177</v>
      </c>
      <c r="M22" s="536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247</v>
      </c>
      <c r="M23" s="536"/>
      <c r="N23" s="539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248</v>
      </c>
      <c r="M24" s="536"/>
      <c r="N24" s="537" t="str">
        <f>CONCATENATE('BD Team'!H10," X ",'BD Team'!I10)</f>
        <v>1210 X 1056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249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250</v>
      </c>
      <c r="M26" s="536"/>
      <c r="N26" s="537" t="str">
        <f>'BD Team'!C10</f>
        <v>M14600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251</v>
      </c>
      <c r="M27" s="536"/>
      <c r="N27" s="537" t="str">
        <f>'BD Team'!E10</f>
        <v>24MM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252</v>
      </c>
      <c r="M28" s="536"/>
      <c r="N28" s="537" t="str">
        <f>'BD Team'!F10</f>
        <v>SS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253</v>
      </c>
      <c r="D30" s="536"/>
      <c r="E30" s="286" t="str">
        <f>'BD Team'!B11</f>
        <v>W3</v>
      </c>
      <c r="F30" s="288" t="s">
        <v>254</v>
      </c>
      <c r="G30" s="537" t="str">
        <f>'BD Team'!D11</f>
        <v>FRENCH CASEMENT DOOR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GF - SW - BEDROOM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246</v>
      </c>
      <c r="M32" s="536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177</v>
      </c>
      <c r="M33" s="536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247</v>
      </c>
      <c r="M34" s="536"/>
      <c r="N34" s="539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248</v>
      </c>
      <c r="M35" s="536"/>
      <c r="N35" s="537" t="str">
        <f>CONCATENATE('BD Team'!H11," X ",'BD Team'!I11)</f>
        <v>949 X 1805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249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250</v>
      </c>
      <c r="M37" s="536"/>
      <c r="N37" s="537" t="str">
        <f>'BD Team'!C11</f>
        <v>M15000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251</v>
      </c>
      <c r="M38" s="536"/>
      <c r="N38" s="537" t="str">
        <f>'BD Team'!E11</f>
        <v>24MM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252</v>
      </c>
      <c r="M39" s="536"/>
      <c r="N39" s="537" t="str">
        <f>'BD Team'!F11</f>
        <v>NO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253</v>
      </c>
      <c r="D41" s="536"/>
      <c r="E41" s="286" t="str">
        <f>'BD Team'!B12</f>
        <v>W4 &amp; W5</v>
      </c>
      <c r="F41" s="288" t="s">
        <v>254</v>
      </c>
      <c r="G41" s="537" t="str">
        <f>'BD Team'!D12</f>
        <v>GLASS LOUVERS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GF - SW - BEDROOM TOILET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246</v>
      </c>
      <c r="M43" s="536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177</v>
      </c>
      <c r="M44" s="536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247</v>
      </c>
      <c r="M45" s="536"/>
      <c r="N45" s="539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248</v>
      </c>
      <c r="M46" s="536"/>
      <c r="N46" s="537" t="str">
        <f>CONCATENATE('BD Team'!H12," X ",'BD Team'!I12)</f>
        <v>909 X 601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249</v>
      </c>
      <c r="M47" s="536"/>
      <c r="N47" s="540">
        <f>'BD Team'!J12</f>
        <v>2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250</v>
      </c>
      <c r="M48" s="536"/>
      <c r="N48" s="537" t="str">
        <f>'BD Team'!C12</f>
        <v>-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251</v>
      </c>
      <c r="M49" s="536"/>
      <c r="N49" s="537" t="str">
        <f>'BD Team'!E12</f>
        <v>6MM (F)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252</v>
      </c>
      <c r="M50" s="536"/>
      <c r="N50" s="537" t="str">
        <f>'BD Team'!F12</f>
        <v>NO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253</v>
      </c>
      <c r="D52" s="536"/>
      <c r="E52" s="286" t="str">
        <f>'BD Team'!B13</f>
        <v>W6</v>
      </c>
      <c r="F52" s="288" t="s">
        <v>254</v>
      </c>
      <c r="G52" s="537" t="str">
        <f>'BD Team'!D13</f>
        <v>3 TRACK 2 SHUTTER SLIDING WINDOW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GF - NW BEDROOM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246</v>
      </c>
      <c r="M54" s="536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177</v>
      </c>
      <c r="M55" s="536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247</v>
      </c>
      <c r="M56" s="536"/>
      <c r="N56" s="539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248</v>
      </c>
      <c r="M57" s="536"/>
      <c r="N57" s="537" t="str">
        <f>CONCATENATE('BD Team'!H13," X ",'BD Team'!I13)</f>
        <v>1228 X 1739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249</v>
      </c>
      <c r="M58" s="536"/>
      <c r="N58" s="540">
        <f>'BD Team'!J13</f>
        <v>1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250</v>
      </c>
      <c r="M59" s="536"/>
      <c r="N59" s="537" t="str">
        <f>'BD Team'!C13</f>
        <v>M14600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251</v>
      </c>
      <c r="M60" s="536"/>
      <c r="N60" s="537" t="str">
        <f>'BD Team'!E13</f>
        <v>24MM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252</v>
      </c>
      <c r="M61" s="536"/>
      <c r="N61" s="537" t="str">
        <f>'BD Team'!F13</f>
        <v>SS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253</v>
      </c>
      <c r="D63" s="536"/>
      <c r="E63" s="286" t="str">
        <f>'BD Team'!B14</f>
        <v>W7</v>
      </c>
      <c r="F63" s="288" t="s">
        <v>254</v>
      </c>
      <c r="G63" s="537" t="str">
        <f>'BD Team'!D14</f>
        <v>3 TRACK 2 SHUTTER SLIDING WINDOW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GF - DINING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246</v>
      </c>
      <c r="M65" s="536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177</v>
      </c>
      <c r="M66" s="536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247</v>
      </c>
      <c r="M67" s="536"/>
      <c r="N67" s="539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248</v>
      </c>
      <c r="M68" s="536"/>
      <c r="N68" s="537" t="str">
        <f>CONCATENATE('BD Team'!H14," X ",'BD Team'!I14)</f>
        <v>3064 X 1955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249</v>
      </c>
      <c r="M69" s="536"/>
      <c r="N69" s="540">
        <f>'BD Team'!J14</f>
        <v>1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250</v>
      </c>
      <c r="M70" s="536"/>
      <c r="N70" s="537" t="str">
        <f>'BD Team'!C14</f>
        <v>M14600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251</v>
      </c>
      <c r="M71" s="536"/>
      <c r="N71" s="537" t="str">
        <f>'BD Team'!E14</f>
        <v>24MM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252</v>
      </c>
      <c r="M72" s="536"/>
      <c r="N72" s="537" t="str">
        <f>'BD Team'!F14</f>
        <v>SS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253</v>
      </c>
      <c r="D74" s="536"/>
      <c r="E74" s="286" t="str">
        <f>'BD Team'!B15</f>
        <v>W8</v>
      </c>
      <c r="F74" s="288" t="s">
        <v>254</v>
      </c>
      <c r="G74" s="537" t="str">
        <f>'BD Team'!D15</f>
        <v>FRENCH CASEMENT DOOR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GF - POOJA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246</v>
      </c>
      <c r="M76" s="536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177</v>
      </c>
      <c r="M77" s="536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247</v>
      </c>
      <c r="M78" s="536"/>
      <c r="N78" s="539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248</v>
      </c>
      <c r="M79" s="536"/>
      <c r="N79" s="537" t="str">
        <f>CONCATENATE('BD Team'!H15," X ",'BD Team'!I15)</f>
        <v>894 X 1748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249</v>
      </c>
      <c r="M80" s="536"/>
      <c r="N80" s="540">
        <f>'BD Team'!J15</f>
        <v>1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250</v>
      </c>
      <c r="M81" s="536"/>
      <c r="N81" s="537" t="str">
        <f>'BD Team'!C15</f>
        <v>M15000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251</v>
      </c>
      <c r="M82" s="536"/>
      <c r="N82" s="537" t="str">
        <f>'BD Team'!E15</f>
        <v>24MM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252</v>
      </c>
      <c r="M83" s="536"/>
      <c r="N83" s="537" t="str">
        <f>'BD Team'!F15</f>
        <v>NO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253</v>
      </c>
      <c r="D85" s="536"/>
      <c r="E85" s="286" t="str">
        <f>'BD Team'!B16</f>
        <v>W9</v>
      </c>
      <c r="F85" s="288" t="s">
        <v>254</v>
      </c>
      <c r="G85" s="537" t="str">
        <f>'BD Team'!D16</f>
        <v>FIXED GLASS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GF - STAIRCASE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246</v>
      </c>
      <c r="M87" s="536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177</v>
      </c>
      <c r="M88" s="536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247</v>
      </c>
      <c r="M89" s="536"/>
      <c r="N89" s="539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248</v>
      </c>
      <c r="M90" s="536"/>
      <c r="N90" s="537" t="str">
        <f>CONCATENATE('BD Team'!H16," X ",'BD Team'!I16)</f>
        <v>1020 X 1151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249</v>
      </c>
      <c r="M91" s="536"/>
      <c r="N91" s="540">
        <f>'BD Team'!J16</f>
        <v>1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250</v>
      </c>
      <c r="M92" s="536"/>
      <c r="N92" s="537" t="str">
        <f>'BD Team'!C16</f>
        <v>M15000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251</v>
      </c>
      <c r="M93" s="536"/>
      <c r="N93" s="537" t="str">
        <f>'BD Team'!E16</f>
        <v>24MM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252</v>
      </c>
      <c r="M94" s="536"/>
      <c r="N94" s="537" t="str">
        <f>'BD Team'!F16</f>
        <v>NO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253</v>
      </c>
      <c r="D96" s="536"/>
      <c r="E96" s="286" t="str">
        <f>'BD Team'!B17</f>
        <v>W10</v>
      </c>
      <c r="F96" s="288" t="s">
        <v>254</v>
      </c>
      <c r="G96" s="537" t="str">
        <f>'BD Team'!D17</f>
        <v>3 TRACK 2 SHUTTER SLIDING WINDOW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1F - SW - BEDROOM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246</v>
      </c>
      <c r="M98" s="536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177</v>
      </c>
      <c r="M99" s="536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247</v>
      </c>
      <c r="M100" s="536"/>
      <c r="N100" s="539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248</v>
      </c>
      <c r="M101" s="536"/>
      <c r="N101" s="537" t="str">
        <f>CONCATENATE('BD Team'!H17," X ",'BD Team'!I17)</f>
        <v>2146 X 1716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249</v>
      </c>
      <c r="M102" s="536"/>
      <c r="N102" s="540">
        <f>'BD Team'!J17</f>
        <v>1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250</v>
      </c>
      <c r="M103" s="536"/>
      <c r="N103" s="537" t="str">
        <f>'BD Team'!C17</f>
        <v>M14600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251</v>
      </c>
      <c r="M104" s="536"/>
      <c r="N104" s="537" t="str">
        <f>'BD Team'!E17</f>
        <v>24MM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252</v>
      </c>
      <c r="M105" s="536"/>
      <c r="N105" s="537" t="str">
        <f>'BD Team'!F17</f>
        <v>SS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253</v>
      </c>
      <c r="D107" s="536"/>
      <c r="E107" s="286" t="str">
        <f>'BD Team'!B18</f>
        <v>W11</v>
      </c>
      <c r="F107" s="288" t="s">
        <v>254</v>
      </c>
      <c r="G107" s="537" t="str">
        <f>'BD Team'!D18</f>
        <v>GLASS LOUVERS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>1F - SW - BEDROOM TOILET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246</v>
      </c>
      <c r="M109" s="536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177</v>
      </c>
      <c r="M110" s="536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247</v>
      </c>
      <c r="M111" s="536"/>
      <c r="N111" s="539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248</v>
      </c>
      <c r="M112" s="536"/>
      <c r="N112" s="537" t="str">
        <f>CONCATENATE('BD Team'!H18," X ",'BD Team'!I18)</f>
        <v>1543 X 599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249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250</v>
      </c>
      <c r="M114" s="536"/>
      <c r="N114" s="537" t="str">
        <f>'BD Team'!C18</f>
        <v>-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251</v>
      </c>
      <c r="M115" s="536"/>
      <c r="N115" s="537" t="str">
        <f>'BD Team'!E18</f>
        <v>6MM (F)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252</v>
      </c>
      <c r="M116" s="536"/>
      <c r="N116" s="537" t="str">
        <f>'BD Team'!F18</f>
        <v>NO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253</v>
      </c>
      <c r="D118" s="536"/>
      <c r="E118" s="286" t="str">
        <f>'BD Team'!B19</f>
        <v>W12</v>
      </c>
      <c r="F118" s="288" t="s">
        <v>254</v>
      </c>
      <c r="G118" s="537" t="str">
        <f>'BD Team'!D19</f>
        <v>GLASS LOUVERS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>1F - NW - BEDROOM TOILET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246</v>
      </c>
      <c r="M120" s="536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177</v>
      </c>
      <c r="M121" s="536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247</v>
      </c>
      <c r="M122" s="536"/>
      <c r="N122" s="539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248</v>
      </c>
      <c r="M123" s="536"/>
      <c r="N123" s="537" t="str">
        <f>CONCATENATE('BD Team'!H19," X ",'BD Team'!I19)</f>
        <v>1211 X 607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249</v>
      </c>
      <c r="M124" s="536"/>
      <c r="N124" s="540">
        <f>'BD Team'!J19</f>
        <v>1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250</v>
      </c>
      <c r="M125" s="536"/>
      <c r="N125" s="537" t="str">
        <f>'BD Team'!C19</f>
        <v>-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251</v>
      </c>
      <c r="M126" s="536"/>
      <c r="N126" s="537" t="str">
        <f>'BD Team'!E19</f>
        <v>6MM (F)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252</v>
      </c>
      <c r="M127" s="536"/>
      <c r="N127" s="537" t="str">
        <f>'BD Team'!F19</f>
        <v>NO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253</v>
      </c>
      <c r="D129" s="536"/>
      <c r="E129" s="286" t="str">
        <f>'BD Team'!B20</f>
        <v>W13</v>
      </c>
      <c r="F129" s="288" t="s">
        <v>254</v>
      </c>
      <c r="G129" s="537" t="str">
        <f>'BD Team'!D20</f>
        <v>3 TRACK 2 SHUTTER SLIDING WINDOW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 t="str">
        <f>'BD Team'!G20</f>
        <v>1F - NW - BEDROOM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246</v>
      </c>
      <c r="M131" s="536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177</v>
      </c>
      <c r="M132" s="536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247</v>
      </c>
      <c r="M133" s="536"/>
      <c r="N133" s="539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248</v>
      </c>
      <c r="M134" s="536"/>
      <c r="N134" s="537" t="str">
        <f>CONCATENATE('BD Team'!H20," X ",'BD Team'!I20)</f>
        <v>1885 X 1758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249</v>
      </c>
      <c r="M135" s="536"/>
      <c r="N135" s="540">
        <f>'BD Team'!J20</f>
        <v>1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250</v>
      </c>
      <c r="M136" s="536"/>
      <c r="N136" s="537" t="str">
        <f>'BD Team'!C20</f>
        <v>M14600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251</v>
      </c>
      <c r="M137" s="536"/>
      <c r="N137" s="537" t="str">
        <f>'BD Team'!E20</f>
        <v>24MM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252</v>
      </c>
      <c r="M138" s="536"/>
      <c r="N138" s="537" t="str">
        <f>'BD Team'!F20</f>
        <v>SS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253</v>
      </c>
      <c r="D140" s="536"/>
      <c r="E140" s="286" t="str">
        <f>'BD Team'!B21</f>
        <v>W14</v>
      </c>
      <c r="F140" s="288" t="s">
        <v>254</v>
      </c>
      <c r="G140" s="537" t="str">
        <f>'BD Team'!D21</f>
        <v>3 TRACK 2 SHUTTER SLIDING DOOR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 t="str">
        <f>'BD Team'!G21</f>
        <v>1F - FAMILY ROOM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246</v>
      </c>
      <c r="M142" s="536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177</v>
      </c>
      <c r="M143" s="536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247</v>
      </c>
      <c r="M144" s="536"/>
      <c r="N144" s="539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248</v>
      </c>
      <c r="M145" s="536"/>
      <c r="N145" s="537" t="str">
        <f>CONCATENATE('BD Team'!H21," X ",'BD Team'!I21)</f>
        <v>3567 X 2332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249</v>
      </c>
      <c r="M146" s="536"/>
      <c r="N146" s="540">
        <f>'BD Team'!J21</f>
        <v>1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250</v>
      </c>
      <c r="M147" s="536"/>
      <c r="N147" s="537" t="str">
        <f>'BD Team'!C21</f>
        <v>M14600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251</v>
      </c>
      <c r="M148" s="536"/>
      <c r="N148" s="537" t="str">
        <f>'BD Team'!E21</f>
        <v>24MM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252</v>
      </c>
      <c r="M149" s="536"/>
      <c r="N149" s="537" t="str">
        <f>'BD Team'!F21</f>
        <v>SS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253</v>
      </c>
      <c r="D151" s="536"/>
      <c r="E151" s="286" t="str">
        <f>'BD Team'!B22</f>
        <v>W15</v>
      </c>
      <c r="F151" s="288" t="s">
        <v>254</v>
      </c>
      <c r="G151" s="537" t="str">
        <f>'BD Team'!D22</f>
        <v>3 TRACK 2 SHUTTER SLIDING WINDOW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 t="str">
        <f>'BD Team'!G22</f>
        <v>1F - SE BEDROOM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246</v>
      </c>
      <c r="M153" s="536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177</v>
      </c>
      <c r="M154" s="536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247</v>
      </c>
      <c r="M155" s="536"/>
      <c r="N155" s="539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248</v>
      </c>
      <c r="M156" s="536"/>
      <c r="N156" s="537" t="str">
        <f>CONCATENATE('BD Team'!H22," X ",'BD Team'!I22)</f>
        <v>1212 X 1750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249</v>
      </c>
      <c r="M157" s="536"/>
      <c r="N157" s="540">
        <f>'BD Team'!J22</f>
        <v>1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250</v>
      </c>
      <c r="M158" s="536"/>
      <c r="N158" s="537" t="str">
        <f>'BD Team'!C22</f>
        <v>M14600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251</v>
      </c>
      <c r="M159" s="536"/>
      <c r="N159" s="537" t="str">
        <f>'BD Team'!E22</f>
        <v>24MM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252</v>
      </c>
      <c r="M160" s="536"/>
      <c r="N160" s="537" t="str">
        <f>'BD Team'!F22</f>
        <v>SS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253</v>
      </c>
      <c r="D162" s="536"/>
      <c r="E162" s="286" t="str">
        <f>'BD Team'!B23</f>
        <v>W16</v>
      </c>
      <c r="F162" s="288" t="s">
        <v>254</v>
      </c>
      <c r="G162" s="537" t="str">
        <f>'BD Team'!D23</f>
        <v>GLASS LOUVERS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 t="str">
        <f>'BD Team'!G23</f>
        <v>1F - SE BEDROOM TOILET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246</v>
      </c>
      <c r="M164" s="536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177</v>
      </c>
      <c r="M165" s="536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247</v>
      </c>
      <c r="M166" s="536"/>
      <c r="N166" s="539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248</v>
      </c>
      <c r="M167" s="536"/>
      <c r="N167" s="537" t="str">
        <f>CONCATENATE('BD Team'!H23," X ",'BD Team'!I23)</f>
        <v>610 X 455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249</v>
      </c>
      <c r="M168" s="536"/>
      <c r="N168" s="540">
        <f>'BD Team'!J23</f>
        <v>1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250</v>
      </c>
      <c r="M169" s="536"/>
      <c r="N169" s="537" t="str">
        <f>'BD Team'!C23</f>
        <v>-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251</v>
      </c>
      <c r="M170" s="536"/>
      <c r="N170" s="537" t="str">
        <f>'BD Team'!E23</f>
        <v>6MM (F)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252</v>
      </c>
      <c r="M171" s="536"/>
      <c r="N171" s="537" t="str">
        <f>'BD Team'!F23</f>
        <v>NO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253</v>
      </c>
      <c r="D173" s="536"/>
      <c r="E173" s="286" t="str">
        <f>'BD Team'!B24</f>
        <v>W17</v>
      </c>
      <c r="F173" s="288" t="s">
        <v>254</v>
      </c>
      <c r="G173" s="537" t="str">
        <f>'BD Team'!D24</f>
        <v>SIDE HUNG WINDOW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 t="str">
        <f>'BD Team'!G24</f>
        <v>1F - SE BEDROOM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246</v>
      </c>
      <c r="M175" s="536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177</v>
      </c>
      <c r="M176" s="536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247</v>
      </c>
      <c r="M177" s="536"/>
      <c r="N177" s="539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248</v>
      </c>
      <c r="M178" s="536"/>
      <c r="N178" s="537" t="str">
        <f>CONCATENATE('BD Team'!H24," X ",'BD Team'!I24)</f>
        <v>645 X 1756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249</v>
      </c>
      <c r="M179" s="536"/>
      <c r="N179" s="540">
        <f>'BD Team'!J24</f>
        <v>1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250</v>
      </c>
      <c r="M180" s="536"/>
      <c r="N180" s="537" t="str">
        <f>'BD Team'!C24</f>
        <v>M15000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251</v>
      </c>
      <c r="M181" s="536"/>
      <c r="N181" s="537" t="str">
        <f>'BD Team'!E24</f>
        <v>24MM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252</v>
      </c>
      <c r="M182" s="536"/>
      <c r="N182" s="537" t="str">
        <f>'BD Team'!F24</f>
        <v>NO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253</v>
      </c>
      <c r="D184" s="536"/>
      <c r="E184" s="286" t="str">
        <f>'BD Team'!B25</f>
        <v>W18</v>
      </c>
      <c r="F184" s="288" t="s">
        <v>254</v>
      </c>
      <c r="G184" s="537" t="str">
        <f>'BD Team'!D25</f>
        <v>FIXED GLASS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 t="str">
        <f>'BD Team'!G25</f>
        <v>1F - STAIRCASE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246</v>
      </c>
      <c r="M186" s="536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177</v>
      </c>
      <c r="M187" s="536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247</v>
      </c>
      <c r="M188" s="536"/>
      <c r="N188" s="539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248</v>
      </c>
      <c r="M189" s="536"/>
      <c r="N189" s="537" t="str">
        <f>CONCATENATE('BD Team'!H25," X ",'BD Team'!I25)</f>
        <v>1004 X 1648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249</v>
      </c>
      <c r="M190" s="536"/>
      <c r="N190" s="540">
        <f>'BD Team'!J25</f>
        <v>1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250</v>
      </c>
      <c r="M191" s="536"/>
      <c r="N191" s="537" t="str">
        <f>'BD Team'!C25</f>
        <v>M15000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251</v>
      </c>
      <c r="M192" s="536"/>
      <c r="N192" s="537" t="str">
        <f>'BD Team'!E25</f>
        <v>24MM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252</v>
      </c>
      <c r="M193" s="536"/>
      <c r="N193" s="537" t="str">
        <f>'BD Team'!F25</f>
        <v>NO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253</v>
      </c>
      <c r="D195" s="536"/>
      <c r="E195" s="286" t="str">
        <f>'BD Team'!B26</f>
        <v>W19</v>
      </c>
      <c r="F195" s="288" t="s">
        <v>254</v>
      </c>
      <c r="G195" s="537" t="str">
        <f>'BD Team'!D26</f>
        <v>FIXED GLASS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 t="str">
        <f>'BD Team'!G26</f>
        <v>1F - STAIRCASE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246</v>
      </c>
      <c r="M197" s="536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177</v>
      </c>
      <c r="M198" s="536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247</v>
      </c>
      <c r="M199" s="536"/>
      <c r="N199" s="539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248</v>
      </c>
      <c r="M200" s="536"/>
      <c r="N200" s="537" t="str">
        <f>CONCATENATE('BD Team'!H26," X ",'BD Team'!I26)</f>
        <v>1803 X 1217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249</v>
      </c>
      <c r="M201" s="536"/>
      <c r="N201" s="540">
        <f>'BD Team'!J26</f>
        <v>1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250</v>
      </c>
      <c r="M202" s="536"/>
      <c r="N202" s="537" t="str">
        <f>'BD Team'!C26</f>
        <v>M15000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251</v>
      </c>
      <c r="M203" s="536"/>
      <c r="N203" s="537" t="str">
        <f>'BD Team'!E26</f>
        <v>24MM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252</v>
      </c>
      <c r="M204" s="536"/>
      <c r="N204" s="537" t="str">
        <f>'BD Team'!F26</f>
        <v>NO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253</v>
      </c>
      <c r="D206" s="536"/>
      <c r="E206" s="286" t="str">
        <f>'BD Team'!B27</f>
        <v>W20</v>
      </c>
      <c r="F206" s="288" t="s">
        <v>254</v>
      </c>
      <c r="G206" s="537" t="str">
        <f>'BD Team'!D27</f>
        <v>3 TRACK 2 SHUTTER SLIDING WINDOW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 t="str">
        <f>'BD Team'!G27</f>
        <v>2F - GYM ROOM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246</v>
      </c>
      <c r="M208" s="536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177</v>
      </c>
      <c r="M209" s="536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247</v>
      </c>
      <c r="M210" s="536"/>
      <c r="N210" s="539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248</v>
      </c>
      <c r="M211" s="536"/>
      <c r="N211" s="537" t="str">
        <f>CONCATENATE('BD Team'!H27," X ",'BD Team'!I27)</f>
        <v>1987 X 1187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249</v>
      </c>
      <c r="M212" s="536"/>
      <c r="N212" s="540">
        <f>'BD Team'!J27</f>
        <v>1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250</v>
      </c>
      <c r="M213" s="536"/>
      <c r="N213" s="537" t="str">
        <f>'BD Team'!C27</f>
        <v>M14600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251</v>
      </c>
      <c r="M214" s="536"/>
      <c r="N214" s="537" t="str">
        <f>'BD Team'!E27</f>
        <v>24MM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252</v>
      </c>
      <c r="M215" s="536"/>
      <c r="N215" s="537" t="str">
        <f>'BD Team'!F27</f>
        <v>SS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253</v>
      </c>
      <c r="D217" s="536"/>
      <c r="E217" s="286" t="str">
        <f>'BD Team'!B28</f>
        <v>W21</v>
      </c>
      <c r="F217" s="288" t="s">
        <v>254</v>
      </c>
      <c r="G217" s="537" t="str">
        <f>'BD Team'!D28</f>
        <v>GLASS LOUVERS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 t="str">
        <f>'BD Team'!G28</f>
        <v>2F - GYM ROOM TOILET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246</v>
      </c>
      <c r="M219" s="536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177</v>
      </c>
      <c r="M220" s="536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247</v>
      </c>
      <c r="M221" s="536"/>
      <c r="N221" s="539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248</v>
      </c>
      <c r="M222" s="536"/>
      <c r="N222" s="537" t="str">
        <f>CONCATENATE('BD Team'!H28," X ",'BD Team'!I28)</f>
        <v>607 X 359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249</v>
      </c>
      <c r="M223" s="536"/>
      <c r="N223" s="540">
        <f>'BD Team'!J28</f>
        <v>1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250</v>
      </c>
      <c r="M224" s="536"/>
      <c r="N224" s="537" t="str">
        <f>'BD Team'!C28</f>
        <v>-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251</v>
      </c>
      <c r="M225" s="536"/>
      <c r="N225" s="537" t="str">
        <f>'BD Team'!E28</f>
        <v>6MM (F)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252</v>
      </c>
      <c r="M226" s="536"/>
      <c r="N226" s="537" t="str">
        <f>'BD Team'!F28</f>
        <v>NO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253</v>
      </c>
      <c r="D228" s="536"/>
      <c r="E228" s="286" t="str">
        <f>'BD Team'!B29</f>
        <v>W22</v>
      </c>
      <c r="F228" s="288" t="s">
        <v>254</v>
      </c>
      <c r="G228" s="537" t="str">
        <f>'BD Team'!D29</f>
        <v>3 TRACK 2 SHUTTER SLIDING DOOR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 t="str">
        <f>'BD Team'!G29</f>
        <v>2F - HOME THEATER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246</v>
      </c>
      <c r="M230" s="536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177</v>
      </c>
      <c r="M231" s="536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247</v>
      </c>
      <c r="M232" s="536"/>
      <c r="N232" s="539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248</v>
      </c>
      <c r="M233" s="536"/>
      <c r="N233" s="537" t="str">
        <f>CONCATENATE('BD Team'!H29," X ",'BD Team'!I29)</f>
        <v>2929 X 2123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249</v>
      </c>
      <c r="M234" s="536"/>
      <c r="N234" s="540">
        <f>'BD Team'!J29</f>
        <v>1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250</v>
      </c>
      <c r="M235" s="536"/>
      <c r="N235" s="537" t="str">
        <f>'BD Team'!C29</f>
        <v>M14600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251</v>
      </c>
      <c r="M236" s="536"/>
      <c r="N236" s="537" t="str">
        <f>'BD Team'!E29</f>
        <v>24MM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252</v>
      </c>
      <c r="M237" s="536"/>
      <c r="N237" s="537" t="str">
        <f>'BD Team'!F29</f>
        <v>SS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253</v>
      </c>
      <c r="D239" s="536"/>
      <c r="E239" s="286" t="str">
        <f>'BD Team'!B30</f>
        <v>W23</v>
      </c>
      <c r="F239" s="288" t="s">
        <v>254</v>
      </c>
      <c r="G239" s="537" t="str">
        <f>'BD Team'!D30</f>
        <v>GLASS LOUVERS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 t="str">
        <f>'BD Team'!G30</f>
        <v>2F - SERVANT TOILET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246</v>
      </c>
      <c r="M241" s="536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177</v>
      </c>
      <c r="M242" s="536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247</v>
      </c>
      <c r="M243" s="536"/>
      <c r="N243" s="539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248</v>
      </c>
      <c r="M244" s="536"/>
      <c r="N244" s="537" t="str">
        <f>CONCATENATE('BD Team'!H30," X ",'BD Team'!I30)</f>
        <v>610 X 354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249</v>
      </c>
      <c r="M245" s="536"/>
      <c r="N245" s="540">
        <f>'BD Team'!J30</f>
        <v>1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250</v>
      </c>
      <c r="M246" s="536"/>
      <c r="N246" s="537" t="str">
        <f>'BD Team'!C30</f>
        <v>-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251</v>
      </c>
      <c r="M247" s="536"/>
      <c r="N247" s="537" t="str">
        <f>'BD Team'!E30</f>
        <v>6MM (F)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252</v>
      </c>
      <c r="M248" s="536"/>
      <c r="N248" s="537" t="str">
        <f>'BD Team'!F30</f>
        <v>NO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253</v>
      </c>
      <c r="D250" s="536"/>
      <c r="E250" s="286" t="str">
        <f>'BD Team'!B31</f>
        <v>W24</v>
      </c>
      <c r="F250" s="288" t="s">
        <v>254</v>
      </c>
      <c r="G250" s="537" t="str">
        <f>'BD Team'!D31</f>
        <v>SIDE HUNG WINDOW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 t="str">
        <f>'BD Team'!G31</f>
        <v>2F - SERVANT BEDROOM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246</v>
      </c>
      <c r="M252" s="536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177</v>
      </c>
      <c r="M253" s="536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247</v>
      </c>
      <c r="M254" s="536"/>
      <c r="N254" s="539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248</v>
      </c>
      <c r="M255" s="536"/>
      <c r="N255" s="537" t="str">
        <f>CONCATENATE('BD Team'!H31," X ",'BD Team'!I31)</f>
        <v>905 X 1222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249</v>
      </c>
      <c r="M256" s="536"/>
      <c r="N256" s="540">
        <f>'BD Team'!J31</f>
        <v>1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250</v>
      </c>
      <c r="M257" s="536"/>
      <c r="N257" s="537" t="str">
        <f>'BD Team'!C31</f>
        <v>M15000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251</v>
      </c>
      <c r="M258" s="536"/>
      <c r="N258" s="537" t="str">
        <f>'BD Team'!E31</f>
        <v>24MM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252</v>
      </c>
      <c r="M259" s="536"/>
      <c r="N259" s="537" t="str">
        <f>'BD Team'!F31</f>
        <v>NO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253</v>
      </c>
      <c r="D261" s="536"/>
      <c r="E261" s="286" t="str">
        <f>'BD Team'!B32</f>
        <v>W25</v>
      </c>
      <c r="F261" s="288" t="s">
        <v>254</v>
      </c>
      <c r="G261" s="537" t="str">
        <f>'BD Team'!D32</f>
        <v>SINGLE DOOR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 t="str">
        <f>'BD Team'!G32</f>
        <v>2F - OPEN TERRANCE DOOR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246</v>
      </c>
      <c r="M263" s="536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177</v>
      </c>
      <c r="M264" s="536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247</v>
      </c>
      <c r="M265" s="536"/>
      <c r="N265" s="539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248</v>
      </c>
      <c r="M266" s="536"/>
      <c r="N266" s="537" t="str">
        <f>CONCATENATE('BD Team'!H32," X ",'BD Team'!I32)</f>
        <v>995 X 2239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249</v>
      </c>
      <c r="M267" s="536"/>
      <c r="N267" s="540">
        <f>'BD Team'!J32</f>
        <v>1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250</v>
      </c>
      <c r="M268" s="536"/>
      <c r="N268" s="537" t="str">
        <f>'BD Team'!C32</f>
        <v>M15000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251</v>
      </c>
      <c r="M269" s="536"/>
      <c r="N269" s="537" t="str">
        <f>'BD Team'!E32</f>
        <v>24MM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252</v>
      </c>
      <c r="M270" s="536"/>
      <c r="N270" s="537" t="str">
        <f>'BD Team'!F32</f>
        <v>NO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253</v>
      </c>
      <c r="D272" s="536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246</v>
      </c>
      <c r="M274" s="536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177</v>
      </c>
      <c r="M275" s="536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247</v>
      </c>
      <c r="M276" s="536"/>
      <c r="N276" s="539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248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249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250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251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252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253</v>
      </c>
      <c r="D283" s="536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246</v>
      </c>
      <c r="M285" s="536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177</v>
      </c>
      <c r="M286" s="536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247</v>
      </c>
      <c r="M287" s="536"/>
      <c r="N287" s="539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248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249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250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251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252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253</v>
      </c>
      <c r="D294" s="536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246</v>
      </c>
      <c r="M296" s="536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177</v>
      </c>
      <c r="M297" s="536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247</v>
      </c>
      <c r="M298" s="536"/>
      <c r="N298" s="539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248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249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250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251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252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253</v>
      </c>
      <c r="D305" s="536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246</v>
      </c>
      <c r="M307" s="536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177</v>
      </c>
      <c r="M308" s="536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247</v>
      </c>
      <c r="M309" s="536"/>
      <c r="N309" s="539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248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249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250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251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252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253</v>
      </c>
      <c r="D316" s="536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246</v>
      </c>
      <c r="M318" s="536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177</v>
      </c>
      <c r="M319" s="536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247</v>
      </c>
      <c r="M320" s="536"/>
      <c r="N320" s="539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248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249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250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251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252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253</v>
      </c>
      <c r="D327" s="536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246</v>
      </c>
      <c r="M329" s="536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177</v>
      </c>
      <c r="M330" s="536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247</v>
      </c>
      <c r="M331" s="536"/>
      <c r="N331" s="539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248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249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250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251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252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253</v>
      </c>
      <c r="D338" s="536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246</v>
      </c>
      <c r="M340" s="536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177</v>
      </c>
      <c r="M341" s="536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247</v>
      </c>
      <c r="M342" s="536"/>
      <c r="N342" s="539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248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249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250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251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252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253</v>
      </c>
      <c r="D349" s="536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246</v>
      </c>
      <c r="M351" s="536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177</v>
      </c>
      <c r="M352" s="536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247</v>
      </c>
      <c r="M353" s="536"/>
      <c r="N353" s="539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248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249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250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251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252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253</v>
      </c>
      <c r="D360" s="536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246</v>
      </c>
      <c r="M362" s="536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177</v>
      </c>
      <c r="M363" s="536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247</v>
      </c>
      <c r="M364" s="536"/>
      <c r="N364" s="539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248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249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250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251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252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253</v>
      </c>
      <c r="D371" s="536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246</v>
      </c>
      <c r="M373" s="536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177</v>
      </c>
      <c r="M374" s="536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247</v>
      </c>
      <c r="M375" s="536"/>
      <c r="N375" s="539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248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249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250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251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252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253</v>
      </c>
      <c r="D382" s="536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246</v>
      </c>
      <c r="M384" s="536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177</v>
      </c>
      <c r="M385" s="536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247</v>
      </c>
      <c r="M386" s="536"/>
      <c r="N386" s="539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248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249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250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251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252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253</v>
      </c>
      <c r="D393" s="536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246</v>
      </c>
      <c r="M395" s="536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177</v>
      </c>
      <c r="M396" s="536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247</v>
      </c>
      <c r="M397" s="536"/>
      <c r="N397" s="539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248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249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250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251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252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253</v>
      </c>
      <c r="D404" s="536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246</v>
      </c>
      <c r="M406" s="536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177</v>
      </c>
      <c r="M407" s="536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247</v>
      </c>
      <c r="M408" s="536"/>
      <c r="N408" s="539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248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249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250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251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252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253</v>
      </c>
      <c r="D415" s="536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246</v>
      </c>
      <c r="M417" s="536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177</v>
      </c>
      <c r="M418" s="536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247</v>
      </c>
      <c r="M419" s="536"/>
      <c r="N419" s="539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248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249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250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251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252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253</v>
      </c>
      <c r="D426" s="536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246</v>
      </c>
      <c r="M428" s="536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177</v>
      </c>
      <c r="M429" s="536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247</v>
      </c>
      <c r="M430" s="536"/>
      <c r="N430" s="539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248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249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250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251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252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253</v>
      </c>
      <c r="D437" s="536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246</v>
      </c>
      <c r="M439" s="536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177</v>
      </c>
      <c r="M440" s="536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247</v>
      </c>
      <c r="M441" s="536"/>
      <c r="N441" s="539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248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249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250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251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252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253</v>
      </c>
      <c r="D448" s="536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246</v>
      </c>
      <c r="M450" s="536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177</v>
      </c>
      <c r="M451" s="536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247</v>
      </c>
      <c r="M452" s="536"/>
      <c r="N452" s="539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248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249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250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251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252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253</v>
      </c>
      <c r="D459" s="536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246</v>
      </c>
      <c r="M461" s="536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177</v>
      </c>
      <c r="M462" s="536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247</v>
      </c>
      <c r="M463" s="536"/>
      <c r="N463" s="539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248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249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250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251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252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253</v>
      </c>
      <c r="D470" s="536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246</v>
      </c>
      <c r="M472" s="536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177</v>
      </c>
      <c r="M473" s="536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247</v>
      </c>
      <c r="M474" s="536"/>
      <c r="N474" s="539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248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249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250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251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252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253</v>
      </c>
      <c r="D481" s="536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246</v>
      </c>
      <c r="M483" s="536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177</v>
      </c>
      <c r="M484" s="536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247</v>
      </c>
      <c r="M485" s="536"/>
      <c r="N485" s="539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248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249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250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251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252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253</v>
      </c>
      <c r="D492" s="536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246</v>
      </c>
      <c r="M494" s="536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177</v>
      </c>
      <c r="M495" s="536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247</v>
      </c>
      <c r="M496" s="536"/>
      <c r="N496" s="539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248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249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250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251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252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253</v>
      </c>
      <c r="D503" s="536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246</v>
      </c>
      <c r="M505" s="536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177</v>
      </c>
      <c r="M506" s="536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247</v>
      </c>
      <c r="M507" s="536"/>
      <c r="N507" s="539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248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249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250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251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252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253</v>
      </c>
      <c r="D514" s="536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246</v>
      </c>
      <c r="M516" s="536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177</v>
      </c>
      <c r="M517" s="536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247</v>
      </c>
      <c r="M518" s="536"/>
      <c r="N518" s="539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248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249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250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251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252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253</v>
      </c>
      <c r="D525" s="536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246</v>
      </c>
      <c r="M527" s="536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177</v>
      </c>
      <c r="M528" s="536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247</v>
      </c>
      <c r="M529" s="536"/>
      <c r="N529" s="539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248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249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250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251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252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253</v>
      </c>
      <c r="D536" s="536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246</v>
      </c>
      <c r="M538" s="536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177</v>
      </c>
      <c r="M539" s="536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247</v>
      </c>
      <c r="M540" s="536"/>
      <c r="N540" s="539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248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249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250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251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252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253</v>
      </c>
      <c r="D547" s="536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246</v>
      </c>
      <c r="M549" s="536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177</v>
      </c>
      <c r="M550" s="536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247</v>
      </c>
      <c r="M551" s="536"/>
      <c r="N551" s="539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248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249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250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251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252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253</v>
      </c>
      <c r="D558" s="536"/>
      <c r="E558" s="289">
        <f>'BD Team'!B59</f>
        <v>0</v>
      </c>
      <c r="F558" s="288" t="s">
        <v>254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7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246</v>
      </c>
      <c r="M560" s="536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177</v>
      </c>
      <c r="M561" s="536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247</v>
      </c>
      <c r="M562" s="536"/>
      <c r="N562" s="539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248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249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250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251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252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253</v>
      </c>
      <c r="D569" s="536"/>
      <c r="E569" s="289">
        <f>'BD Team'!B60</f>
        <v>0</v>
      </c>
      <c r="F569" s="288" t="s">
        <v>254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7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246</v>
      </c>
      <c r="M571" s="536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177</v>
      </c>
      <c r="M572" s="536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247</v>
      </c>
      <c r="M573" s="536"/>
      <c r="N573" s="539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248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249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250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251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252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253</v>
      </c>
      <c r="D580" s="536"/>
      <c r="E580" s="289">
        <f>'BD Team'!B61</f>
        <v>0</v>
      </c>
      <c r="F580" s="288" t="s">
        <v>254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7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246</v>
      </c>
      <c r="M582" s="536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177</v>
      </c>
      <c r="M583" s="536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247</v>
      </c>
      <c r="M584" s="536"/>
      <c r="N584" s="539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248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249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250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251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252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253</v>
      </c>
      <c r="D591" s="536"/>
      <c r="E591" s="289">
        <f>'BD Team'!B62</f>
        <v>0</v>
      </c>
      <c r="F591" s="288" t="s">
        <v>254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7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246</v>
      </c>
      <c r="M593" s="536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177</v>
      </c>
      <c r="M594" s="536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247</v>
      </c>
      <c r="M595" s="536"/>
      <c r="N595" s="539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248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249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250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251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252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253</v>
      </c>
      <c r="D602" s="536"/>
      <c r="E602" s="289">
        <f>'BD Team'!B63</f>
        <v>0</v>
      </c>
      <c r="F602" s="288" t="s">
        <v>254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7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246</v>
      </c>
      <c r="M604" s="536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177</v>
      </c>
      <c r="M605" s="536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247</v>
      </c>
      <c r="M606" s="536"/>
      <c r="N606" s="539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248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249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250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251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252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253</v>
      </c>
      <c r="D613" s="536"/>
      <c r="E613" s="289">
        <f>'BD Team'!B64</f>
        <v>0</v>
      </c>
      <c r="F613" s="288" t="s">
        <v>254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7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246</v>
      </c>
      <c r="M615" s="536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177</v>
      </c>
      <c r="M616" s="536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247</v>
      </c>
      <c r="M617" s="536"/>
      <c r="N617" s="539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248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249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250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251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252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253</v>
      </c>
      <c r="D624" s="536"/>
      <c r="E624" s="289">
        <f>'BD Team'!B65</f>
        <v>0</v>
      </c>
      <c r="F624" s="288" t="s">
        <v>254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7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246</v>
      </c>
      <c r="M626" s="536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177</v>
      </c>
      <c r="M627" s="536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247</v>
      </c>
      <c r="M628" s="536"/>
      <c r="N628" s="539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248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249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250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251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252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253</v>
      </c>
      <c r="D635" s="536"/>
      <c r="E635" s="289">
        <f>'BD Team'!B66</f>
        <v>0</v>
      </c>
      <c r="F635" s="288" t="s">
        <v>254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7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246</v>
      </c>
      <c r="M637" s="536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177</v>
      </c>
      <c r="M638" s="536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247</v>
      </c>
      <c r="M639" s="536"/>
      <c r="N639" s="539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248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249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250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251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252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253</v>
      </c>
      <c r="D646" s="536"/>
      <c r="E646" s="289">
        <f>'BD Team'!B67</f>
        <v>0</v>
      </c>
      <c r="F646" s="288" t="s">
        <v>254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7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246</v>
      </c>
      <c r="M648" s="536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177</v>
      </c>
      <c r="M649" s="536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247</v>
      </c>
      <c r="M650" s="536"/>
      <c r="N650" s="539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248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249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250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251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252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253</v>
      </c>
      <c r="D657" s="536"/>
      <c r="E657" s="289">
        <f>'BD Team'!B68</f>
        <v>0</v>
      </c>
      <c r="F657" s="288" t="s">
        <v>254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7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246</v>
      </c>
      <c r="M659" s="536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177</v>
      </c>
      <c r="M660" s="536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247</v>
      </c>
      <c r="M661" s="536"/>
      <c r="N661" s="539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248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249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250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251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252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253</v>
      </c>
      <c r="D668" s="536"/>
      <c r="E668" s="289">
        <f>'BD Team'!B69</f>
        <v>0</v>
      </c>
      <c r="F668" s="288" t="s">
        <v>254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7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246</v>
      </c>
      <c r="M670" s="536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177</v>
      </c>
      <c r="M671" s="536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247</v>
      </c>
      <c r="M672" s="536"/>
      <c r="N672" s="539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248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249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250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251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252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253</v>
      </c>
      <c r="D679" s="536"/>
      <c r="E679" s="289">
        <f>'BD Team'!B70</f>
        <v>0</v>
      </c>
      <c r="F679" s="288" t="s">
        <v>254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7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246</v>
      </c>
      <c r="M681" s="536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177</v>
      </c>
      <c r="M682" s="536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247</v>
      </c>
      <c r="M683" s="536"/>
      <c r="N683" s="539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248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249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250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251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252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253</v>
      </c>
      <c r="D690" s="536"/>
      <c r="E690" s="289">
        <f>'BD Team'!B71</f>
        <v>0</v>
      </c>
      <c r="F690" s="288" t="s">
        <v>254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7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246</v>
      </c>
      <c r="M692" s="536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177</v>
      </c>
      <c r="M693" s="536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247</v>
      </c>
      <c r="M694" s="536"/>
      <c r="N694" s="539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248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249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250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251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252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253</v>
      </c>
      <c r="D701" s="536"/>
      <c r="E701" s="289">
        <f>'BD Team'!B72</f>
        <v>0</v>
      </c>
      <c r="F701" s="288" t="s">
        <v>254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7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246</v>
      </c>
      <c r="M703" s="536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177</v>
      </c>
      <c r="M704" s="536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247</v>
      </c>
      <c r="M705" s="536"/>
      <c r="N705" s="539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248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249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250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251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252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253</v>
      </c>
      <c r="D712" s="536"/>
      <c r="E712" s="289">
        <f>'BD Team'!B73</f>
        <v>0</v>
      </c>
      <c r="F712" s="288" t="s">
        <v>254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7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246</v>
      </c>
      <c r="M714" s="536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177</v>
      </c>
      <c r="M715" s="536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247</v>
      </c>
      <c r="M716" s="536"/>
      <c r="N716" s="539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248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249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250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251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252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253</v>
      </c>
      <c r="D723" s="536"/>
      <c r="E723" s="289">
        <f>'BD Team'!B74</f>
        <v>0</v>
      </c>
      <c r="F723" s="288" t="s">
        <v>254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7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246</v>
      </c>
      <c r="M725" s="536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177</v>
      </c>
      <c r="M726" s="536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247</v>
      </c>
      <c r="M727" s="536"/>
      <c r="N727" s="539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248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249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250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251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252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253</v>
      </c>
      <c r="D734" s="536"/>
      <c r="E734" s="289">
        <f>'BD Team'!B75</f>
        <v>0</v>
      </c>
      <c r="F734" s="288" t="s">
        <v>254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7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246</v>
      </c>
      <c r="M736" s="536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177</v>
      </c>
      <c r="M737" s="536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247</v>
      </c>
      <c r="M738" s="536"/>
      <c r="N738" s="539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248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249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250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251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252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253</v>
      </c>
      <c r="D745" s="536"/>
      <c r="E745" s="289">
        <f>'BD Team'!B76</f>
        <v>0</v>
      </c>
      <c r="F745" s="288" t="s">
        <v>254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7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246</v>
      </c>
      <c r="M747" s="536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177</v>
      </c>
      <c r="M748" s="536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247</v>
      </c>
      <c r="M749" s="536"/>
      <c r="N749" s="539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248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249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250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251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252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253</v>
      </c>
      <c r="D756" s="536"/>
      <c r="E756" s="289">
        <f>'BD Team'!B77</f>
        <v>0</v>
      </c>
      <c r="F756" s="288" t="s">
        <v>254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7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246</v>
      </c>
      <c r="M758" s="536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177</v>
      </c>
      <c r="M759" s="536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247</v>
      </c>
      <c r="M760" s="536"/>
      <c r="N760" s="539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248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249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250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251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252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253</v>
      </c>
      <c r="D767" s="536"/>
      <c r="E767" s="289">
        <f>'BD Team'!B78</f>
        <v>0</v>
      </c>
      <c r="F767" s="288" t="s">
        <v>254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7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246</v>
      </c>
      <c r="M769" s="536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177</v>
      </c>
      <c r="M770" s="536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247</v>
      </c>
      <c r="M771" s="536"/>
      <c r="N771" s="539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248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249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250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251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252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253</v>
      </c>
      <c r="D778" s="536"/>
      <c r="E778" s="289">
        <f>'BD Team'!B79</f>
        <v>0</v>
      </c>
      <c r="F778" s="288" t="s">
        <v>254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7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246</v>
      </c>
      <c r="M780" s="536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177</v>
      </c>
      <c r="M781" s="536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247</v>
      </c>
      <c r="M782" s="536"/>
      <c r="N782" s="539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248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249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250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251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252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253</v>
      </c>
      <c r="D789" s="536"/>
      <c r="E789" s="289">
        <f>'BD Team'!B80</f>
        <v>0</v>
      </c>
      <c r="F789" s="288" t="s">
        <v>254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7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246</v>
      </c>
      <c r="M791" s="536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177</v>
      </c>
      <c r="M792" s="536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247</v>
      </c>
      <c r="M793" s="536"/>
      <c r="N793" s="539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248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249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250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251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252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253</v>
      </c>
      <c r="D800" s="536"/>
      <c r="E800" s="289">
        <f>'BD Team'!B81</f>
        <v>0</v>
      </c>
      <c r="F800" s="288" t="s">
        <v>254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7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246</v>
      </c>
      <c r="M802" s="536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177</v>
      </c>
      <c r="M803" s="536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247</v>
      </c>
      <c r="M804" s="536"/>
      <c r="N804" s="539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248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249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250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251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252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253</v>
      </c>
      <c r="D811" s="536"/>
      <c r="E811" s="289">
        <f>'BD Team'!B82</f>
        <v>0</v>
      </c>
      <c r="F811" s="288" t="s">
        <v>254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7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246</v>
      </c>
      <c r="M813" s="536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177</v>
      </c>
      <c r="M814" s="536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247</v>
      </c>
      <c r="M815" s="536"/>
      <c r="N815" s="539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248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249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250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251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252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253</v>
      </c>
      <c r="D822" s="536"/>
      <c r="E822" s="289">
        <f>'BD Team'!B83</f>
        <v>0</v>
      </c>
      <c r="F822" s="288" t="s">
        <v>254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7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246</v>
      </c>
      <c r="M824" s="536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177</v>
      </c>
      <c r="M825" s="536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247</v>
      </c>
      <c r="M826" s="536"/>
      <c r="N826" s="539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248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249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250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251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252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253</v>
      </c>
      <c r="D833" s="536"/>
      <c r="E833" s="289">
        <f>'BD Team'!B84</f>
        <v>0</v>
      </c>
      <c r="F833" s="288" t="s">
        <v>254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7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246</v>
      </c>
      <c r="M835" s="536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177</v>
      </c>
      <c r="M836" s="536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247</v>
      </c>
      <c r="M837" s="536"/>
      <c r="N837" s="539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248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249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250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251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252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253</v>
      </c>
      <c r="D844" s="536"/>
      <c r="E844" s="289">
        <f>'BD Team'!B85</f>
        <v>0</v>
      </c>
      <c r="F844" s="288" t="s">
        <v>254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7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246</v>
      </c>
      <c r="M846" s="536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177</v>
      </c>
      <c r="M847" s="536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247</v>
      </c>
      <c r="M848" s="536"/>
      <c r="N848" s="539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248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249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250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251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252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253</v>
      </c>
      <c r="D855" s="536"/>
      <c r="E855" s="289">
        <f>'BD Team'!B86</f>
        <v>0</v>
      </c>
      <c r="F855" s="288" t="s">
        <v>254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7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246</v>
      </c>
      <c r="M857" s="536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177</v>
      </c>
      <c r="M858" s="536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247</v>
      </c>
      <c r="M859" s="536"/>
      <c r="N859" s="539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248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249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250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251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252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253</v>
      </c>
      <c r="D866" s="536"/>
      <c r="E866" s="289">
        <f>'BD Team'!B87</f>
        <v>0</v>
      </c>
      <c r="F866" s="288" t="s">
        <v>254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7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246</v>
      </c>
      <c r="M868" s="536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177</v>
      </c>
      <c r="M869" s="536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247</v>
      </c>
      <c r="M870" s="536"/>
      <c r="N870" s="539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248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249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250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251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252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253</v>
      </c>
      <c r="D877" s="536"/>
      <c r="E877" s="289">
        <f>'BD Team'!B88</f>
        <v>0</v>
      </c>
      <c r="F877" s="288" t="s">
        <v>254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7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246</v>
      </c>
      <c r="M879" s="536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177</v>
      </c>
      <c r="M880" s="536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247</v>
      </c>
      <c r="M881" s="536"/>
      <c r="N881" s="539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248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249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250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251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252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253</v>
      </c>
      <c r="D888" s="536"/>
      <c r="E888" s="289">
        <f>'BD Team'!B89</f>
        <v>0</v>
      </c>
      <c r="F888" s="288" t="s">
        <v>254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7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246</v>
      </c>
      <c r="M890" s="536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177</v>
      </c>
      <c r="M891" s="536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247</v>
      </c>
      <c r="M892" s="536"/>
      <c r="N892" s="539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248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249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250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251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252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253</v>
      </c>
      <c r="D899" s="536"/>
      <c r="E899" s="289">
        <f>'BD Team'!B90</f>
        <v>0</v>
      </c>
      <c r="F899" s="288" t="s">
        <v>254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7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246</v>
      </c>
      <c r="M901" s="536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177</v>
      </c>
      <c r="M902" s="536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247</v>
      </c>
      <c r="M903" s="536"/>
      <c r="N903" s="539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248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249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250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251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252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253</v>
      </c>
      <c r="D910" s="536"/>
      <c r="E910" s="289">
        <f>'BD Team'!B91</f>
        <v>0</v>
      </c>
      <c r="F910" s="288" t="s">
        <v>254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7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246</v>
      </c>
      <c r="M912" s="536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177</v>
      </c>
      <c r="M913" s="536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247</v>
      </c>
      <c r="M914" s="536"/>
      <c r="N914" s="539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248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249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250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251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252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253</v>
      </c>
      <c r="D921" s="536"/>
      <c r="E921" s="289">
        <f>'BD Team'!B92</f>
        <v>0</v>
      </c>
      <c r="F921" s="288" t="s">
        <v>254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7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246</v>
      </c>
      <c r="M923" s="536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177</v>
      </c>
      <c r="M924" s="536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247</v>
      </c>
      <c r="M925" s="536"/>
      <c r="N925" s="539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248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249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250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251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252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253</v>
      </c>
      <c r="D932" s="536"/>
      <c r="E932" s="289">
        <f>'BD Team'!B93</f>
        <v>0</v>
      </c>
      <c r="F932" s="288" t="s">
        <v>254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7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246</v>
      </c>
      <c r="M934" s="536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177</v>
      </c>
      <c r="M935" s="536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247</v>
      </c>
      <c r="M936" s="536"/>
      <c r="N936" s="539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248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249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250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251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252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253</v>
      </c>
      <c r="D943" s="536"/>
      <c r="E943" s="289">
        <f>'BD Team'!B94</f>
        <v>0</v>
      </c>
      <c r="F943" s="288" t="s">
        <v>254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7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246</v>
      </c>
      <c r="M945" s="536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177</v>
      </c>
      <c r="M946" s="536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247</v>
      </c>
      <c r="M947" s="536"/>
      <c r="N947" s="539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248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249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250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251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252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253</v>
      </c>
      <c r="D954" s="536"/>
      <c r="E954" s="289">
        <f>'BD Team'!B95</f>
        <v>0</v>
      </c>
      <c r="F954" s="288" t="s">
        <v>254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7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246</v>
      </c>
      <c r="M956" s="536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177</v>
      </c>
      <c r="M957" s="536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247</v>
      </c>
      <c r="M958" s="536"/>
      <c r="N958" s="539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248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249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250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251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252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253</v>
      </c>
      <c r="D965" s="536"/>
      <c r="E965" s="289">
        <f>'BD Team'!B96</f>
        <v>0</v>
      </c>
      <c r="F965" s="288" t="s">
        <v>254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7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246</v>
      </c>
      <c r="M967" s="536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177</v>
      </c>
      <c r="M968" s="536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247</v>
      </c>
      <c r="M969" s="536"/>
      <c r="N969" s="539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248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249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250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251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252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253</v>
      </c>
      <c r="D976" s="536"/>
      <c r="E976" s="289">
        <f>'BD Team'!B97</f>
        <v>0</v>
      </c>
      <c r="F976" s="288" t="s">
        <v>254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7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246</v>
      </c>
      <c r="M978" s="536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177</v>
      </c>
      <c r="M979" s="536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247</v>
      </c>
      <c r="M980" s="536"/>
      <c r="N980" s="539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248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249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250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251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252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253</v>
      </c>
      <c r="D987" s="536"/>
      <c r="E987" s="289">
        <f>'BD Team'!B98</f>
        <v>0</v>
      </c>
      <c r="F987" s="288" t="s">
        <v>254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7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246</v>
      </c>
      <c r="M989" s="536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177</v>
      </c>
      <c r="M990" s="536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247</v>
      </c>
      <c r="M991" s="536"/>
      <c r="N991" s="539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248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249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250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251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252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253</v>
      </c>
      <c r="D998" s="536"/>
      <c r="E998" s="289">
        <f>'BD Team'!B99</f>
        <v>0</v>
      </c>
      <c r="F998" s="288" t="s">
        <v>254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7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246</v>
      </c>
      <c r="M1000" s="536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177</v>
      </c>
      <c r="M1001" s="536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247</v>
      </c>
      <c r="M1002" s="536"/>
      <c r="N1002" s="539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248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249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250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251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252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253</v>
      </c>
      <c r="D1009" s="536"/>
      <c r="E1009" s="289">
        <f>'BD Team'!B100</f>
        <v>0</v>
      </c>
      <c r="F1009" s="288" t="s">
        <v>254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7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246</v>
      </c>
      <c r="M1011" s="536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177</v>
      </c>
      <c r="M1012" s="536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247</v>
      </c>
      <c r="M1013" s="536"/>
      <c r="N1013" s="539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248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249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250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251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252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253</v>
      </c>
      <c r="D1020" s="536"/>
      <c r="E1020" s="289">
        <f>'BD Team'!B101</f>
        <v>0</v>
      </c>
      <c r="F1020" s="288" t="s">
        <v>254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7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246</v>
      </c>
      <c r="M1022" s="536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177</v>
      </c>
      <c r="M1023" s="536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247</v>
      </c>
      <c r="M1024" s="536"/>
      <c r="N1024" s="539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248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249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250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251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252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253</v>
      </c>
      <c r="D1031" s="536"/>
      <c r="E1031" s="289">
        <f>'BD Team'!B102</f>
        <v>0</v>
      </c>
      <c r="F1031" s="288" t="s">
        <v>254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7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246</v>
      </c>
      <c r="M1033" s="536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177</v>
      </c>
      <c r="M1034" s="536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247</v>
      </c>
      <c r="M1035" s="536"/>
      <c r="N1035" s="539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248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249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250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251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252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253</v>
      </c>
      <c r="D1042" s="536"/>
      <c r="E1042" s="289">
        <f>'BD Team'!B103</f>
        <v>0</v>
      </c>
      <c r="F1042" s="288" t="s">
        <v>254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7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246</v>
      </c>
      <c r="M1044" s="536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177</v>
      </c>
      <c r="M1045" s="536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247</v>
      </c>
      <c r="M1046" s="536"/>
      <c r="N1046" s="539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248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249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250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251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252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253</v>
      </c>
      <c r="D1053" s="536"/>
      <c r="E1053" s="289">
        <f>'BD Team'!B104</f>
        <v>0</v>
      </c>
      <c r="F1053" s="288" t="s">
        <v>254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7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246</v>
      </c>
      <c r="M1055" s="536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177</v>
      </c>
      <c r="M1056" s="536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247</v>
      </c>
      <c r="M1057" s="536"/>
      <c r="N1057" s="539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248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249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250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251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252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253</v>
      </c>
      <c r="D1064" s="536"/>
      <c r="E1064" s="289">
        <f>'BD Team'!B105</f>
        <v>0</v>
      </c>
      <c r="F1064" s="288" t="s">
        <v>254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7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246</v>
      </c>
      <c r="M1066" s="536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177</v>
      </c>
      <c r="M1067" s="536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247</v>
      </c>
      <c r="M1068" s="536"/>
      <c r="N1068" s="539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248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249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250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251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252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253</v>
      </c>
      <c r="D1075" s="536"/>
      <c r="E1075" s="289">
        <f>'BD Team'!B106</f>
        <v>0</v>
      </c>
      <c r="F1075" s="288" t="s">
        <v>254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7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246</v>
      </c>
      <c r="M1077" s="536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177</v>
      </c>
      <c r="M1078" s="536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247</v>
      </c>
      <c r="M1079" s="536"/>
      <c r="N1079" s="539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248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249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250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251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252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253</v>
      </c>
      <c r="D1086" s="536"/>
      <c r="E1086" s="289">
        <f>'BD Team'!B107</f>
        <v>0</v>
      </c>
      <c r="F1086" s="288" t="s">
        <v>254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7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246</v>
      </c>
      <c r="M1088" s="536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177</v>
      </c>
      <c r="M1089" s="536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247</v>
      </c>
      <c r="M1090" s="536"/>
      <c r="N1090" s="539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248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249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250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251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252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253</v>
      </c>
      <c r="D1097" s="536"/>
      <c r="E1097" s="289">
        <f>'BD Team'!B108</f>
        <v>0</v>
      </c>
      <c r="F1097" s="288" t="s">
        <v>254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7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246</v>
      </c>
      <c r="M1099" s="536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177</v>
      </c>
      <c r="M1100" s="536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247</v>
      </c>
      <c r="M1101" s="536"/>
      <c r="N1101" s="539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248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249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250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251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252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262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453</v>
      </c>
    </row>
    <row r="5" spans="3:5">
      <c r="C5" s="236" t="s">
        <v>396</v>
      </c>
      <c r="D5" s="236" t="s">
        <v>394</v>
      </c>
      <c r="E5" s="309">
        <f>ROUND(Pricing!U104,0.1)/40</f>
        <v>13.6</v>
      </c>
    </row>
    <row r="6" spans="3:5">
      <c r="C6" s="236" t="s">
        <v>83</v>
      </c>
      <c r="D6" s="236" t="s">
        <v>393</v>
      </c>
      <c r="E6" s="309">
        <f>ROUND(Pricing!V104,0.1)</f>
        <v>28</v>
      </c>
    </row>
    <row r="7" spans="3:5">
      <c r="C7" s="236" t="s">
        <v>400</v>
      </c>
      <c r="D7" s="236" t="s">
        <v>392</v>
      </c>
      <c r="E7" s="309">
        <f>ROUND(Pricing!W104,0.1)</f>
        <v>453</v>
      </c>
    </row>
    <row r="8" spans="3:5">
      <c r="C8" s="236" t="s">
        <v>397</v>
      </c>
      <c r="D8" s="236" t="s">
        <v>392</v>
      </c>
      <c r="E8" s="309">
        <f>ROUND(Pricing!X104,0.1)</f>
        <v>907</v>
      </c>
    </row>
    <row r="9" spans="3:5">
      <c r="C9" t="s">
        <v>222</v>
      </c>
      <c r="D9" s="236" t="s">
        <v>395</v>
      </c>
      <c r="E9" s="309">
        <f>ROUND(Pricing!Y104,0.1)</f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opLeftCell="A10" workbookViewId="0">
      <selection activeCell="A26" sqref="A2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24MM</v>
      </c>
      <c r="E2" s="318" t="str">
        <f>'BD Team'!G9</f>
        <v>GF - KITCHEN</v>
      </c>
      <c r="F2" s="318" t="str">
        <f>'BD Team'!F9</f>
        <v>SS</v>
      </c>
      <c r="I2" s="318">
        <f>'BD Team'!H9</f>
        <v>1524</v>
      </c>
      <c r="J2" s="318">
        <f>'BD Team'!I9</f>
        <v>672</v>
      </c>
      <c r="K2" s="318">
        <f>'BD Team'!J9</f>
        <v>1</v>
      </c>
      <c r="L2" s="319">
        <f>'BD Team'!K9</f>
        <v>212.1</v>
      </c>
      <c r="M2" s="318">
        <f>Pricing!O4</f>
        <v>2938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WINDOW</v>
      </c>
      <c r="D3" s="318" t="str">
        <f>'BD Team'!E10</f>
        <v>24MM</v>
      </c>
      <c r="E3" s="318" t="str">
        <f>'BD Team'!G10</f>
        <v>GF - KITCHEN</v>
      </c>
      <c r="F3" s="318" t="str">
        <f>'BD Team'!F10</f>
        <v>SS</v>
      </c>
      <c r="I3" s="318">
        <f>'BD Team'!H10</f>
        <v>1210</v>
      </c>
      <c r="J3" s="318">
        <f>'BD Team'!I10</f>
        <v>1056</v>
      </c>
      <c r="K3" s="318">
        <f>'BD Team'!J10</f>
        <v>1</v>
      </c>
      <c r="L3" s="319">
        <f>'BD Team'!K10</f>
        <v>223.59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FRENCH CASEMENT DOOR</v>
      </c>
      <c r="D4" s="318" t="str">
        <f>'BD Team'!E11</f>
        <v>24MM</v>
      </c>
      <c r="E4" s="318" t="str">
        <f>'BD Team'!G11</f>
        <v>GF - SW - BEDROOM</v>
      </c>
      <c r="F4" s="318" t="str">
        <f>'BD Team'!F11</f>
        <v>NO</v>
      </c>
      <c r="I4" s="318">
        <f>'BD Team'!H11</f>
        <v>949</v>
      </c>
      <c r="J4" s="318">
        <f>'BD Team'!I11</f>
        <v>1805</v>
      </c>
      <c r="K4" s="318">
        <f>'BD Team'!J11</f>
        <v>1</v>
      </c>
      <c r="L4" s="319">
        <f>'BD Team'!K11</f>
        <v>325.94</v>
      </c>
      <c r="M4" s="318">
        <f>Pricing!O6</f>
        <v>2938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 &amp; W5</v>
      </c>
      <c r="B5" s="318" t="str">
        <f>'BD Team'!C12</f>
        <v>-</v>
      </c>
      <c r="C5" s="318" t="str">
        <f>'BD Team'!D12</f>
        <v>GLASS LOUVERS</v>
      </c>
      <c r="D5" s="318" t="str">
        <f>'BD Team'!E12</f>
        <v>6MM (F)</v>
      </c>
      <c r="E5" s="318" t="str">
        <f>'BD Team'!G12</f>
        <v>GF - SW - BEDROOM TOILET</v>
      </c>
      <c r="F5" s="318" t="str">
        <f>'BD Team'!F12</f>
        <v>NO</v>
      </c>
      <c r="I5" s="318">
        <f>'BD Team'!H12</f>
        <v>909</v>
      </c>
      <c r="J5" s="318">
        <f>'BD Team'!I12</f>
        <v>601</v>
      </c>
      <c r="K5" s="318">
        <f>'BD Team'!J12</f>
        <v>2</v>
      </c>
      <c r="L5" s="319">
        <f>'BD Team'!K12</f>
        <v>13.83</v>
      </c>
      <c r="M5" s="318">
        <f>Pricing!O7</f>
        <v>2003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W6</v>
      </c>
      <c r="B6" s="318" t="str">
        <f>'BD Team'!C13</f>
        <v>M14600</v>
      </c>
      <c r="C6" s="318" t="str">
        <f>'BD Team'!D13</f>
        <v>3 TRACK 2 SHUTTER SLIDING WINDOW</v>
      </c>
      <c r="D6" s="318" t="str">
        <f>'BD Team'!E13</f>
        <v>24MM</v>
      </c>
      <c r="E6" s="318" t="str">
        <f>'BD Team'!G13</f>
        <v>GF - NW BEDROOM</v>
      </c>
      <c r="F6" s="318" t="str">
        <f>'BD Team'!F13</f>
        <v>SS</v>
      </c>
      <c r="I6" s="318">
        <f>'BD Team'!H13</f>
        <v>1228</v>
      </c>
      <c r="J6" s="318">
        <f>'BD Team'!I13</f>
        <v>1739</v>
      </c>
      <c r="K6" s="318">
        <f>'BD Team'!J13</f>
        <v>1</v>
      </c>
      <c r="L6" s="319">
        <f>'BD Team'!K13</f>
        <v>289.77999999999997</v>
      </c>
      <c r="M6" s="318">
        <f>Pricing!O8</f>
        <v>2938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W7</v>
      </c>
      <c r="B7" s="318" t="str">
        <f>'BD Team'!C14</f>
        <v>M14600</v>
      </c>
      <c r="C7" s="318" t="str">
        <f>'BD Team'!D14</f>
        <v>3 TRACK 2 SHUTTER SLIDING WINDOW</v>
      </c>
      <c r="D7" s="318" t="str">
        <f>'BD Team'!E14</f>
        <v>24MM</v>
      </c>
      <c r="E7" s="318" t="str">
        <f>'BD Team'!G14</f>
        <v>GF - DINING</v>
      </c>
      <c r="F7" s="318" t="str">
        <f>'BD Team'!F14</f>
        <v>SS</v>
      </c>
      <c r="I7" s="318">
        <f>'BD Team'!H14</f>
        <v>3064</v>
      </c>
      <c r="J7" s="318">
        <f>'BD Team'!I14</f>
        <v>1955</v>
      </c>
      <c r="K7" s="318">
        <f>'BD Team'!J14</f>
        <v>1</v>
      </c>
      <c r="L7" s="319">
        <f>'BD Team'!K14</f>
        <v>431.93</v>
      </c>
      <c r="M7" s="318">
        <f>Pricing!O9</f>
        <v>2938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W8</v>
      </c>
      <c r="B8" s="318" t="str">
        <f>'BD Team'!C15</f>
        <v>M15000</v>
      </c>
      <c r="C8" s="318" t="str">
        <f>'BD Team'!D15</f>
        <v>FRENCH CASEMENT DOOR</v>
      </c>
      <c r="D8" s="318" t="str">
        <f>'BD Team'!E15</f>
        <v>24MM</v>
      </c>
      <c r="E8" s="318" t="str">
        <f>'BD Team'!G15</f>
        <v>GF - POOJA</v>
      </c>
      <c r="F8" s="318" t="str">
        <f>'BD Team'!F15</f>
        <v>NO</v>
      </c>
      <c r="I8" s="318">
        <f>'BD Team'!H15</f>
        <v>894</v>
      </c>
      <c r="J8" s="318">
        <f>'BD Team'!I15</f>
        <v>1748</v>
      </c>
      <c r="K8" s="318">
        <f>'BD Team'!J15</f>
        <v>1</v>
      </c>
      <c r="L8" s="319">
        <f>'BD Team'!K15</f>
        <v>318.22000000000003</v>
      </c>
      <c r="M8" s="318">
        <f>Pricing!O10</f>
        <v>2938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W9</v>
      </c>
      <c r="B9" s="318" t="str">
        <f>'BD Team'!C16</f>
        <v>M15000</v>
      </c>
      <c r="C9" s="318" t="str">
        <f>'BD Team'!D16</f>
        <v>FIXED GLASS</v>
      </c>
      <c r="D9" s="318" t="str">
        <f>'BD Team'!E16</f>
        <v>24MM</v>
      </c>
      <c r="E9" s="318" t="str">
        <f>'BD Team'!G16</f>
        <v>GF - STAIRCASE</v>
      </c>
      <c r="F9" s="318" t="str">
        <f>'BD Team'!F16</f>
        <v>NO</v>
      </c>
      <c r="I9" s="318">
        <f>'BD Team'!H16</f>
        <v>1020</v>
      </c>
      <c r="J9" s="318">
        <f>'BD Team'!I16</f>
        <v>1151</v>
      </c>
      <c r="K9" s="318">
        <f>'BD Team'!J16</f>
        <v>1</v>
      </c>
      <c r="L9" s="319">
        <f>'BD Team'!K16</f>
        <v>50.92</v>
      </c>
      <c r="M9" s="318">
        <f>Pricing!O11</f>
        <v>2938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W10</v>
      </c>
      <c r="B10" s="318" t="str">
        <f>'BD Team'!C17</f>
        <v>M14600</v>
      </c>
      <c r="C10" s="318" t="str">
        <f>'BD Team'!D17</f>
        <v>3 TRACK 2 SHUTTER SLIDING WINDOW</v>
      </c>
      <c r="D10" s="318" t="str">
        <f>'BD Team'!E17</f>
        <v>24MM</v>
      </c>
      <c r="E10" s="318" t="str">
        <f>'BD Team'!G17</f>
        <v>1F - SW - BEDROOM</v>
      </c>
      <c r="F10" s="318" t="str">
        <f>'BD Team'!F17</f>
        <v>SS</v>
      </c>
      <c r="I10" s="318">
        <f>'BD Team'!H17</f>
        <v>2146</v>
      </c>
      <c r="J10" s="318">
        <f>'BD Team'!I17</f>
        <v>1716</v>
      </c>
      <c r="K10" s="318">
        <f>'BD Team'!J17</f>
        <v>1</v>
      </c>
      <c r="L10" s="319">
        <f>'BD Team'!K17</f>
        <v>358.2</v>
      </c>
      <c r="M10" s="318">
        <f>Pricing!O12</f>
        <v>2938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W11</v>
      </c>
      <c r="B11" s="318" t="str">
        <f>'BD Team'!C18</f>
        <v>-</v>
      </c>
      <c r="C11" s="318" t="str">
        <f>'BD Team'!D18</f>
        <v>GLASS LOUVERS</v>
      </c>
      <c r="D11" s="318" t="str">
        <f>'BD Team'!E18</f>
        <v>6MM (F)</v>
      </c>
      <c r="E11" s="318" t="str">
        <f>'BD Team'!G18</f>
        <v>1F - SW - BEDROOM TOILET</v>
      </c>
      <c r="F11" s="318" t="str">
        <f>'BD Team'!F18</f>
        <v>NO</v>
      </c>
      <c r="I11" s="318">
        <f>'BD Team'!H18</f>
        <v>1543</v>
      </c>
      <c r="J11" s="318">
        <f>'BD Team'!I18</f>
        <v>599</v>
      </c>
      <c r="K11" s="318">
        <f>'BD Team'!J18</f>
        <v>1</v>
      </c>
      <c r="L11" s="319">
        <f>'BD Team'!K18</f>
        <v>23.38</v>
      </c>
      <c r="M11" s="318">
        <f>Pricing!O13</f>
        <v>2003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W12</v>
      </c>
      <c r="B12" s="318" t="str">
        <f>'BD Team'!C19</f>
        <v>-</v>
      </c>
      <c r="C12" s="318" t="str">
        <f>'BD Team'!D19</f>
        <v>GLASS LOUVERS</v>
      </c>
      <c r="D12" s="318" t="str">
        <f>'BD Team'!E19</f>
        <v>6MM (F)</v>
      </c>
      <c r="E12" s="318" t="str">
        <f>'BD Team'!G19</f>
        <v>1F - NW - BEDROOM TOILET</v>
      </c>
      <c r="F12" s="318" t="str">
        <f>'BD Team'!F19</f>
        <v>NO</v>
      </c>
      <c r="I12" s="318">
        <f>'BD Team'!H19</f>
        <v>1211</v>
      </c>
      <c r="J12" s="318">
        <f>'BD Team'!I19</f>
        <v>607</v>
      </c>
      <c r="K12" s="318">
        <f>'BD Team'!J19</f>
        <v>1</v>
      </c>
      <c r="L12" s="319">
        <f>'BD Team'!K19</f>
        <v>20.89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W13</v>
      </c>
      <c r="B13" s="318" t="str">
        <f>'BD Team'!C20</f>
        <v>M14600</v>
      </c>
      <c r="C13" s="318" t="str">
        <f>'BD Team'!D20</f>
        <v>3 TRACK 2 SHUTTER SLIDING WINDOW</v>
      </c>
      <c r="D13" s="318" t="str">
        <f>'BD Team'!E20</f>
        <v>24MM</v>
      </c>
      <c r="E13" s="318" t="str">
        <f>'BD Team'!G20</f>
        <v>1F - NW - BEDROOM</v>
      </c>
      <c r="F13" s="318" t="str">
        <f>'BD Team'!F20</f>
        <v>SS</v>
      </c>
      <c r="I13" s="318">
        <f>'BD Team'!H20</f>
        <v>1885</v>
      </c>
      <c r="J13" s="318">
        <f>'BD Team'!I20</f>
        <v>1758</v>
      </c>
      <c r="K13" s="318">
        <f>'BD Team'!J20</f>
        <v>1</v>
      </c>
      <c r="L13" s="319">
        <f>'BD Team'!K20</f>
        <v>346.55</v>
      </c>
      <c r="M13" s="318">
        <f>Pricing!O15</f>
        <v>2938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W14</v>
      </c>
      <c r="B14" s="318" t="str">
        <f>'BD Team'!C21</f>
        <v>M14600</v>
      </c>
      <c r="C14" s="318" t="str">
        <f>'BD Team'!D21</f>
        <v>3 TRACK 2 SHUTTER SLIDING DOOR</v>
      </c>
      <c r="D14" s="318" t="str">
        <f>'BD Team'!E21</f>
        <v>24MM</v>
      </c>
      <c r="E14" s="318" t="str">
        <f>'BD Team'!G21</f>
        <v>1F - FAMILY ROOM</v>
      </c>
      <c r="F14" s="318" t="str">
        <f>'BD Team'!F21</f>
        <v>SS</v>
      </c>
      <c r="I14" s="318">
        <f>'BD Team'!H21</f>
        <v>3567</v>
      </c>
      <c r="J14" s="318">
        <f>'BD Team'!I21</f>
        <v>2332</v>
      </c>
      <c r="K14" s="318">
        <f>'BD Team'!J21</f>
        <v>1</v>
      </c>
      <c r="L14" s="319">
        <f>'BD Team'!K21</f>
        <v>522.17999999999995</v>
      </c>
      <c r="M14" s="318">
        <f>Pricing!O16</f>
        <v>2938</v>
      </c>
      <c r="N14" s="318">
        <f>Pricing!Q16</f>
        <v>538.19999999999993</v>
      </c>
      <c r="O14" s="318">
        <f>Pricing!R16</f>
        <v>0</v>
      </c>
      <c r="P14" s="318">
        <f>Pricing!S16</f>
        <v>5000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W15</v>
      </c>
      <c r="B15" s="318" t="str">
        <f>'BD Team'!C22</f>
        <v>M14600</v>
      </c>
      <c r="C15" s="318" t="str">
        <f>'BD Team'!D22</f>
        <v>3 TRACK 2 SHUTTER SLIDING WINDOW</v>
      </c>
      <c r="D15" s="318" t="str">
        <f>'BD Team'!E22</f>
        <v>24MM</v>
      </c>
      <c r="E15" s="318" t="str">
        <f>'BD Team'!G22</f>
        <v>1F - SE BEDROOM</v>
      </c>
      <c r="F15" s="318" t="str">
        <f>'BD Team'!F22</f>
        <v>SS</v>
      </c>
      <c r="I15" s="318">
        <f>'BD Team'!H22</f>
        <v>1212</v>
      </c>
      <c r="J15" s="318">
        <f>'BD Team'!I22</f>
        <v>1750</v>
      </c>
      <c r="K15" s="318">
        <f>'BD Team'!J22</f>
        <v>1</v>
      </c>
      <c r="L15" s="319">
        <f>'BD Team'!K22</f>
        <v>289.66000000000003</v>
      </c>
      <c r="M15" s="318">
        <f>Pricing!O17</f>
        <v>2938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W16</v>
      </c>
      <c r="B16" s="318" t="str">
        <f>'BD Team'!C23</f>
        <v>-</v>
      </c>
      <c r="C16" s="318" t="str">
        <f>'BD Team'!D23</f>
        <v>GLASS LOUVERS</v>
      </c>
      <c r="D16" s="318" t="str">
        <f>'BD Team'!E23</f>
        <v>6MM (F)</v>
      </c>
      <c r="E16" s="318" t="str">
        <f>'BD Team'!G23</f>
        <v>1F - SE BEDROOM TOILET</v>
      </c>
      <c r="F16" s="318" t="str">
        <f>'BD Team'!F23</f>
        <v>NO</v>
      </c>
      <c r="I16" s="318">
        <f>'BD Team'!H23</f>
        <v>610</v>
      </c>
      <c r="J16" s="318">
        <f>'BD Team'!I23</f>
        <v>455</v>
      </c>
      <c r="K16" s="318">
        <f>'BD Team'!J23</f>
        <v>1</v>
      </c>
      <c r="L16" s="319">
        <f>'BD Team'!K23</f>
        <v>9.73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W17</v>
      </c>
      <c r="B17" s="318" t="str">
        <f>'BD Team'!C24</f>
        <v>M15000</v>
      </c>
      <c r="C17" s="318" t="str">
        <f>'BD Team'!D24</f>
        <v>SIDE HUNG WINDOW</v>
      </c>
      <c r="D17" s="318" t="str">
        <f>'BD Team'!E24</f>
        <v>24MM</v>
      </c>
      <c r="E17" s="318" t="str">
        <f>'BD Team'!G24</f>
        <v>1F - SE BEDROOM</v>
      </c>
      <c r="F17" s="318" t="str">
        <f>'BD Team'!F24</f>
        <v>NO</v>
      </c>
      <c r="I17" s="318">
        <f>'BD Team'!H24</f>
        <v>645</v>
      </c>
      <c r="J17" s="318">
        <f>'BD Team'!I24</f>
        <v>1756</v>
      </c>
      <c r="K17" s="318">
        <f>'BD Team'!J24</f>
        <v>1</v>
      </c>
      <c r="L17" s="319">
        <f>'BD Team'!K24</f>
        <v>198.14</v>
      </c>
      <c r="M17" s="318">
        <f>Pricing!O19</f>
        <v>2938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W18</v>
      </c>
      <c r="B18" s="318" t="str">
        <f>'BD Team'!C25</f>
        <v>M15000</v>
      </c>
      <c r="C18" s="318" t="str">
        <f>'BD Team'!D25</f>
        <v>FIXED GLASS</v>
      </c>
      <c r="D18" s="318" t="str">
        <f>'BD Team'!E25</f>
        <v>24MM</v>
      </c>
      <c r="E18" s="318" t="str">
        <f>'BD Team'!G25</f>
        <v>1F - STAIRCASE</v>
      </c>
      <c r="F18" s="318" t="str">
        <f>'BD Team'!F25</f>
        <v>NO</v>
      </c>
      <c r="I18" s="318">
        <f>'BD Team'!H25</f>
        <v>1004</v>
      </c>
      <c r="J18" s="318">
        <f>'BD Team'!I25</f>
        <v>1648</v>
      </c>
      <c r="K18" s="318">
        <f>'BD Team'!J25</f>
        <v>1</v>
      </c>
      <c r="L18" s="319">
        <f>'BD Team'!K25</f>
        <v>60.48</v>
      </c>
      <c r="M18" s="318">
        <f>Pricing!O20</f>
        <v>2938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W19</v>
      </c>
      <c r="B19" s="318" t="str">
        <f>'BD Team'!C26</f>
        <v>M15000</v>
      </c>
      <c r="C19" s="318" t="str">
        <f>'BD Team'!D26</f>
        <v>FIXED GLASS</v>
      </c>
      <c r="D19" s="318" t="str">
        <f>'BD Team'!E26</f>
        <v>24MM</v>
      </c>
      <c r="E19" s="318" t="str">
        <f>'BD Team'!G26</f>
        <v>1F - STAIRCASE</v>
      </c>
      <c r="F19" s="318" t="str">
        <f>'BD Team'!F26</f>
        <v>NO</v>
      </c>
      <c r="I19" s="318">
        <f>'BD Team'!H26</f>
        <v>1803</v>
      </c>
      <c r="J19" s="318">
        <f>'BD Team'!I26</f>
        <v>1217</v>
      </c>
      <c r="K19" s="318">
        <f>'BD Team'!J26</f>
        <v>1</v>
      </c>
      <c r="L19" s="319">
        <f>'BD Team'!K26</f>
        <v>68.55</v>
      </c>
      <c r="M19" s="318">
        <f>Pricing!O21</f>
        <v>2938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W20</v>
      </c>
      <c r="B20" s="318" t="str">
        <f>'BD Team'!C27</f>
        <v>M14600</v>
      </c>
      <c r="C20" s="318" t="str">
        <f>'BD Team'!D27</f>
        <v>3 TRACK 2 SHUTTER SLIDING WINDOW</v>
      </c>
      <c r="D20" s="318" t="str">
        <f>'BD Team'!E27</f>
        <v>24MM</v>
      </c>
      <c r="E20" s="318" t="str">
        <f>'BD Team'!G27</f>
        <v>2F - GYM ROOM</v>
      </c>
      <c r="F20" s="318" t="str">
        <f>'BD Team'!F27</f>
        <v>SS</v>
      </c>
      <c r="I20" s="318">
        <f>'BD Team'!H27</f>
        <v>1987</v>
      </c>
      <c r="J20" s="318">
        <f>'BD Team'!I27</f>
        <v>1187</v>
      </c>
      <c r="K20" s="318">
        <f>'BD Team'!J27</f>
        <v>1</v>
      </c>
      <c r="L20" s="319">
        <f>'BD Team'!K27</f>
        <v>286.37</v>
      </c>
      <c r="M20" s="318">
        <f>Pricing!O22</f>
        <v>2938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W21</v>
      </c>
      <c r="B21" s="318" t="str">
        <f>'BD Team'!C28</f>
        <v>-</v>
      </c>
      <c r="C21" s="318" t="str">
        <f>'BD Team'!D28</f>
        <v>GLASS LOUVERS</v>
      </c>
      <c r="D21" s="318" t="str">
        <f>'BD Team'!E28</f>
        <v>6MM (F)</v>
      </c>
      <c r="E21" s="318" t="str">
        <f>'BD Team'!G28</f>
        <v>2F - GYM ROOM TOILET</v>
      </c>
      <c r="F21" s="318" t="str">
        <f>'BD Team'!F28</f>
        <v>NO</v>
      </c>
      <c r="I21" s="318">
        <f>'BD Team'!H28</f>
        <v>607</v>
      </c>
      <c r="J21" s="318">
        <f>'BD Team'!I28</f>
        <v>359</v>
      </c>
      <c r="K21" s="318">
        <f>'BD Team'!J28</f>
        <v>1</v>
      </c>
      <c r="L21" s="319">
        <f>'BD Team'!K28</f>
        <v>8.52</v>
      </c>
      <c r="M21" s="318">
        <f>Pricing!O23</f>
        <v>2003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W22</v>
      </c>
      <c r="B22" s="318" t="str">
        <f>'BD Team'!C29</f>
        <v>M14600</v>
      </c>
      <c r="C22" s="318" t="str">
        <f>'BD Team'!D29</f>
        <v>3 TRACK 2 SHUTTER SLIDING DOOR</v>
      </c>
      <c r="D22" s="318" t="str">
        <f>'BD Team'!E29</f>
        <v>24MM</v>
      </c>
      <c r="E22" s="318" t="str">
        <f>'BD Team'!G29</f>
        <v>2F - HOME THEATER</v>
      </c>
      <c r="F22" s="318" t="str">
        <f>'BD Team'!F29</f>
        <v>SS</v>
      </c>
      <c r="I22" s="318">
        <f>'BD Team'!H29</f>
        <v>2929</v>
      </c>
      <c r="J22" s="318">
        <f>'BD Team'!I29</f>
        <v>2123</v>
      </c>
      <c r="K22" s="318">
        <f>'BD Team'!J29</f>
        <v>1</v>
      </c>
      <c r="L22" s="319">
        <f>'BD Team'!K29</f>
        <v>470.99</v>
      </c>
      <c r="M22" s="318">
        <f>Pricing!O24</f>
        <v>2938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W23</v>
      </c>
      <c r="B23" s="318" t="str">
        <f>'BD Team'!C30</f>
        <v>-</v>
      </c>
      <c r="C23" s="318" t="str">
        <f>'BD Team'!D30</f>
        <v>GLASS LOUVERS</v>
      </c>
      <c r="D23" s="318" t="str">
        <f>'BD Team'!E30</f>
        <v>6MM (F)</v>
      </c>
      <c r="E23" s="318" t="str">
        <f>'BD Team'!G30</f>
        <v>2F - SERVANT TOILET</v>
      </c>
      <c r="F23" s="318" t="str">
        <f>'BD Team'!F30</f>
        <v>NO</v>
      </c>
      <c r="I23" s="318">
        <f>'BD Team'!H30</f>
        <v>610</v>
      </c>
      <c r="J23" s="318">
        <f>'BD Team'!I30</f>
        <v>354</v>
      </c>
      <c r="K23" s="318">
        <f>'BD Team'!J30</f>
        <v>1</v>
      </c>
      <c r="L23" s="319">
        <f>'BD Team'!K30</f>
        <v>8.52</v>
      </c>
      <c r="M23" s="318">
        <f>Pricing!O25</f>
        <v>2003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W24</v>
      </c>
      <c r="B24" s="318" t="str">
        <f>'BD Team'!C31</f>
        <v>M15000</v>
      </c>
      <c r="C24" s="318" t="str">
        <f>'BD Team'!D31</f>
        <v>SIDE HUNG WINDOW</v>
      </c>
      <c r="D24" s="318" t="str">
        <f>'BD Team'!E31</f>
        <v>24MM</v>
      </c>
      <c r="E24" s="318" t="str">
        <f>'BD Team'!G31</f>
        <v>2F - SERVANT BEDROOM</v>
      </c>
      <c r="F24" s="318" t="str">
        <f>'BD Team'!F31</f>
        <v>NO</v>
      </c>
      <c r="I24" s="318">
        <f>'BD Team'!H31</f>
        <v>905</v>
      </c>
      <c r="J24" s="318">
        <f>'BD Team'!I31</f>
        <v>1222</v>
      </c>
      <c r="K24" s="318">
        <f>'BD Team'!J31</f>
        <v>1</v>
      </c>
      <c r="L24" s="319">
        <f>'BD Team'!K31</f>
        <v>179.28</v>
      </c>
      <c r="M24" s="318">
        <f>Pricing!O26</f>
        <v>2938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W25</v>
      </c>
      <c r="B25" s="318" t="str">
        <f>'BD Team'!C32</f>
        <v>M15000</v>
      </c>
      <c r="C25" s="318" t="str">
        <f>'BD Team'!D32</f>
        <v>SINGLE DOOR</v>
      </c>
      <c r="D25" s="318" t="str">
        <f>'BD Team'!E32</f>
        <v>24MM</v>
      </c>
      <c r="E25" s="318" t="str">
        <f>'BD Team'!G32</f>
        <v>2F - OPEN TERRANCE DOOR</v>
      </c>
      <c r="F25" s="318" t="str">
        <f>'BD Team'!F32</f>
        <v>NO</v>
      </c>
      <c r="I25" s="318">
        <f>'BD Team'!H32</f>
        <v>995</v>
      </c>
      <c r="J25" s="318">
        <f>'BD Team'!I32</f>
        <v>2239</v>
      </c>
      <c r="K25" s="318">
        <f>'BD Team'!J32</f>
        <v>1</v>
      </c>
      <c r="L25" s="319">
        <f>'BD Team'!K32</f>
        <v>609.48</v>
      </c>
      <c r="M25" s="318">
        <f>Pricing!O27</f>
        <v>2938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33" sqref="B3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425</v>
      </c>
      <c r="F2" s="137"/>
      <c r="G2" s="163"/>
      <c r="H2" s="323" t="s">
        <v>184</v>
      </c>
      <c r="I2" s="324"/>
      <c r="J2" s="165" t="s">
        <v>424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426</v>
      </c>
      <c r="F3" s="136" t="s">
        <v>182</v>
      </c>
      <c r="G3" s="162" t="s">
        <v>416</v>
      </c>
      <c r="H3" s="323" t="s">
        <v>185</v>
      </c>
      <c r="I3" s="324"/>
      <c r="J3" s="166">
        <v>43739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418</v>
      </c>
      <c r="F4" s="135"/>
      <c r="G4" s="164"/>
      <c r="H4" s="323" t="s">
        <v>186</v>
      </c>
      <c r="I4" s="324"/>
      <c r="J4" s="165" t="s">
        <v>385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427</v>
      </c>
      <c r="F5" s="136" t="s">
        <v>183</v>
      </c>
      <c r="G5" s="162" t="s">
        <v>207</v>
      </c>
      <c r="H5" s="323" t="s">
        <v>375</v>
      </c>
      <c r="I5" s="324"/>
      <c r="J5" s="165" t="s">
        <v>428</v>
      </c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429</v>
      </c>
      <c r="C9" s="113" t="s">
        <v>430</v>
      </c>
      <c r="D9" s="113" t="s">
        <v>431</v>
      </c>
      <c r="E9" s="113" t="s">
        <v>263</v>
      </c>
      <c r="F9" s="113" t="s">
        <v>432</v>
      </c>
      <c r="G9" s="113" t="s">
        <v>433</v>
      </c>
      <c r="H9" s="113">
        <v>1524</v>
      </c>
      <c r="I9" s="113">
        <v>672</v>
      </c>
      <c r="J9" s="113">
        <v>1</v>
      </c>
      <c r="K9" s="123">
        <v>212.1</v>
      </c>
    </row>
    <row r="10" spans="1:13" ht="20.100000000000001" customHeight="1">
      <c r="A10" s="113">
        <v>2</v>
      </c>
      <c r="B10" s="113" t="s">
        <v>434</v>
      </c>
      <c r="C10" s="113" t="s">
        <v>430</v>
      </c>
      <c r="D10" s="113" t="s">
        <v>431</v>
      </c>
      <c r="E10" s="113" t="s">
        <v>263</v>
      </c>
      <c r="F10" s="113" t="s">
        <v>432</v>
      </c>
      <c r="G10" s="113" t="s">
        <v>433</v>
      </c>
      <c r="H10" s="113">
        <v>1210</v>
      </c>
      <c r="I10" s="113">
        <v>1056</v>
      </c>
      <c r="J10" s="113">
        <v>1</v>
      </c>
      <c r="K10" s="123">
        <v>223.59</v>
      </c>
      <c r="L10" s="47" t="s">
        <v>282</v>
      </c>
    </row>
    <row r="11" spans="1:13" ht="20.100000000000001" customHeight="1">
      <c r="A11" s="113">
        <v>3</v>
      </c>
      <c r="B11" s="113" t="s">
        <v>435</v>
      </c>
      <c r="C11" s="113" t="s">
        <v>436</v>
      </c>
      <c r="D11" s="113" t="s">
        <v>437</v>
      </c>
      <c r="E11" s="113" t="s">
        <v>263</v>
      </c>
      <c r="F11" s="113" t="s">
        <v>438</v>
      </c>
      <c r="G11" s="113" t="s">
        <v>439</v>
      </c>
      <c r="H11" s="113">
        <v>949</v>
      </c>
      <c r="I11" s="113">
        <v>1805</v>
      </c>
      <c r="J11" s="113">
        <v>1</v>
      </c>
      <c r="K11" s="123">
        <v>325.94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441</v>
      </c>
      <c r="D12" s="113" t="s">
        <v>442</v>
      </c>
      <c r="E12" s="113" t="s">
        <v>443</v>
      </c>
      <c r="F12" s="113" t="s">
        <v>438</v>
      </c>
      <c r="G12" s="113" t="s">
        <v>444</v>
      </c>
      <c r="H12" s="113">
        <v>909</v>
      </c>
      <c r="I12" s="113">
        <v>601</v>
      </c>
      <c r="J12" s="113">
        <v>2</v>
      </c>
      <c r="K12" s="123">
        <v>13.83</v>
      </c>
      <c r="L12" s="47" t="s">
        <v>365</v>
      </c>
    </row>
    <row r="13" spans="1:13" ht="20.100000000000001" customHeight="1">
      <c r="A13" s="113">
        <v>5</v>
      </c>
      <c r="B13" s="113" t="s">
        <v>445</v>
      </c>
      <c r="C13" s="113" t="s">
        <v>430</v>
      </c>
      <c r="D13" s="113" t="s">
        <v>431</v>
      </c>
      <c r="E13" s="113" t="s">
        <v>263</v>
      </c>
      <c r="F13" s="113" t="s">
        <v>432</v>
      </c>
      <c r="G13" s="113" t="s">
        <v>447</v>
      </c>
      <c r="H13" s="113">
        <v>1228</v>
      </c>
      <c r="I13" s="113">
        <v>1739</v>
      </c>
      <c r="J13" s="113">
        <v>1</v>
      </c>
      <c r="K13" s="123">
        <v>289.77999999999997</v>
      </c>
      <c r="L13" s="47" t="s">
        <v>366</v>
      </c>
    </row>
    <row r="14" spans="1:13">
      <c r="A14" s="113">
        <v>6</v>
      </c>
      <c r="B14" s="113" t="s">
        <v>448</v>
      </c>
      <c r="C14" s="113" t="s">
        <v>430</v>
      </c>
      <c r="D14" s="113" t="s">
        <v>431</v>
      </c>
      <c r="E14" s="113" t="s">
        <v>263</v>
      </c>
      <c r="F14" s="113" t="s">
        <v>432</v>
      </c>
      <c r="G14" s="113" t="s">
        <v>449</v>
      </c>
      <c r="H14" s="113">
        <v>3064</v>
      </c>
      <c r="I14" s="113">
        <v>1955</v>
      </c>
      <c r="J14" s="113">
        <v>1</v>
      </c>
      <c r="K14" s="123">
        <v>431.93</v>
      </c>
      <c r="L14" s="47" t="s">
        <v>367</v>
      </c>
    </row>
    <row r="15" spans="1:13" ht="20.100000000000001" customHeight="1">
      <c r="A15" s="113">
        <v>7</v>
      </c>
      <c r="B15" s="113" t="s">
        <v>450</v>
      </c>
      <c r="C15" s="113" t="s">
        <v>436</v>
      </c>
      <c r="D15" s="113" t="s">
        <v>437</v>
      </c>
      <c r="E15" s="113" t="s">
        <v>263</v>
      </c>
      <c r="F15" s="113" t="s">
        <v>438</v>
      </c>
      <c r="G15" s="113" t="s">
        <v>451</v>
      </c>
      <c r="H15" s="113">
        <v>894</v>
      </c>
      <c r="I15" s="113">
        <v>1748</v>
      </c>
      <c r="J15" s="113">
        <v>1</v>
      </c>
      <c r="K15" s="123">
        <v>318.22000000000003</v>
      </c>
      <c r="L15" s="47" t="s">
        <v>368</v>
      </c>
    </row>
    <row r="16" spans="1:13" ht="20.100000000000001" customHeight="1">
      <c r="A16" s="113">
        <v>8</v>
      </c>
      <c r="B16" s="113" t="s">
        <v>452</v>
      </c>
      <c r="C16" s="113" t="s">
        <v>436</v>
      </c>
      <c r="D16" s="113" t="s">
        <v>453</v>
      </c>
      <c r="E16" s="113" t="s">
        <v>263</v>
      </c>
      <c r="F16" s="113" t="s">
        <v>438</v>
      </c>
      <c r="G16" s="113" t="s">
        <v>454</v>
      </c>
      <c r="H16" s="113">
        <v>1020</v>
      </c>
      <c r="I16" s="113">
        <v>1151</v>
      </c>
      <c r="J16" s="113">
        <v>1</v>
      </c>
      <c r="K16" s="123">
        <v>50.92</v>
      </c>
      <c r="L16" s="47" t="s">
        <v>369</v>
      </c>
    </row>
    <row r="17" spans="1:13" ht="20.100000000000001" customHeight="1">
      <c r="A17" s="113">
        <v>9</v>
      </c>
      <c r="B17" s="113" t="s">
        <v>455</v>
      </c>
      <c r="C17" s="113" t="s">
        <v>430</v>
      </c>
      <c r="D17" s="113" t="s">
        <v>431</v>
      </c>
      <c r="E17" s="113" t="s">
        <v>263</v>
      </c>
      <c r="F17" s="113" t="s">
        <v>432</v>
      </c>
      <c r="G17" s="113" t="s">
        <v>456</v>
      </c>
      <c r="H17" s="113">
        <v>2146</v>
      </c>
      <c r="I17" s="113">
        <v>1716</v>
      </c>
      <c r="J17" s="113">
        <v>1</v>
      </c>
      <c r="K17" s="123">
        <v>358.2</v>
      </c>
      <c r="L17" s="47" t="s">
        <v>370</v>
      </c>
    </row>
    <row r="18" spans="1:13" ht="20.100000000000001" customHeight="1">
      <c r="A18" s="113">
        <v>10</v>
      </c>
      <c r="B18" s="113" t="s">
        <v>457</v>
      </c>
      <c r="C18" s="113" t="s">
        <v>441</v>
      </c>
      <c r="D18" s="113" t="s">
        <v>442</v>
      </c>
      <c r="E18" s="113" t="s">
        <v>443</v>
      </c>
      <c r="F18" s="113" t="s">
        <v>438</v>
      </c>
      <c r="G18" s="113" t="s">
        <v>458</v>
      </c>
      <c r="H18" s="113">
        <v>1543</v>
      </c>
      <c r="I18" s="113">
        <v>599</v>
      </c>
      <c r="J18" s="113">
        <v>1</v>
      </c>
      <c r="K18" s="123">
        <v>23.38</v>
      </c>
      <c r="L18" s="47" t="s">
        <v>371</v>
      </c>
    </row>
    <row r="19" spans="1:13" ht="20.100000000000001" customHeight="1">
      <c r="A19" s="113">
        <v>11</v>
      </c>
      <c r="B19" s="113" t="s">
        <v>459</v>
      </c>
      <c r="C19" s="113" t="s">
        <v>441</v>
      </c>
      <c r="D19" s="113" t="s">
        <v>442</v>
      </c>
      <c r="E19" s="113" t="s">
        <v>443</v>
      </c>
      <c r="F19" s="113" t="s">
        <v>438</v>
      </c>
      <c r="G19" s="113" t="s">
        <v>460</v>
      </c>
      <c r="H19" s="113">
        <v>1211</v>
      </c>
      <c r="I19" s="113">
        <v>607</v>
      </c>
      <c r="J19" s="113">
        <v>1</v>
      </c>
      <c r="K19" s="123">
        <v>20.89</v>
      </c>
      <c r="L19" s="47" t="s">
        <v>372</v>
      </c>
    </row>
    <row r="20" spans="1:13">
      <c r="A20" s="113">
        <v>12</v>
      </c>
      <c r="B20" s="113" t="s">
        <v>461</v>
      </c>
      <c r="C20" s="113" t="s">
        <v>430</v>
      </c>
      <c r="D20" s="113" t="s">
        <v>431</v>
      </c>
      <c r="E20" s="113" t="s">
        <v>263</v>
      </c>
      <c r="F20" s="113" t="s">
        <v>432</v>
      </c>
      <c r="G20" s="113" t="s">
        <v>462</v>
      </c>
      <c r="H20" s="113">
        <v>1885</v>
      </c>
      <c r="I20" s="113">
        <v>1758</v>
      </c>
      <c r="J20" s="113">
        <v>1</v>
      </c>
      <c r="K20" s="123">
        <v>346.55</v>
      </c>
      <c r="L20" s="47" t="s">
        <v>386</v>
      </c>
    </row>
    <row r="21" spans="1:13" ht="20.100000000000001" customHeight="1">
      <c r="A21" s="113">
        <v>13</v>
      </c>
      <c r="B21" s="113" t="s">
        <v>463</v>
      </c>
      <c r="C21" s="113" t="s">
        <v>430</v>
      </c>
      <c r="D21" s="113" t="s">
        <v>446</v>
      </c>
      <c r="E21" s="113" t="s">
        <v>263</v>
      </c>
      <c r="F21" s="113" t="s">
        <v>432</v>
      </c>
      <c r="G21" s="113" t="s">
        <v>464</v>
      </c>
      <c r="H21" s="113">
        <v>3567</v>
      </c>
      <c r="I21" s="113">
        <v>2332</v>
      </c>
      <c r="J21" s="113">
        <v>1</v>
      </c>
      <c r="K21" s="123">
        <v>522.17999999999995</v>
      </c>
      <c r="L21" s="47" t="s">
        <v>387</v>
      </c>
    </row>
    <row r="22" spans="1:13" ht="20.100000000000001" customHeight="1">
      <c r="A22" s="113">
        <v>14</v>
      </c>
      <c r="B22" s="113" t="s">
        <v>465</v>
      </c>
      <c r="C22" s="113" t="s">
        <v>430</v>
      </c>
      <c r="D22" s="113" t="s">
        <v>431</v>
      </c>
      <c r="E22" s="113" t="s">
        <v>263</v>
      </c>
      <c r="F22" s="113" t="s">
        <v>432</v>
      </c>
      <c r="G22" s="113" t="s">
        <v>466</v>
      </c>
      <c r="H22" s="113">
        <v>1212</v>
      </c>
      <c r="I22" s="113">
        <v>1750</v>
      </c>
      <c r="J22" s="113">
        <v>1</v>
      </c>
      <c r="K22" s="123">
        <v>289.66000000000003</v>
      </c>
      <c r="L22" s="47" t="s">
        <v>388</v>
      </c>
    </row>
    <row r="23" spans="1:13" ht="20.100000000000001" customHeight="1">
      <c r="A23" s="113">
        <v>15</v>
      </c>
      <c r="B23" s="113" t="s">
        <v>467</v>
      </c>
      <c r="C23" s="113" t="s">
        <v>441</v>
      </c>
      <c r="D23" s="113" t="s">
        <v>442</v>
      </c>
      <c r="E23" s="113" t="s">
        <v>443</v>
      </c>
      <c r="F23" s="113" t="s">
        <v>438</v>
      </c>
      <c r="G23" s="113" t="s">
        <v>468</v>
      </c>
      <c r="H23" s="113">
        <v>610</v>
      </c>
      <c r="I23" s="113">
        <v>455</v>
      </c>
      <c r="J23" s="113">
        <v>1</v>
      </c>
      <c r="K23" s="123">
        <v>9.73</v>
      </c>
      <c r="L23" s="47" t="s">
        <v>403</v>
      </c>
    </row>
    <row r="24" spans="1:13" ht="20.100000000000001" customHeight="1">
      <c r="A24" s="113">
        <v>16</v>
      </c>
      <c r="B24" s="113" t="s">
        <v>469</v>
      </c>
      <c r="C24" s="113" t="s">
        <v>436</v>
      </c>
      <c r="D24" s="113" t="s">
        <v>470</v>
      </c>
      <c r="E24" s="113" t="s">
        <v>263</v>
      </c>
      <c r="F24" s="113" t="s">
        <v>438</v>
      </c>
      <c r="G24" s="113" t="s">
        <v>466</v>
      </c>
      <c r="H24" s="113">
        <v>645</v>
      </c>
      <c r="I24" s="113">
        <v>1756</v>
      </c>
      <c r="J24" s="113">
        <v>1</v>
      </c>
      <c r="K24" s="123">
        <v>198.14</v>
      </c>
      <c r="L24" s="47" t="s">
        <v>417</v>
      </c>
    </row>
    <row r="25" spans="1:13" ht="20.100000000000001" customHeight="1">
      <c r="A25" s="113">
        <v>17</v>
      </c>
      <c r="B25" s="113" t="s">
        <v>471</v>
      </c>
      <c r="C25" s="113" t="s">
        <v>436</v>
      </c>
      <c r="D25" s="113" t="s">
        <v>453</v>
      </c>
      <c r="E25" s="113" t="s">
        <v>263</v>
      </c>
      <c r="F25" s="113" t="s">
        <v>438</v>
      </c>
      <c r="G25" s="113" t="s">
        <v>472</v>
      </c>
      <c r="H25" s="113">
        <v>1004</v>
      </c>
      <c r="I25" s="113">
        <v>1648</v>
      </c>
      <c r="J25" s="113">
        <v>1</v>
      </c>
      <c r="K25" s="123">
        <v>60.48</v>
      </c>
      <c r="L25" s="47" t="s">
        <v>418</v>
      </c>
    </row>
    <row r="26" spans="1:13">
      <c r="A26" s="113">
        <v>18</v>
      </c>
      <c r="B26" s="113" t="s">
        <v>473</v>
      </c>
      <c r="C26" s="113" t="s">
        <v>436</v>
      </c>
      <c r="D26" s="113" t="s">
        <v>453</v>
      </c>
      <c r="E26" s="113" t="s">
        <v>263</v>
      </c>
      <c r="F26" s="113" t="s">
        <v>438</v>
      </c>
      <c r="G26" s="113" t="s">
        <v>472</v>
      </c>
      <c r="H26" s="113">
        <v>1803</v>
      </c>
      <c r="I26" s="113">
        <v>1217</v>
      </c>
      <c r="J26" s="113">
        <v>1</v>
      </c>
      <c r="K26" s="123">
        <v>68.55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474</v>
      </c>
      <c r="C27" s="113" t="s">
        <v>430</v>
      </c>
      <c r="D27" s="113" t="s">
        <v>431</v>
      </c>
      <c r="E27" s="113" t="s">
        <v>263</v>
      </c>
      <c r="F27" s="113" t="s">
        <v>432</v>
      </c>
      <c r="G27" s="113" t="s">
        <v>475</v>
      </c>
      <c r="H27" s="113">
        <v>1987</v>
      </c>
      <c r="I27" s="113">
        <v>1187</v>
      </c>
      <c r="J27" s="113">
        <v>1</v>
      </c>
      <c r="K27" s="123">
        <v>286.37</v>
      </c>
    </row>
    <row r="28" spans="1:13" ht="20.100000000000001" customHeight="1">
      <c r="A28" s="113">
        <v>20</v>
      </c>
      <c r="B28" s="113" t="s">
        <v>476</v>
      </c>
      <c r="C28" s="113" t="s">
        <v>441</v>
      </c>
      <c r="D28" s="113" t="s">
        <v>442</v>
      </c>
      <c r="E28" s="113" t="s">
        <v>443</v>
      </c>
      <c r="F28" s="113" t="s">
        <v>438</v>
      </c>
      <c r="G28" s="113" t="s">
        <v>477</v>
      </c>
      <c r="H28" s="113">
        <v>607</v>
      </c>
      <c r="I28" s="113">
        <v>359</v>
      </c>
      <c r="J28" s="113">
        <v>1</v>
      </c>
      <c r="K28" s="123">
        <v>8.52</v>
      </c>
    </row>
    <row r="29" spans="1:13" ht="20.100000000000001" customHeight="1">
      <c r="A29" s="113">
        <v>21</v>
      </c>
      <c r="B29" s="113" t="s">
        <v>478</v>
      </c>
      <c r="C29" s="113" t="s">
        <v>430</v>
      </c>
      <c r="D29" s="113" t="s">
        <v>446</v>
      </c>
      <c r="E29" s="113" t="s">
        <v>263</v>
      </c>
      <c r="F29" s="113" t="s">
        <v>432</v>
      </c>
      <c r="G29" s="113" t="s">
        <v>479</v>
      </c>
      <c r="H29" s="113">
        <v>2929</v>
      </c>
      <c r="I29" s="113">
        <v>2123</v>
      </c>
      <c r="J29" s="113">
        <v>1</v>
      </c>
      <c r="K29" s="123">
        <v>470.99</v>
      </c>
    </row>
    <row r="30" spans="1:13" ht="20.100000000000001" customHeight="1">
      <c r="A30" s="113">
        <v>22</v>
      </c>
      <c r="B30" s="113" t="s">
        <v>480</v>
      </c>
      <c r="C30" s="113" t="s">
        <v>441</v>
      </c>
      <c r="D30" s="113" t="s">
        <v>442</v>
      </c>
      <c r="E30" s="113" t="s">
        <v>443</v>
      </c>
      <c r="F30" s="113" t="s">
        <v>438</v>
      </c>
      <c r="G30" s="113" t="s">
        <v>481</v>
      </c>
      <c r="H30" s="113">
        <v>610</v>
      </c>
      <c r="I30" s="113">
        <v>354</v>
      </c>
      <c r="J30" s="113">
        <v>1</v>
      </c>
      <c r="K30" s="123">
        <v>8.52</v>
      </c>
    </row>
    <row r="31" spans="1:13" ht="20.100000000000001" customHeight="1">
      <c r="A31" s="113">
        <v>23</v>
      </c>
      <c r="B31" s="113" t="s">
        <v>482</v>
      </c>
      <c r="C31" s="113" t="s">
        <v>436</v>
      </c>
      <c r="D31" s="113" t="s">
        <v>470</v>
      </c>
      <c r="E31" s="113" t="s">
        <v>263</v>
      </c>
      <c r="F31" s="113" t="s">
        <v>438</v>
      </c>
      <c r="G31" s="113" t="s">
        <v>483</v>
      </c>
      <c r="H31" s="113">
        <v>905</v>
      </c>
      <c r="I31" s="113">
        <v>1222</v>
      </c>
      <c r="J31" s="113">
        <v>1</v>
      </c>
      <c r="K31" s="123">
        <v>179.28</v>
      </c>
    </row>
    <row r="32" spans="1:13">
      <c r="A32" s="113">
        <v>24</v>
      </c>
      <c r="B32" s="113" t="s">
        <v>484</v>
      </c>
      <c r="C32" s="113" t="s">
        <v>436</v>
      </c>
      <c r="D32" s="113" t="s">
        <v>485</v>
      </c>
      <c r="E32" s="113" t="s">
        <v>263</v>
      </c>
      <c r="F32" s="113" t="s">
        <v>438</v>
      </c>
      <c r="G32" s="113" t="s">
        <v>486</v>
      </c>
      <c r="H32" s="113">
        <v>995</v>
      </c>
      <c r="I32" s="113">
        <v>2239</v>
      </c>
      <c r="J32" s="113">
        <v>1</v>
      </c>
      <c r="K32" s="123">
        <v>609.48</v>
      </c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17" sqref="S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KITCHEN</v>
      </c>
      <c r="G4" s="118">
        <f>'BD Team'!H9</f>
        <v>1524</v>
      </c>
      <c r="H4" s="118">
        <f>'BD Team'!I9</f>
        <v>672</v>
      </c>
      <c r="I4" s="118">
        <f>'BD Team'!J9</f>
        <v>1</v>
      </c>
      <c r="J4" s="103">
        <f t="shared" ref="J4:J53" si="0">G4*H4*I4*10.764/1000000</f>
        <v>11.023713791999999</v>
      </c>
      <c r="K4" s="172">
        <f>'BD Team'!K9</f>
        <v>212.1</v>
      </c>
      <c r="L4" s="171">
        <f>K4*I4</f>
        <v>212.1</v>
      </c>
      <c r="M4" s="170">
        <f>L4*'Changable Values'!$D$4</f>
        <v>17604.3</v>
      </c>
      <c r="N4" s="170" t="str">
        <f>'BD Team'!E9</f>
        <v>24MM</v>
      </c>
      <c r="O4" s="172">
        <v>2938</v>
      </c>
      <c r="P4" s="241"/>
      <c r="Q4" s="173">
        <f>50*10.764</f>
        <v>538.19999999999993</v>
      </c>
      <c r="R4" s="185"/>
      <c r="S4" s="312"/>
      <c r="T4" s="313">
        <f>(G4+H4)*I4*2/300</f>
        <v>14.64</v>
      </c>
      <c r="U4" s="313">
        <f>SUM(G4:H4)*I4*2*4/1000</f>
        <v>17.568000000000001</v>
      </c>
      <c r="V4" s="313">
        <f>SUM(G4:H4)*I4*5*5*4/(1000*240)</f>
        <v>0.91500000000000004</v>
      </c>
      <c r="W4" s="313">
        <f>T4</f>
        <v>14.64</v>
      </c>
      <c r="X4" s="313">
        <f>W4*2</f>
        <v>29.28</v>
      </c>
      <c r="Y4" s="313">
        <f>SUM(G4:H4)*I4*4/1000</f>
        <v>8.7840000000000007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KITCHEN</v>
      </c>
      <c r="G5" s="118">
        <f>'BD Team'!H10</f>
        <v>1210</v>
      </c>
      <c r="H5" s="118">
        <f>'BD Team'!I10</f>
        <v>1056</v>
      </c>
      <c r="I5" s="118">
        <f>'BD Team'!J10</f>
        <v>1</v>
      </c>
      <c r="J5" s="103">
        <f t="shared" si="0"/>
        <v>13.753808639999999</v>
      </c>
      <c r="K5" s="172">
        <f>'BD Team'!K10</f>
        <v>223.59</v>
      </c>
      <c r="L5" s="171">
        <f t="shared" ref="L5:L53" si="1">K5*I5</f>
        <v>223.59</v>
      </c>
      <c r="M5" s="170">
        <f>L5*'Changable Values'!$D$4</f>
        <v>18557.97</v>
      </c>
      <c r="N5" s="170" t="str">
        <f>'BD Team'!E10</f>
        <v>24MM</v>
      </c>
      <c r="O5" s="172">
        <v>2938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15.106666666666667</v>
      </c>
      <c r="U5" s="313">
        <f t="shared" ref="U5:U68" si="3">SUM(G5:H5)*I5*2*4/1000</f>
        <v>18.128</v>
      </c>
      <c r="V5" s="313">
        <f t="shared" ref="V5:V68" si="4">SUM(G5:H5)*I5*5*5*4/(1000*240)</f>
        <v>0.94416666666666671</v>
      </c>
      <c r="W5" s="313">
        <f t="shared" ref="W5:W68" si="5">T5</f>
        <v>15.106666666666667</v>
      </c>
      <c r="X5" s="313">
        <f t="shared" ref="X5:X68" si="6">W5*2</f>
        <v>30.213333333333335</v>
      </c>
      <c r="Y5" s="313">
        <f t="shared" ref="Y5:Y68" si="7">SUM(G5:H5)*I5*4/1000</f>
        <v>9.0640000000000001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FRENCH CASEMENT DOOR</v>
      </c>
      <c r="E6" s="118" t="str">
        <f>'BD Team'!F11</f>
        <v>NO</v>
      </c>
      <c r="F6" s="121" t="str">
        <f>'BD Team'!G11</f>
        <v>GF - SW - BEDROOM</v>
      </c>
      <c r="G6" s="118">
        <f>'BD Team'!H11</f>
        <v>949</v>
      </c>
      <c r="H6" s="118">
        <f>'BD Team'!I11</f>
        <v>1805</v>
      </c>
      <c r="I6" s="118">
        <f>'BD Team'!J11</f>
        <v>1</v>
      </c>
      <c r="J6" s="103">
        <f t="shared" si="0"/>
        <v>18.438139979999999</v>
      </c>
      <c r="K6" s="172">
        <f>'BD Team'!K11</f>
        <v>325.94</v>
      </c>
      <c r="L6" s="171">
        <f t="shared" si="1"/>
        <v>325.94</v>
      </c>
      <c r="M6" s="170">
        <f>L6*'Changable Values'!$D$4</f>
        <v>27053.02</v>
      </c>
      <c r="N6" s="170" t="str">
        <f>'BD Team'!E11</f>
        <v>24MM</v>
      </c>
      <c r="O6" s="172">
        <v>2938</v>
      </c>
      <c r="P6" s="241"/>
      <c r="Q6" s="173"/>
      <c r="R6" s="185"/>
      <c r="S6" s="312"/>
      <c r="T6" s="313">
        <f t="shared" si="2"/>
        <v>18.36</v>
      </c>
      <c r="U6" s="313">
        <f t="shared" si="3"/>
        <v>22.032</v>
      </c>
      <c r="V6" s="313">
        <f t="shared" si="4"/>
        <v>1.1475</v>
      </c>
      <c r="W6" s="313">
        <f t="shared" si="5"/>
        <v>18.36</v>
      </c>
      <c r="X6" s="313">
        <f t="shared" si="6"/>
        <v>36.72</v>
      </c>
      <c r="Y6" s="313">
        <f t="shared" si="7"/>
        <v>11.016</v>
      </c>
    </row>
    <row r="7" spans="1:25" ht="28.5">
      <c r="A7" s="118">
        <f>'BD Team'!A12</f>
        <v>4</v>
      </c>
      <c r="B7" s="118" t="str">
        <f>'BD Team'!B12</f>
        <v>W4 &amp; W5</v>
      </c>
      <c r="C7" s="118" t="str">
        <f>'BD Team'!C12</f>
        <v>-</v>
      </c>
      <c r="D7" s="118" t="str">
        <f>'BD Team'!D12</f>
        <v>GLASS LOUVERS</v>
      </c>
      <c r="E7" s="118" t="str">
        <f>'BD Team'!F12</f>
        <v>NO</v>
      </c>
      <c r="F7" s="121" t="str">
        <f>'BD Team'!G12</f>
        <v>GF - SW - BEDROOM TOILET</v>
      </c>
      <c r="G7" s="118">
        <f>'BD Team'!H12</f>
        <v>909</v>
      </c>
      <c r="H7" s="118">
        <f>'BD Team'!I12</f>
        <v>601</v>
      </c>
      <c r="I7" s="118">
        <f>'BD Team'!J12</f>
        <v>2</v>
      </c>
      <c r="J7" s="103">
        <f t="shared" si="0"/>
        <v>11.760940151999998</v>
      </c>
      <c r="K7" s="172">
        <f>'BD Team'!K12</f>
        <v>13.83</v>
      </c>
      <c r="L7" s="171">
        <f t="shared" si="1"/>
        <v>27.66</v>
      </c>
      <c r="M7" s="170">
        <f>L7*'Changable Values'!$D$4</f>
        <v>2295.7800000000002</v>
      </c>
      <c r="N7" s="170" t="str">
        <f>'BD Team'!E12</f>
        <v>6MM (F)</v>
      </c>
      <c r="O7" s="172">
        <v>2003</v>
      </c>
      <c r="P7" s="241"/>
      <c r="Q7" s="173"/>
      <c r="R7" s="185"/>
      <c r="S7" s="312"/>
      <c r="T7" s="313">
        <f t="shared" si="2"/>
        <v>20.133333333333333</v>
      </c>
      <c r="U7" s="313">
        <f t="shared" si="3"/>
        <v>24.16</v>
      </c>
      <c r="V7" s="313">
        <f t="shared" si="4"/>
        <v>1.2583333333333333</v>
      </c>
      <c r="W7" s="313">
        <f t="shared" si="5"/>
        <v>20.133333333333333</v>
      </c>
      <c r="X7" s="313">
        <f t="shared" si="6"/>
        <v>40.266666666666666</v>
      </c>
      <c r="Y7" s="313">
        <f t="shared" si="7"/>
        <v>12.08</v>
      </c>
    </row>
    <row r="8" spans="1:25">
      <c r="A8" s="118">
        <f>'BD Team'!A13</f>
        <v>5</v>
      </c>
      <c r="B8" s="118" t="str">
        <f>'BD Team'!B13</f>
        <v>W6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NW BEDROOM</v>
      </c>
      <c r="G8" s="118">
        <f>'BD Team'!H13</f>
        <v>1228</v>
      </c>
      <c r="H8" s="118">
        <f>'BD Team'!I13</f>
        <v>1739</v>
      </c>
      <c r="I8" s="118">
        <f>'BD Team'!J13</f>
        <v>1</v>
      </c>
      <c r="J8" s="103">
        <f t="shared" si="0"/>
        <v>22.986435887999999</v>
      </c>
      <c r="K8" s="172">
        <f>'BD Team'!K13</f>
        <v>289.77999999999997</v>
      </c>
      <c r="L8" s="171">
        <f t="shared" si="1"/>
        <v>289.77999999999997</v>
      </c>
      <c r="M8" s="170">
        <f>L8*'Changable Values'!$D$4</f>
        <v>24051.739999999998</v>
      </c>
      <c r="N8" s="170" t="str">
        <f>'BD Team'!E13</f>
        <v>24MM</v>
      </c>
      <c r="O8" s="172">
        <v>2938</v>
      </c>
      <c r="P8" s="241"/>
      <c r="Q8" s="173">
        <f t="shared" ref="Q8:Q9" si="8">50*10.764</f>
        <v>538.19999999999993</v>
      </c>
      <c r="R8" s="185"/>
      <c r="S8" s="312"/>
      <c r="T8" s="313">
        <f t="shared" si="2"/>
        <v>19.78</v>
      </c>
      <c r="U8" s="313">
        <f t="shared" si="3"/>
        <v>23.736000000000001</v>
      </c>
      <c r="V8" s="313">
        <f t="shared" si="4"/>
        <v>1.2362500000000001</v>
      </c>
      <c r="W8" s="313">
        <f t="shared" si="5"/>
        <v>19.78</v>
      </c>
      <c r="X8" s="313">
        <f t="shared" si="6"/>
        <v>39.56</v>
      </c>
      <c r="Y8" s="313">
        <f t="shared" si="7"/>
        <v>11.868</v>
      </c>
    </row>
    <row r="9" spans="1:25">
      <c r="A9" s="118">
        <f>'BD Team'!A14</f>
        <v>6</v>
      </c>
      <c r="B9" s="118" t="str">
        <f>'BD Team'!B14</f>
        <v>W7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DINING</v>
      </c>
      <c r="G9" s="118">
        <f>'BD Team'!H14</f>
        <v>3064</v>
      </c>
      <c r="H9" s="118">
        <f>'BD Team'!I14</f>
        <v>1955</v>
      </c>
      <c r="I9" s="118">
        <f>'BD Team'!J14</f>
        <v>1</v>
      </c>
      <c r="J9" s="103">
        <f t="shared" si="0"/>
        <v>64.477651679999994</v>
      </c>
      <c r="K9" s="172">
        <f>'BD Team'!K14</f>
        <v>431.93</v>
      </c>
      <c r="L9" s="171">
        <f t="shared" si="1"/>
        <v>431.93</v>
      </c>
      <c r="M9" s="170">
        <f>L9*'Changable Values'!$D$4</f>
        <v>35850.19</v>
      </c>
      <c r="N9" s="170" t="str">
        <f>'BD Team'!E14</f>
        <v>24MM</v>
      </c>
      <c r="O9" s="172">
        <v>2938</v>
      </c>
      <c r="P9" s="241"/>
      <c r="Q9" s="173">
        <f t="shared" si="8"/>
        <v>538.19999999999993</v>
      </c>
      <c r="R9" s="185"/>
      <c r="S9" s="312"/>
      <c r="T9" s="313">
        <f t="shared" si="2"/>
        <v>33.46</v>
      </c>
      <c r="U9" s="313">
        <f t="shared" si="3"/>
        <v>40.152000000000001</v>
      </c>
      <c r="V9" s="313">
        <f t="shared" si="4"/>
        <v>2.0912500000000001</v>
      </c>
      <c r="W9" s="313">
        <f t="shared" si="5"/>
        <v>33.46</v>
      </c>
      <c r="X9" s="313">
        <f t="shared" si="6"/>
        <v>66.92</v>
      </c>
      <c r="Y9" s="313">
        <f t="shared" si="7"/>
        <v>20.076000000000001</v>
      </c>
    </row>
    <row r="10" spans="1:25">
      <c r="A10" s="118">
        <f>'BD Team'!A15</f>
        <v>7</v>
      </c>
      <c r="B10" s="118" t="str">
        <f>'BD Team'!B15</f>
        <v>W8</v>
      </c>
      <c r="C10" s="118" t="str">
        <f>'BD Team'!C15</f>
        <v>M15000</v>
      </c>
      <c r="D10" s="118" t="str">
        <f>'BD Team'!D15</f>
        <v>FRENCH CASEMENT DOOR</v>
      </c>
      <c r="E10" s="118" t="str">
        <f>'BD Team'!F15</f>
        <v>NO</v>
      </c>
      <c r="F10" s="121" t="str">
        <f>'BD Team'!G15</f>
        <v>GF - POOJA</v>
      </c>
      <c r="G10" s="118">
        <f>'BD Team'!H15</f>
        <v>894</v>
      </c>
      <c r="H10" s="118">
        <f>'BD Team'!I15</f>
        <v>1748</v>
      </c>
      <c r="I10" s="118">
        <f>'BD Team'!J15</f>
        <v>1</v>
      </c>
      <c r="J10" s="103">
        <f t="shared" si="0"/>
        <v>16.821031968</v>
      </c>
      <c r="K10" s="172">
        <f>'BD Team'!K15</f>
        <v>318.22000000000003</v>
      </c>
      <c r="L10" s="171">
        <f t="shared" si="1"/>
        <v>318.22000000000003</v>
      </c>
      <c r="M10" s="170">
        <f>L10*'Changable Values'!$D$4</f>
        <v>26412.260000000002</v>
      </c>
      <c r="N10" s="170" t="str">
        <f>'BD Team'!E15</f>
        <v>24MM</v>
      </c>
      <c r="O10" s="172">
        <v>2938</v>
      </c>
      <c r="P10" s="241"/>
      <c r="Q10" s="173"/>
      <c r="R10" s="185"/>
      <c r="S10" s="312"/>
      <c r="T10" s="313">
        <f t="shared" si="2"/>
        <v>17.613333333333333</v>
      </c>
      <c r="U10" s="313">
        <f t="shared" si="3"/>
        <v>21.135999999999999</v>
      </c>
      <c r="V10" s="313">
        <f t="shared" si="4"/>
        <v>1.1008333333333333</v>
      </c>
      <c r="W10" s="313">
        <f t="shared" si="5"/>
        <v>17.613333333333333</v>
      </c>
      <c r="X10" s="313">
        <f t="shared" si="6"/>
        <v>35.226666666666667</v>
      </c>
      <c r="Y10" s="313">
        <f t="shared" si="7"/>
        <v>10.568</v>
      </c>
    </row>
    <row r="11" spans="1:25">
      <c r="A11" s="118">
        <f>'BD Team'!A16</f>
        <v>8</v>
      </c>
      <c r="B11" s="118" t="str">
        <f>'BD Team'!B16</f>
        <v>W9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GF - STAIRCASE</v>
      </c>
      <c r="G11" s="118">
        <f>'BD Team'!H16</f>
        <v>1020</v>
      </c>
      <c r="H11" s="118">
        <f>'BD Team'!I16</f>
        <v>1151</v>
      </c>
      <c r="I11" s="118">
        <f>'BD Team'!J16</f>
        <v>1</v>
      </c>
      <c r="J11" s="103">
        <f t="shared" si="0"/>
        <v>12.637151279999999</v>
      </c>
      <c r="K11" s="172">
        <f>'BD Team'!K16</f>
        <v>50.92</v>
      </c>
      <c r="L11" s="171">
        <f t="shared" si="1"/>
        <v>50.92</v>
      </c>
      <c r="M11" s="170">
        <f>L11*'Changable Values'!$D$4</f>
        <v>4226.3600000000006</v>
      </c>
      <c r="N11" s="170" t="str">
        <f>'BD Team'!E16</f>
        <v>24MM</v>
      </c>
      <c r="O11" s="172">
        <v>2938</v>
      </c>
      <c r="P11" s="241"/>
      <c r="Q11" s="173"/>
      <c r="R11" s="185"/>
      <c r="S11" s="312"/>
      <c r="T11" s="313">
        <f t="shared" si="2"/>
        <v>14.473333333333333</v>
      </c>
      <c r="U11" s="313">
        <f t="shared" si="3"/>
        <v>17.367999999999999</v>
      </c>
      <c r="V11" s="313">
        <f t="shared" si="4"/>
        <v>0.90458333333333329</v>
      </c>
      <c r="W11" s="313">
        <f t="shared" si="5"/>
        <v>14.473333333333333</v>
      </c>
      <c r="X11" s="313">
        <f t="shared" si="6"/>
        <v>28.946666666666665</v>
      </c>
      <c r="Y11" s="313">
        <f t="shared" si="7"/>
        <v>8.6839999999999993</v>
      </c>
    </row>
    <row r="12" spans="1:25">
      <c r="A12" s="118">
        <f>'BD Team'!A17</f>
        <v>9</v>
      </c>
      <c r="B12" s="118" t="str">
        <f>'BD Team'!B17</f>
        <v>W10</v>
      </c>
      <c r="C12" s="118" t="str">
        <f>'BD Team'!C17</f>
        <v>M14600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1F - SW - BEDROOM</v>
      </c>
      <c r="G12" s="118">
        <f>'BD Team'!H17</f>
        <v>2146</v>
      </c>
      <c r="H12" s="118">
        <f>'BD Team'!I17</f>
        <v>1716</v>
      </c>
      <c r="I12" s="118">
        <f>'BD Team'!J17</f>
        <v>1</v>
      </c>
      <c r="J12" s="103">
        <f t="shared" si="0"/>
        <v>39.638817504000002</v>
      </c>
      <c r="K12" s="172">
        <f>'BD Team'!K17</f>
        <v>358.2</v>
      </c>
      <c r="L12" s="171">
        <f t="shared" si="1"/>
        <v>358.2</v>
      </c>
      <c r="M12" s="170">
        <f>L12*'Changable Values'!$D$4</f>
        <v>29730.6</v>
      </c>
      <c r="N12" s="170" t="str">
        <f>'BD Team'!E17</f>
        <v>24MM</v>
      </c>
      <c r="O12" s="172">
        <v>2938</v>
      </c>
      <c r="P12" s="241"/>
      <c r="Q12" s="173">
        <f>50*10.764</f>
        <v>538.19999999999993</v>
      </c>
      <c r="R12" s="185"/>
      <c r="S12" s="312"/>
      <c r="T12" s="313">
        <f t="shared" si="2"/>
        <v>25.746666666666666</v>
      </c>
      <c r="U12" s="313">
        <f t="shared" si="3"/>
        <v>30.896000000000001</v>
      </c>
      <c r="V12" s="313">
        <f t="shared" si="4"/>
        <v>1.6091666666666666</v>
      </c>
      <c r="W12" s="313">
        <f t="shared" si="5"/>
        <v>25.746666666666666</v>
      </c>
      <c r="X12" s="313">
        <f t="shared" si="6"/>
        <v>51.493333333333332</v>
      </c>
      <c r="Y12" s="313">
        <f t="shared" si="7"/>
        <v>15.448</v>
      </c>
    </row>
    <row r="13" spans="1:25">
      <c r="A13" s="118">
        <f>'BD Team'!A18</f>
        <v>10</v>
      </c>
      <c r="B13" s="118" t="str">
        <f>'BD Team'!B18</f>
        <v>W11</v>
      </c>
      <c r="C13" s="118" t="str">
        <f>'BD Team'!C18</f>
        <v>-</v>
      </c>
      <c r="D13" s="118" t="str">
        <f>'BD Team'!D18</f>
        <v>GLASS LOUVERS</v>
      </c>
      <c r="E13" s="118" t="str">
        <f>'BD Team'!F18</f>
        <v>NO</v>
      </c>
      <c r="F13" s="121" t="str">
        <f>'BD Team'!G18</f>
        <v>1F - SW - BEDROOM TOILET</v>
      </c>
      <c r="G13" s="118">
        <f>'BD Team'!H18</f>
        <v>1543</v>
      </c>
      <c r="H13" s="118">
        <f>'BD Team'!I18</f>
        <v>599</v>
      </c>
      <c r="I13" s="118">
        <f>'BD Team'!J18</f>
        <v>1</v>
      </c>
      <c r="J13" s="103">
        <f t="shared" si="0"/>
        <v>9.9487023479999994</v>
      </c>
      <c r="K13" s="172">
        <f>'BD Team'!K18</f>
        <v>23.38</v>
      </c>
      <c r="L13" s="171">
        <f t="shared" si="1"/>
        <v>23.38</v>
      </c>
      <c r="M13" s="170">
        <f>L13*'Changable Values'!$D$4</f>
        <v>1940.54</v>
      </c>
      <c r="N13" s="170" t="str">
        <f>'BD Team'!E18</f>
        <v>6MM (F)</v>
      </c>
      <c r="O13" s="172">
        <v>2003</v>
      </c>
      <c r="P13" s="241"/>
      <c r="Q13" s="173"/>
      <c r="R13" s="185"/>
      <c r="S13" s="312"/>
      <c r="T13" s="313">
        <f t="shared" si="2"/>
        <v>14.28</v>
      </c>
      <c r="U13" s="313">
        <f t="shared" si="3"/>
        <v>17.135999999999999</v>
      </c>
      <c r="V13" s="313">
        <f t="shared" si="4"/>
        <v>0.89249999999999996</v>
      </c>
      <c r="W13" s="313">
        <f t="shared" si="5"/>
        <v>14.28</v>
      </c>
      <c r="X13" s="313">
        <f t="shared" si="6"/>
        <v>28.56</v>
      </c>
      <c r="Y13" s="313">
        <f t="shared" si="7"/>
        <v>8.5679999999999996</v>
      </c>
    </row>
    <row r="14" spans="1:25">
      <c r="A14" s="118">
        <f>'BD Team'!A19</f>
        <v>11</v>
      </c>
      <c r="B14" s="118" t="str">
        <f>'BD Team'!B19</f>
        <v>W12</v>
      </c>
      <c r="C14" s="118" t="str">
        <f>'BD Team'!C19</f>
        <v>-</v>
      </c>
      <c r="D14" s="118" t="str">
        <f>'BD Team'!D19</f>
        <v>GLASS LOUVERS</v>
      </c>
      <c r="E14" s="118" t="str">
        <f>'BD Team'!F19</f>
        <v>NO</v>
      </c>
      <c r="F14" s="121" t="str">
        <f>'BD Team'!G19</f>
        <v>1F - NW - BEDROOM TOILET</v>
      </c>
      <c r="G14" s="118">
        <f>'BD Team'!H19</f>
        <v>1211</v>
      </c>
      <c r="H14" s="118">
        <f>'BD Team'!I19</f>
        <v>607</v>
      </c>
      <c r="I14" s="118">
        <f>'BD Team'!J19</f>
        <v>1</v>
      </c>
      <c r="J14" s="103">
        <f t="shared" si="0"/>
        <v>7.912368828</v>
      </c>
      <c r="K14" s="172">
        <f>'BD Team'!K19</f>
        <v>20.89</v>
      </c>
      <c r="L14" s="171">
        <f t="shared" si="1"/>
        <v>20.89</v>
      </c>
      <c r="M14" s="170">
        <f>L14*'Changable Values'!$D$4</f>
        <v>1733.8700000000001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2"/>
        <v>12.12</v>
      </c>
      <c r="U14" s="313">
        <f t="shared" si="3"/>
        <v>14.544</v>
      </c>
      <c r="V14" s="313">
        <f t="shared" si="4"/>
        <v>0.75749999999999995</v>
      </c>
      <c r="W14" s="313">
        <f t="shared" si="5"/>
        <v>12.12</v>
      </c>
      <c r="X14" s="313">
        <f t="shared" si="6"/>
        <v>24.24</v>
      </c>
      <c r="Y14" s="313">
        <f t="shared" si="7"/>
        <v>7.2720000000000002</v>
      </c>
    </row>
    <row r="15" spans="1:25">
      <c r="A15" s="118">
        <f>'BD Team'!A20</f>
        <v>12</v>
      </c>
      <c r="B15" s="118" t="str">
        <f>'BD Team'!B20</f>
        <v>W13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1F - NW - BEDROOM</v>
      </c>
      <c r="G15" s="118">
        <f>'BD Team'!H20</f>
        <v>1885</v>
      </c>
      <c r="H15" s="118">
        <f>'BD Team'!I20</f>
        <v>1758</v>
      </c>
      <c r="I15" s="118">
        <f>'BD Team'!J20</f>
        <v>1</v>
      </c>
      <c r="J15" s="103">
        <f t="shared" si="0"/>
        <v>35.670066119999994</v>
      </c>
      <c r="K15" s="172">
        <f>'BD Team'!K20</f>
        <v>346.55</v>
      </c>
      <c r="L15" s="171">
        <f t="shared" si="1"/>
        <v>346.55</v>
      </c>
      <c r="M15" s="170">
        <f>L15*'Changable Values'!$D$4</f>
        <v>28763.65</v>
      </c>
      <c r="N15" s="170" t="str">
        <f>'BD Team'!E20</f>
        <v>24MM</v>
      </c>
      <c r="O15" s="172">
        <v>2938</v>
      </c>
      <c r="P15" s="241"/>
      <c r="Q15" s="173">
        <f t="shared" ref="Q15:Q17" si="9">50*10.764</f>
        <v>538.19999999999993</v>
      </c>
      <c r="R15" s="185"/>
      <c r="S15" s="312"/>
      <c r="T15" s="313">
        <f t="shared" si="2"/>
        <v>24.286666666666665</v>
      </c>
      <c r="U15" s="313">
        <f t="shared" si="3"/>
        <v>29.143999999999998</v>
      </c>
      <c r="V15" s="313">
        <f t="shared" si="4"/>
        <v>1.5179166666666666</v>
      </c>
      <c r="W15" s="313">
        <f t="shared" si="5"/>
        <v>24.286666666666665</v>
      </c>
      <c r="X15" s="313">
        <f t="shared" si="6"/>
        <v>48.573333333333331</v>
      </c>
      <c r="Y15" s="313">
        <f t="shared" si="7"/>
        <v>14.571999999999999</v>
      </c>
    </row>
    <row r="16" spans="1:25">
      <c r="A16" s="118">
        <f>'BD Team'!A21</f>
        <v>13</v>
      </c>
      <c r="B16" s="118" t="str">
        <f>'BD Team'!B21</f>
        <v>W14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1F - FAMILY ROOM</v>
      </c>
      <c r="G16" s="118">
        <f>'BD Team'!H21</f>
        <v>3567</v>
      </c>
      <c r="H16" s="118">
        <f>'BD Team'!I21</f>
        <v>2332</v>
      </c>
      <c r="I16" s="118">
        <f>'BD Team'!J21</f>
        <v>1</v>
      </c>
      <c r="J16" s="103">
        <f t="shared" si="0"/>
        <v>89.537578415999988</v>
      </c>
      <c r="K16" s="172">
        <f>'BD Team'!K21</f>
        <v>522.17999999999995</v>
      </c>
      <c r="L16" s="171">
        <f t="shared" si="1"/>
        <v>522.17999999999995</v>
      </c>
      <c r="M16" s="170">
        <f>L16*'Changable Values'!$D$4</f>
        <v>43340.939999999995</v>
      </c>
      <c r="N16" s="170" t="str">
        <f>'BD Team'!E21</f>
        <v>24MM</v>
      </c>
      <c r="O16" s="172">
        <v>2938</v>
      </c>
      <c r="P16" s="241"/>
      <c r="Q16" s="173">
        <f t="shared" si="9"/>
        <v>538.19999999999993</v>
      </c>
      <c r="R16" s="185"/>
      <c r="S16" s="312">
        <v>5000</v>
      </c>
      <c r="T16" s="313">
        <f t="shared" si="2"/>
        <v>39.326666666666668</v>
      </c>
      <c r="U16" s="313">
        <f t="shared" si="3"/>
        <v>47.192</v>
      </c>
      <c r="V16" s="313">
        <f t="shared" si="4"/>
        <v>2.4579166666666667</v>
      </c>
      <c r="W16" s="313">
        <f t="shared" si="5"/>
        <v>39.326666666666668</v>
      </c>
      <c r="X16" s="313">
        <f t="shared" si="6"/>
        <v>78.653333333333336</v>
      </c>
      <c r="Y16" s="313">
        <f t="shared" si="7"/>
        <v>23.596</v>
      </c>
    </row>
    <row r="17" spans="1:25">
      <c r="A17" s="118">
        <f>'BD Team'!A22</f>
        <v>14</v>
      </c>
      <c r="B17" s="118" t="str">
        <f>'BD Team'!B22</f>
        <v>W15</v>
      </c>
      <c r="C17" s="118" t="str">
        <f>'BD Team'!C22</f>
        <v>M14600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1F - SE BEDROOM</v>
      </c>
      <c r="G17" s="118">
        <f>'BD Team'!H22</f>
        <v>1212</v>
      </c>
      <c r="H17" s="118">
        <f>'BD Team'!I22</f>
        <v>1750</v>
      </c>
      <c r="I17" s="118">
        <f>'BD Team'!J22</f>
        <v>1</v>
      </c>
      <c r="J17" s="103">
        <f t="shared" si="0"/>
        <v>22.830444</v>
      </c>
      <c r="K17" s="172">
        <f>'BD Team'!K22</f>
        <v>289.66000000000003</v>
      </c>
      <c r="L17" s="171">
        <f t="shared" si="1"/>
        <v>289.66000000000003</v>
      </c>
      <c r="M17" s="170">
        <f>L17*'Changable Values'!$D$4</f>
        <v>24041.780000000002</v>
      </c>
      <c r="N17" s="170" t="str">
        <f>'BD Team'!E22</f>
        <v>24MM</v>
      </c>
      <c r="O17" s="172">
        <v>2938</v>
      </c>
      <c r="P17" s="241"/>
      <c r="Q17" s="173">
        <f t="shared" si="9"/>
        <v>538.19999999999993</v>
      </c>
      <c r="R17" s="185"/>
      <c r="S17" s="312"/>
      <c r="T17" s="313">
        <f t="shared" si="2"/>
        <v>19.746666666666666</v>
      </c>
      <c r="U17" s="313">
        <f t="shared" si="3"/>
        <v>23.696000000000002</v>
      </c>
      <c r="V17" s="313">
        <f t="shared" si="4"/>
        <v>1.2341666666666666</v>
      </c>
      <c r="W17" s="313">
        <f t="shared" si="5"/>
        <v>19.746666666666666</v>
      </c>
      <c r="X17" s="313">
        <f t="shared" si="6"/>
        <v>39.493333333333332</v>
      </c>
      <c r="Y17" s="313">
        <f t="shared" si="7"/>
        <v>11.848000000000001</v>
      </c>
    </row>
    <row r="18" spans="1:25">
      <c r="A18" s="118">
        <f>'BD Team'!A23</f>
        <v>15</v>
      </c>
      <c r="B18" s="118" t="str">
        <f>'BD Team'!B23</f>
        <v>W16</v>
      </c>
      <c r="C18" s="118" t="str">
        <f>'BD Team'!C23</f>
        <v>-</v>
      </c>
      <c r="D18" s="118" t="str">
        <f>'BD Team'!D23</f>
        <v>GLASS LOUVERS</v>
      </c>
      <c r="E18" s="118" t="str">
        <f>'BD Team'!F23</f>
        <v>NO</v>
      </c>
      <c r="F18" s="121" t="str">
        <f>'BD Team'!G23</f>
        <v>1F - SE BEDROOM TOILET</v>
      </c>
      <c r="G18" s="118">
        <f>'BD Team'!H23</f>
        <v>610</v>
      </c>
      <c r="H18" s="118">
        <f>'BD Team'!I23</f>
        <v>455</v>
      </c>
      <c r="I18" s="118">
        <f>'BD Team'!J23</f>
        <v>1</v>
      </c>
      <c r="J18" s="103">
        <f t="shared" si="0"/>
        <v>2.9875481999999995</v>
      </c>
      <c r="K18" s="172">
        <f>'BD Team'!K23</f>
        <v>9.73</v>
      </c>
      <c r="L18" s="171">
        <f t="shared" si="1"/>
        <v>9.73</v>
      </c>
      <c r="M18" s="170">
        <f>L18*'Changable Values'!$D$4</f>
        <v>807.59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7.1</v>
      </c>
      <c r="U18" s="313">
        <f t="shared" si="3"/>
        <v>8.52</v>
      </c>
      <c r="V18" s="313">
        <f t="shared" si="4"/>
        <v>0.44374999999999998</v>
      </c>
      <c r="W18" s="313">
        <f t="shared" si="5"/>
        <v>7.1</v>
      </c>
      <c r="X18" s="313">
        <f t="shared" si="6"/>
        <v>14.2</v>
      </c>
      <c r="Y18" s="313">
        <f t="shared" si="7"/>
        <v>4.26</v>
      </c>
    </row>
    <row r="19" spans="1:25">
      <c r="A19" s="118">
        <f>'BD Team'!A24</f>
        <v>16</v>
      </c>
      <c r="B19" s="118" t="str">
        <f>'BD Team'!B24</f>
        <v>W17</v>
      </c>
      <c r="C19" s="118" t="str">
        <f>'BD Team'!C24</f>
        <v>M15000</v>
      </c>
      <c r="D19" s="118" t="str">
        <f>'BD Team'!D24</f>
        <v>SIDE HUNG WINDOW</v>
      </c>
      <c r="E19" s="118" t="str">
        <f>'BD Team'!F24</f>
        <v>NO</v>
      </c>
      <c r="F19" s="121" t="str">
        <f>'BD Team'!G24</f>
        <v>1F - SE BEDROOM</v>
      </c>
      <c r="G19" s="118">
        <f>'BD Team'!H24</f>
        <v>645</v>
      </c>
      <c r="H19" s="118">
        <f>'BD Team'!I24</f>
        <v>1756</v>
      </c>
      <c r="I19" s="118">
        <f>'BD Team'!J24</f>
        <v>1</v>
      </c>
      <c r="J19" s="103">
        <f t="shared" si="0"/>
        <v>12.191521679999999</v>
      </c>
      <c r="K19" s="172">
        <f>'BD Team'!K24</f>
        <v>198.14</v>
      </c>
      <c r="L19" s="171">
        <f t="shared" si="1"/>
        <v>198.14</v>
      </c>
      <c r="M19" s="170">
        <f>L19*'Changable Values'!$D$4</f>
        <v>16445.62</v>
      </c>
      <c r="N19" s="170" t="str">
        <f>'BD Team'!E24</f>
        <v>24MM</v>
      </c>
      <c r="O19" s="172">
        <v>2938</v>
      </c>
      <c r="P19" s="241"/>
      <c r="Q19" s="173"/>
      <c r="R19" s="185"/>
      <c r="S19" s="312"/>
      <c r="T19" s="313">
        <f t="shared" si="2"/>
        <v>16.006666666666668</v>
      </c>
      <c r="U19" s="313">
        <f t="shared" si="3"/>
        <v>19.207999999999998</v>
      </c>
      <c r="V19" s="313">
        <f t="shared" si="4"/>
        <v>1.0004166666666667</v>
      </c>
      <c r="W19" s="313">
        <f t="shared" si="5"/>
        <v>16.006666666666668</v>
      </c>
      <c r="X19" s="313">
        <f t="shared" si="6"/>
        <v>32.013333333333335</v>
      </c>
      <c r="Y19" s="313">
        <f t="shared" si="7"/>
        <v>9.6039999999999992</v>
      </c>
    </row>
    <row r="20" spans="1:25">
      <c r="A20" s="118">
        <f>'BD Team'!A25</f>
        <v>17</v>
      </c>
      <c r="B20" s="118" t="str">
        <f>'BD Team'!B25</f>
        <v>W18</v>
      </c>
      <c r="C20" s="118" t="str">
        <f>'BD Team'!C25</f>
        <v>M15000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1F - STAIRCASE</v>
      </c>
      <c r="G20" s="118">
        <f>'BD Team'!H25</f>
        <v>1004</v>
      </c>
      <c r="H20" s="118">
        <f>'BD Team'!I25</f>
        <v>1648</v>
      </c>
      <c r="I20" s="118">
        <f>'BD Team'!J25</f>
        <v>1</v>
      </c>
      <c r="J20" s="103">
        <f t="shared" si="0"/>
        <v>17.810028287999998</v>
      </c>
      <c r="K20" s="172">
        <f>'BD Team'!K25</f>
        <v>60.48</v>
      </c>
      <c r="L20" s="171">
        <f t="shared" si="1"/>
        <v>60.48</v>
      </c>
      <c r="M20" s="170">
        <f>L20*'Changable Values'!$D$4</f>
        <v>5019.84</v>
      </c>
      <c r="N20" s="170" t="str">
        <f>'BD Team'!E25</f>
        <v>24MM</v>
      </c>
      <c r="O20" s="172">
        <v>2938</v>
      </c>
      <c r="P20" s="241"/>
      <c r="Q20" s="173"/>
      <c r="R20" s="185"/>
      <c r="S20" s="312"/>
      <c r="T20" s="313">
        <f t="shared" si="2"/>
        <v>17.68</v>
      </c>
      <c r="U20" s="313">
        <f t="shared" si="3"/>
        <v>21.216000000000001</v>
      </c>
      <c r="V20" s="313">
        <f t="shared" si="4"/>
        <v>1.105</v>
      </c>
      <c r="W20" s="313">
        <f t="shared" si="5"/>
        <v>17.68</v>
      </c>
      <c r="X20" s="313">
        <f t="shared" si="6"/>
        <v>35.36</v>
      </c>
      <c r="Y20" s="313">
        <f t="shared" si="7"/>
        <v>10.608000000000001</v>
      </c>
    </row>
    <row r="21" spans="1:25">
      <c r="A21" s="118">
        <f>'BD Team'!A26</f>
        <v>18</v>
      </c>
      <c r="B21" s="118" t="str">
        <f>'BD Team'!B26</f>
        <v>W19</v>
      </c>
      <c r="C21" s="118" t="str">
        <f>'BD Team'!C26</f>
        <v>M15000</v>
      </c>
      <c r="D21" s="118" t="str">
        <f>'BD Team'!D26</f>
        <v>FIXED GLASS</v>
      </c>
      <c r="E21" s="118" t="str">
        <f>'BD Team'!F26</f>
        <v>NO</v>
      </c>
      <c r="F21" s="121" t="str">
        <f>'BD Team'!G26</f>
        <v>1F - STAIRCASE</v>
      </c>
      <c r="G21" s="118">
        <f>'BD Team'!H26</f>
        <v>1803</v>
      </c>
      <c r="H21" s="118">
        <f>'BD Team'!I26</f>
        <v>1217</v>
      </c>
      <c r="I21" s="118">
        <f>'BD Team'!J26</f>
        <v>1</v>
      </c>
      <c r="J21" s="103">
        <f t="shared" si="0"/>
        <v>23.618917763999999</v>
      </c>
      <c r="K21" s="172">
        <f>'BD Team'!K26</f>
        <v>68.55</v>
      </c>
      <c r="L21" s="171">
        <f t="shared" si="1"/>
        <v>68.55</v>
      </c>
      <c r="M21" s="170">
        <f>L21*'Changable Values'!$D$4</f>
        <v>5689.65</v>
      </c>
      <c r="N21" s="170" t="str">
        <f>'BD Team'!E26</f>
        <v>24MM</v>
      </c>
      <c r="O21" s="172">
        <v>2938</v>
      </c>
      <c r="P21" s="241"/>
      <c r="Q21" s="173"/>
      <c r="R21" s="185"/>
      <c r="S21" s="312"/>
      <c r="T21" s="313">
        <f t="shared" si="2"/>
        <v>20.133333333333333</v>
      </c>
      <c r="U21" s="313">
        <f t="shared" si="3"/>
        <v>24.16</v>
      </c>
      <c r="V21" s="313">
        <f t="shared" si="4"/>
        <v>1.2583333333333333</v>
      </c>
      <c r="W21" s="313">
        <f t="shared" si="5"/>
        <v>20.133333333333333</v>
      </c>
      <c r="X21" s="313">
        <f t="shared" si="6"/>
        <v>40.266666666666666</v>
      </c>
      <c r="Y21" s="313">
        <f t="shared" si="7"/>
        <v>12.08</v>
      </c>
    </row>
    <row r="22" spans="1:25">
      <c r="A22" s="118">
        <f>'BD Team'!A27</f>
        <v>19</v>
      </c>
      <c r="B22" s="118" t="str">
        <f>'BD Team'!B27</f>
        <v>W20</v>
      </c>
      <c r="C22" s="118" t="str">
        <f>'BD Team'!C27</f>
        <v>M14600</v>
      </c>
      <c r="D22" s="118" t="str">
        <f>'BD Team'!D27</f>
        <v>3 TRACK 2 SHUTTER SLIDING WINDOW</v>
      </c>
      <c r="E22" s="118" t="str">
        <f>'BD Team'!F27</f>
        <v>SS</v>
      </c>
      <c r="F22" s="121" t="str">
        <f>'BD Team'!G27</f>
        <v>2F - GYM ROOM</v>
      </c>
      <c r="G22" s="118">
        <f>'BD Team'!H27</f>
        <v>1987</v>
      </c>
      <c r="H22" s="118">
        <f>'BD Team'!I27</f>
        <v>1187</v>
      </c>
      <c r="I22" s="118">
        <f>'BD Team'!J27</f>
        <v>1</v>
      </c>
      <c r="J22" s="103">
        <f t="shared" si="0"/>
        <v>25.387636715999999</v>
      </c>
      <c r="K22" s="172">
        <f>'BD Team'!K27</f>
        <v>286.37</v>
      </c>
      <c r="L22" s="171">
        <f t="shared" si="1"/>
        <v>286.37</v>
      </c>
      <c r="M22" s="170">
        <f>L22*'Changable Values'!$D$4</f>
        <v>23768.71</v>
      </c>
      <c r="N22" s="170" t="str">
        <f>'BD Team'!E27</f>
        <v>24MM</v>
      </c>
      <c r="O22" s="172">
        <v>2938</v>
      </c>
      <c r="P22" s="241"/>
      <c r="Q22" s="173">
        <f>50*10.764</f>
        <v>538.19999999999993</v>
      </c>
      <c r="R22" s="185"/>
      <c r="S22" s="312"/>
      <c r="T22" s="313">
        <f t="shared" si="2"/>
        <v>21.16</v>
      </c>
      <c r="U22" s="313">
        <f t="shared" si="3"/>
        <v>25.391999999999999</v>
      </c>
      <c r="V22" s="313">
        <f t="shared" si="4"/>
        <v>1.3225</v>
      </c>
      <c r="W22" s="313">
        <f t="shared" si="5"/>
        <v>21.16</v>
      </c>
      <c r="X22" s="313">
        <f t="shared" si="6"/>
        <v>42.32</v>
      </c>
      <c r="Y22" s="313">
        <f t="shared" si="7"/>
        <v>12.696</v>
      </c>
    </row>
    <row r="23" spans="1:25">
      <c r="A23" s="118">
        <f>'BD Team'!A28</f>
        <v>20</v>
      </c>
      <c r="B23" s="118" t="str">
        <f>'BD Team'!B28</f>
        <v>W21</v>
      </c>
      <c r="C23" s="118" t="str">
        <f>'BD Team'!C28</f>
        <v>-</v>
      </c>
      <c r="D23" s="118" t="str">
        <f>'BD Team'!D28</f>
        <v>GLASS LOUVERS</v>
      </c>
      <c r="E23" s="118" t="str">
        <f>'BD Team'!F28</f>
        <v>NO</v>
      </c>
      <c r="F23" s="121" t="str">
        <f>'BD Team'!G28</f>
        <v>2F - GYM ROOM TOILET</v>
      </c>
      <c r="G23" s="118">
        <f>'BD Team'!H28</f>
        <v>607</v>
      </c>
      <c r="H23" s="118">
        <f>'BD Team'!I28</f>
        <v>359</v>
      </c>
      <c r="I23" s="118">
        <f>'BD Team'!J28</f>
        <v>1</v>
      </c>
      <c r="J23" s="103">
        <f t="shared" si="0"/>
        <v>2.3456155319999996</v>
      </c>
      <c r="K23" s="172">
        <f>'BD Team'!K28</f>
        <v>8.52</v>
      </c>
      <c r="L23" s="171">
        <f t="shared" si="1"/>
        <v>8.52</v>
      </c>
      <c r="M23" s="170">
        <f>L23*'Changable Values'!$D$4</f>
        <v>707.16</v>
      </c>
      <c r="N23" s="170" t="str">
        <f>'BD Team'!E28</f>
        <v>6MM (F)</v>
      </c>
      <c r="O23" s="172">
        <v>2003</v>
      </c>
      <c r="P23" s="241"/>
      <c r="Q23" s="173"/>
      <c r="R23" s="185"/>
      <c r="S23" s="312"/>
      <c r="T23" s="313">
        <f t="shared" si="2"/>
        <v>6.44</v>
      </c>
      <c r="U23" s="313">
        <f t="shared" si="3"/>
        <v>7.7279999999999998</v>
      </c>
      <c r="V23" s="313">
        <f t="shared" si="4"/>
        <v>0.40250000000000002</v>
      </c>
      <c r="W23" s="313">
        <f t="shared" si="5"/>
        <v>6.44</v>
      </c>
      <c r="X23" s="313">
        <f t="shared" si="6"/>
        <v>12.88</v>
      </c>
      <c r="Y23" s="313">
        <f t="shared" si="7"/>
        <v>3.8639999999999999</v>
      </c>
    </row>
    <row r="24" spans="1:25">
      <c r="A24" s="118">
        <f>'BD Team'!A29</f>
        <v>21</v>
      </c>
      <c r="B24" s="118" t="str">
        <f>'BD Team'!B29</f>
        <v>W22</v>
      </c>
      <c r="C24" s="118" t="str">
        <f>'BD Team'!C29</f>
        <v>M14600</v>
      </c>
      <c r="D24" s="118" t="str">
        <f>'BD Team'!D29</f>
        <v>3 TRACK 2 SHUTTER SLIDING DOOR</v>
      </c>
      <c r="E24" s="118" t="str">
        <f>'BD Team'!F29</f>
        <v>SS</v>
      </c>
      <c r="F24" s="121" t="str">
        <f>'BD Team'!G29</f>
        <v>2F - HOME THEATER</v>
      </c>
      <c r="G24" s="118">
        <f>'BD Team'!H29</f>
        <v>2929</v>
      </c>
      <c r="H24" s="118">
        <f>'BD Team'!I29</f>
        <v>2123</v>
      </c>
      <c r="I24" s="118">
        <f>'BD Team'!J29</f>
        <v>1</v>
      </c>
      <c r="J24" s="103">
        <f t="shared" si="0"/>
        <v>66.933425987999996</v>
      </c>
      <c r="K24" s="172">
        <f>'BD Team'!K29</f>
        <v>470.99</v>
      </c>
      <c r="L24" s="171">
        <f t="shared" si="1"/>
        <v>470.99</v>
      </c>
      <c r="M24" s="170">
        <f>L24*'Changable Values'!$D$4</f>
        <v>39092.17</v>
      </c>
      <c r="N24" s="170" t="str">
        <f>'BD Team'!E29</f>
        <v>24MM</v>
      </c>
      <c r="O24" s="172">
        <v>2938</v>
      </c>
      <c r="P24" s="241"/>
      <c r="Q24" s="173">
        <f>50*10.764</f>
        <v>538.19999999999993</v>
      </c>
      <c r="R24" s="185"/>
      <c r="S24" s="312"/>
      <c r="T24" s="313">
        <f t="shared" si="2"/>
        <v>33.68</v>
      </c>
      <c r="U24" s="313">
        <f t="shared" si="3"/>
        <v>40.415999999999997</v>
      </c>
      <c r="V24" s="313">
        <f t="shared" si="4"/>
        <v>2.105</v>
      </c>
      <c r="W24" s="313">
        <f t="shared" si="5"/>
        <v>33.68</v>
      </c>
      <c r="X24" s="313">
        <f t="shared" si="6"/>
        <v>67.36</v>
      </c>
      <c r="Y24" s="313">
        <f t="shared" si="7"/>
        <v>20.207999999999998</v>
      </c>
    </row>
    <row r="25" spans="1:25">
      <c r="A25" s="118">
        <f>'BD Team'!A30</f>
        <v>22</v>
      </c>
      <c r="B25" s="118" t="str">
        <f>'BD Team'!B30</f>
        <v>W23</v>
      </c>
      <c r="C25" s="118" t="str">
        <f>'BD Team'!C30</f>
        <v>-</v>
      </c>
      <c r="D25" s="118" t="str">
        <f>'BD Team'!D30</f>
        <v>GLASS LOUVERS</v>
      </c>
      <c r="E25" s="118" t="str">
        <f>'BD Team'!F30</f>
        <v>NO</v>
      </c>
      <c r="F25" s="121" t="str">
        <f>'BD Team'!G30</f>
        <v>2F - SERVANT TOILET</v>
      </c>
      <c r="G25" s="118">
        <f>'BD Team'!H30</f>
        <v>610</v>
      </c>
      <c r="H25" s="118">
        <f>'BD Team'!I30</f>
        <v>354</v>
      </c>
      <c r="I25" s="118">
        <f>'BD Team'!J30</f>
        <v>1</v>
      </c>
      <c r="J25" s="103">
        <f t="shared" si="0"/>
        <v>2.3243781599999997</v>
      </c>
      <c r="K25" s="172">
        <f>'BD Team'!K30</f>
        <v>8.52</v>
      </c>
      <c r="L25" s="171">
        <f t="shared" si="1"/>
        <v>8.52</v>
      </c>
      <c r="M25" s="170">
        <f>L25*'Changable Values'!$D$4</f>
        <v>707.16</v>
      </c>
      <c r="N25" s="170" t="str">
        <f>'BD Team'!E30</f>
        <v>6MM (F)</v>
      </c>
      <c r="O25" s="172">
        <v>2003</v>
      </c>
      <c r="P25" s="241"/>
      <c r="Q25" s="173"/>
      <c r="R25" s="185"/>
      <c r="S25" s="312"/>
      <c r="T25" s="313">
        <f t="shared" si="2"/>
        <v>6.4266666666666667</v>
      </c>
      <c r="U25" s="313">
        <f t="shared" si="3"/>
        <v>7.7119999999999997</v>
      </c>
      <c r="V25" s="313">
        <f t="shared" si="4"/>
        <v>0.40166666666666667</v>
      </c>
      <c r="W25" s="313">
        <f t="shared" si="5"/>
        <v>6.4266666666666667</v>
      </c>
      <c r="X25" s="313">
        <f t="shared" si="6"/>
        <v>12.853333333333333</v>
      </c>
      <c r="Y25" s="313">
        <f t="shared" si="7"/>
        <v>3.8559999999999999</v>
      </c>
    </row>
    <row r="26" spans="1:25">
      <c r="A26" s="118">
        <f>'BD Team'!A31</f>
        <v>23</v>
      </c>
      <c r="B26" s="118" t="str">
        <f>'BD Team'!B31</f>
        <v>W24</v>
      </c>
      <c r="C26" s="118" t="str">
        <f>'BD Team'!C31</f>
        <v>M15000</v>
      </c>
      <c r="D26" s="118" t="str">
        <f>'BD Team'!D31</f>
        <v>SIDE HUNG WINDOW</v>
      </c>
      <c r="E26" s="118" t="str">
        <f>'BD Team'!F31</f>
        <v>NO</v>
      </c>
      <c r="F26" s="121" t="str">
        <f>'BD Team'!G31</f>
        <v>2F - SERVANT BEDROOM</v>
      </c>
      <c r="G26" s="118">
        <f>'BD Team'!H31</f>
        <v>905</v>
      </c>
      <c r="H26" s="118">
        <f>'BD Team'!I31</f>
        <v>1222</v>
      </c>
      <c r="I26" s="118">
        <f>'BD Team'!J31</f>
        <v>1</v>
      </c>
      <c r="J26" s="103">
        <f t="shared" si="0"/>
        <v>11.904015239999998</v>
      </c>
      <c r="K26" s="172">
        <f>'BD Team'!K31</f>
        <v>179.28</v>
      </c>
      <c r="L26" s="171">
        <f t="shared" si="1"/>
        <v>179.28</v>
      </c>
      <c r="M26" s="170">
        <f>L26*'Changable Values'!$D$4</f>
        <v>14880.24</v>
      </c>
      <c r="N26" s="170" t="str">
        <f>'BD Team'!E31</f>
        <v>24MM</v>
      </c>
      <c r="O26" s="172">
        <v>2938</v>
      </c>
      <c r="P26" s="241"/>
      <c r="Q26" s="173"/>
      <c r="R26" s="185"/>
      <c r="S26" s="312"/>
      <c r="T26" s="313">
        <f t="shared" si="2"/>
        <v>14.18</v>
      </c>
      <c r="U26" s="313">
        <f t="shared" si="3"/>
        <v>17.015999999999998</v>
      </c>
      <c r="V26" s="313">
        <f t="shared" si="4"/>
        <v>0.88624999999999998</v>
      </c>
      <c r="W26" s="313">
        <f t="shared" si="5"/>
        <v>14.18</v>
      </c>
      <c r="X26" s="313">
        <f t="shared" si="6"/>
        <v>28.36</v>
      </c>
      <c r="Y26" s="313">
        <f t="shared" si="7"/>
        <v>8.5079999999999991</v>
      </c>
    </row>
    <row r="27" spans="1:25" ht="28.5">
      <c r="A27" s="118">
        <f>'BD Team'!A32</f>
        <v>24</v>
      </c>
      <c r="B27" s="118" t="str">
        <f>'BD Team'!B32</f>
        <v>W25</v>
      </c>
      <c r="C27" s="118" t="str">
        <f>'BD Team'!C32</f>
        <v>M15000</v>
      </c>
      <c r="D27" s="118" t="str">
        <f>'BD Team'!D32</f>
        <v>SINGLE DOOR</v>
      </c>
      <c r="E27" s="118" t="str">
        <f>'BD Team'!F32</f>
        <v>NO</v>
      </c>
      <c r="F27" s="121" t="str">
        <f>'BD Team'!G32</f>
        <v>2F - OPEN TERRANCE DOOR</v>
      </c>
      <c r="G27" s="118">
        <f>'BD Team'!H32</f>
        <v>995</v>
      </c>
      <c r="H27" s="118">
        <f>'BD Team'!I32</f>
        <v>2239</v>
      </c>
      <c r="I27" s="118">
        <f>'BD Team'!J32</f>
        <v>1</v>
      </c>
      <c r="J27" s="103">
        <f t="shared" si="0"/>
        <v>23.980093019999998</v>
      </c>
      <c r="K27" s="172">
        <f>'BD Team'!K32</f>
        <v>609.48</v>
      </c>
      <c r="L27" s="171">
        <f t="shared" si="1"/>
        <v>609.48</v>
      </c>
      <c r="M27" s="170">
        <f>L27*'Changable Values'!$D$4</f>
        <v>50586.840000000004</v>
      </c>
      <c r="N27" s="170" t="str">
        <f>'BD Team'!E32</f>
        <v>24MM</v>
      </c>
      <c r="O27" s="172">
        <v>2938</v>
      </c>
      <c r="P27" s="241"/>
      <c r="Q27" s="173"/>
      <c r="R27" s="185"/>
      <c r="S27" s="312"/>
      <c r="T27" s="313">
        <f t="shared" si="2"/>
        <v>21.56</v>
      </c>
      <c r="U27" s="313">
        <f t="shared" si="3"/>
        <v>25.872</v>
      </c>
      <c r="V27" s="313">
        <f t="shared" si="4"/>
        <v>1.3474999999999999</v>
      </c>
      <c r="W27" s="313">
        <f t="shared" si="5"/>
        <v>21.56</v>
      </c>
      <c r="X27" s="313">
        <f t="shared" si="6"/>
        <v>43.12</v>
      </c>
      <c r="Y27" s="313">
        <f t="shared" si="7"/>
        <v>12.936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5327.23</v>
      </c>
      <c r="L104" s="168">
        <f>SUM(L4:L103)</f>
        <v>5341.0599999999995</v>
      </c>
      <c r="M104" s="168">
        <f>SUM(M4:M103)</f>
        <v>443307.98000000004</v>
      </c>
      <c r="T104" s="314">
        <f t="shared" ref="T104:Y104" si="18">SUM(T4:T103)</f>
        <v>453.44000000000011</v>
      </c>
      <c r="U104" s="314">
        <f t="shared" si="18"/>
        <v>544.12799999999993</v>
      </c>
      <c r="V104" s="314">
        <f t="shared" si="18"/>
        <v>28.340000000000007</v>
      </c>
      <c r="W104" s="314">
        <f t="shared" si="18"/>
        <v>453.44000000000011</v>
      </c>
      <c r="X104" s="314">
        <f t="shared" si="18"/>
        <v>906.88000000000022</v>
      </c>
      <c r="Y104" s="314">
        <f t="shared" si="18"/>
        <v>272.06399999999996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24MM</v>
      </c>
      <c r="F8" s="68">
        <f>Pricing!G4</f>
        <v>1524</v>
      </c>
      <c r="G8" s="68">
        <f>Pricing!H4</f>
        <v>672</v>
      </c>
      <c r="H8" s="100">
        <f t="shared" ref="H8:H57" si="0">(F8*G8)/1000000</f>
        <v>1.0241279999999999</v>
      </c>
      <c r="I8" s="70">
        <f>Pricing!I4</f>
        <v>1</v>
      </c>
      <c r="J8" s="69">
        <f t="shared" ref="J8" si="1">H8*I8</f>
        <v>1.0241279999999999</v>
      </c>
      <c r="K8" s="71">
        <f t="shared" ref="K8" si="2">J8*10.764</f>
        <v>11.023713791999999</v>
      </c>
      <c r="L8" s="69"/>
      <c r="M8" s="72"/>
      <c r="N8" s="72"/>
      <c r="O8" s="72">
        <f t="shared" ref="O8:O35" si="3">N8*M8*L8/1000000</f>
        <v>0</v>
      </c>
      <c r="P8" s="73">
        <f>Pricing!M4</f>
        <v>17604.3</v>
      </c>
      <c r="Q8" s="74">
        <f t="shared" ref="Q8:Q56" si="4">P8*$Q$6</f>
        <v>1760.43</v>
      </c>
      <c r="R8" s="74">
        <f t="shared" ref="R8:R56" si="5">(P8+Q8)*$R$6</f>
        <v>2130.1203</v>
      </c>
      <c r="S8" s="74">
        <f t="shared" ref="S8:S56" si="6">(P8+Q8+R8)*$S$6</f>
        <v>107.47425149999999</v>
      </c>
      <c r="T8" s="74">
        <f t="shared" ref="T8:T56" si="7">(P8+Q8+R8+S8)*$T$6</f>
        <v>216.02324551499999</v>
      </c>
      <c r="U8" s="72">
        <f t="shared" ref="U8:U56" si="8">SUM(P8:T8)</f>
        <v>21818.347797014998</v>
      </c>
      <c r="V8" s="74">
        <f t="shared" ref="V8:V56" si="9">U8*$V$6</f>
        <v>327.27521695522495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3008.8880639999998</v>
      </c>
      <c r="AE8" s="76">
        <f>((((F8+G8)*2)/305)*I8*$AE$7)</f>
        <v>360</v>
      </c>
      <c r="AF8" s="346">
        <f>(((((F8*4)+(G8*4))/1000)*$AF$6*$AG$6)/300)*I8*$AF$7</f>
        <v>368.92800000000005</v>
      </c>
      <c r="AG8" s="347"/>
      <c r="AH8" s="76">
        <f>(((F8+G8))*I8/1000)*8*$AH$7</f>
        <v>13.176000000000002</v>
      </c>
      <c r="AI8" s="76">
        <f t="shared" ref="AI8:AI57" si="15">(((F8+G8)*2*I8)/1000)*2*$AI$7</f>
        <v>43.92</v>
      </c>
      <c r="AJ8" s="76">
        <f>J8*Pricing!Q4</f>
        <v>551.18568959999993</v>
      </c>
      <c r="AK8" s="76">
        <f>J8*Pricing!R4</f>
        <v>0</v>
      </c>
      <c r="AL8" s="76">
        <f t="shared" ref="AL8:AL39" si="16">J8*$AL$6</f>
        <v>1102.3713791999999</v>
      </c>
      <c r="AM8" s="77">
        <f t="shared" ref="AM8:AM39" si="17">$AM$6*J8</f>
        <v>0</v>
      </c>
      <c r="AN8" s="76">
        <f t="shared" ref="AN8:AN39" si="18">$AN$6*J8</f>
        <v>1102.3713791999999</v>
      </c>
      <c r="AO8" s="72">
        <f t="shared" ref="AO8:AO39" si="19">SUM(U8:V8)+SUM(AC8:AI8)-AD8</f>
        <v>22931.647013970225</v>
      </c>
      <c r="AP8" s="74">
        <f t="shared" ref="AP8:AP39" si="20">AO8*$AP$6</f>
        <v>28664.558767462782</v>
      </c>
      <c r="AQ8" s="74">
        <f t="shared" ref="AQ8:AQ56" si="21">(AO8+AP8)*$AQ$6</f>
        <v>0</v>
      </c>
      <c r="AR8" s="74">
        <f t="shared" ref="AR8:AR39" si="22">SUM(AO8:AQ8)/J8</f>
        <v>50380.622130664335</v>
      </c>
      <c r="AS8" s="72">
        <f t="shared" ref="AS8:AS39" si="23">SUM(AJ8:AQ8)+AD8+AB8</f>
        <v>57361.022293433009</v>
      </c>
      <c r="AT8" s="72">
        <f t="shared" ref="AT8:AT39" si="24">AS8/J8</f>
        <v>56009.622130664342</v>
      </c>
      <c r="AU8" s="78">
        <f t="shared" ref="AU8:AU56" si="25">AT8/10.764</f>
        <v>5203.4208594076872</v>
      </c>
      <c r="AV8" s="79">
        <f t="shared" ref="AV8:AV39" si="26">K8/$K$109</f>
        <v>1.9444918481672298E-2</v>
      </c>
      <c r="AW8" s="80">
        <f t="shared" ref="AW8:AW39" si="27">(U8+V8)/(J8*10.764)</f>
        <v>2008.9076541556701</v>
      </c>
      <c r="AX8" s="81">
        <f t="shared" ref="AX8:AX39" si="28">SUM(W8:AN8,AP8)/(J8*10.764)</f>
        <v>3194.5132052520171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W2</v>
      </c>
      <c r="E9" s="132" t="str">
        <f>Pricing!N5</f>
        <v>24MM</v>
      </c>
      <c r="F9" s="68">
        <f>Pricing!G5</f>
        <v>1210</v>
      </c>
      <c r="G9" s="68">
        <f>Pricing!H5</f>
        <v>1056</v>
      </c>
      <c r="H9" s="100">
        <f t="shared" si="0"/>
        <v>1.27776</v>
      </c>
      <c r="I9" s="70">
        <f>Pricing!I5</f>
        <v>1</v>
      </c>
      <c r="J9" s="69">
        <f t="shared" ref="J9:J58" si="30">H9*I9</f>
        <v>1.27776</v>
      </c>
      <c r="K9" s="71">
        <f t="shared" ref="K9:K58" si="31">J9*10.764</f>
        <v>13.753808639999999</v>
      </c>
      <c r="L9" s="69"/>
      <c r="M9" s="72"/>
      <c r="N9" s="72"/>
      <c r="O9" s="72">
        <f t="shared" si="3"/>
        <v>0</v>
      </c>
      <c r="P9" s="73">
        <f>Pricing!M5</f>
        <v>18557.97</v>
      </c>
      <c r="Q9" s="74">
        <f t="shared" ref="Q9:Q14" si="32">P9*$Q$6</f>
        <v>1855.7970000000003</v>
      </c>
      <c r="R9" s="74">
        <f t="shared" ref="R9:R14" si="33">(P9+Q9)*$R$6</f>
        <v>2245.5143699999999</v>
      </c>
      <c r="S9" s="74">
        <f t="shared" ref="S9:S14" si="34">(P9+Q9+R9)*$S$6</f>
        <v>113.29640685000001</v>
      </c>
      <c r="T9" s="74">
        <f t="shared" ref="T9:T14" si="35">(P9+Q9+R9+S9)*$T$6</f>
        <v>227.72577776850002</v>
      </c>
      <c r="U9" s="72">
        <f t="shared" ref="U9:U14" si="36">SUM(P9:T9)</f>
        <v>23000.303554618502</v>
      </c>
      <c r="V9" s="74">
        <f t="shared" ref="V9:V14" si="37">U9*$V$6</f>
        <v>345.00455331927753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3754.05888</v>
      </c>
      <c r="AE9" s="76">
        <f t="shared" ref="AE9:AE57" si="43">((((F9+G9)*2)/305)*I9*$AE$7)</f>
        <v>371.47540983606558</v>
      </c>
      <c r="AF9" s="346">
        <f t="shared" ref="AF9:AF57" si="44">(((((F9*4)+(G9*4))/1000)*$AF$6*$AG$6)/300)*I9*$AF$7</f>
        <v>380.68799999999999</v>
      </c>
      <c r="AG9" s="347"/>
      <c r="AH9" s="76">
        <f t="shared" ref="AH9:AH72" si="45">(((F9+G9))*I9/1000)*8*$AH$7</f>
        <v>13.596</v>
      </c>
      <c r="AI9" s="76">
        <f t="shared" si="15"/>
        <v>45.32</v>
      </c>
      <c r="AJ9" s="76">
        <f>J9*Pricing!Q5</f>
        <v>687.69043199999987</v>
      </c>
      <c r="AK9" s="76">
        <f>J9*Pricing!R5</f>
        <v>0</v>
      </c>
      <c r="AL9" s="76">
        <f t="shared" si="16"/>
        <v>1375.3808639999997</v>
      </c>
      <c r="AM9" s="77">
        <f t="shared" si="17"/>
        <v>0</v>
      </c>
      <c r="AN9" s="76">
        <f t="shared" si="18"/>
        <v>1375.3808639999997</v>
      </c>
      <c r="AO9" s="72">
        <f t="shared" si="19"/>
        <v>24156.387517773845</v>
      </c>
      <c r="AP9" s="74">
        <f t="shared" si="20"/>
        <v>30195.484397217304</v>
      </c>
      <c r="AQ9" s="74">
        <f t="shared" ref="AQ9:AQ14" si="46">(AO9+AP9)*$AQ$6</f>
        <v>0</v>
      </c>
      <c r="AR9" s="74">
        <f t="shared" si="22"/>
        <v>42536.839402541285</v>
      </c>
      <c r="AS9" s="72">
        <f t="shared" si="23"/>
        <v>61544.382954991146</v>
      </c>
      <c r="AT9" s="72">
        <f t="shared" si="24"/>
        <v>48165.839402541278</v>
      </c>
      <c r="AU9" s="78">
        <f t="shared" ref="AU9:AU14" si="47">AT9/10.764</f>
        <v>4474.715663558276</v>
      </c>
      <c r="AV9" s="79">
        <f t="shared" si="26"/>
        <v>2.426057977044041E-2</v>
      </c>
      <c r="AW9" s="80">
        <f t="shared" si="27"/>
        <v>1697.3704316376022</v>
      </c>
      <c r="AX9" s="81">
        <f t="shared" si="28"/>
        <v>2777.3452319206745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FRENCH CASEMENT DOOR</v>
      </c>
      <c r="D10" s="131" t="str">
        <f>Pricing!B6</f>
        <v>W3</v>
      </c>
      <c r="E10" s="132" t="str">
        <f>Pricing!N6</f>
        <v>24MM</v>
      </c>
      <c r="F10" s="68">
        <f>Pricing!G6</f>
        <v>949</v>
      </c>
      <c r="G10" s="68">
        <f>Pricing!H6</f>
        <v>1805</v>
      </c>
      <c r="H10" s="100">
        <f t="shared" si="0"/>
        <v>1.7129449999999999</v>
      </c>
      <c r="I10" s="70">
        <f>Pricing!I6</f>
        <v>1</v>
      </c>
      <c r="J10" s="69">
        <f t="shared" si="30"/>
        <v>1.7129449999999999</v>
      </c>
      <c r="K10" s="71">
        <f t="shared" si="31"/>
        <v>18.438139979999999</v>
      </c>
      <c r="L10" s="69"/>
      <c r="M10" s="72"/>
      <c r="N10" s="72"/>
      <c r="O10" s="72">
        <f t="shared" si="3"/>
        <v>0</v>
      </c>
      <c r="P10" s="73">
        <f>Pricing!M6</f>
        <v>27053.02</v>
      </c>
      <c r="Q10" s="74">
        <f t="shared" si="32"/>
        <v>2705.3020000000001</v>
      </c>
      <c r="R10" s="74">
        <f t="shared" si="33"/>
        <v>3273.4154199999998</v>
      </c>
      <c r="S10" s="74">
        <f t="shared" si="34"/>
        <v>165.15868709999998</v>
      </c>
      <c r="T10" s="74">
        <f t="shared" si="35"/>
        <v>331.96896107100002</v>
      </c>
      <c r="U10" s="72">
        <f t="shared" si="36"/>
        <v>33528.865068170999</v>
      </c>
      <c r="V10" s="74">
        <f t="shared" si="37"/>
        <v>502.93297602256496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5032.6324100000002</v>
      </c>
      <c r="AE10" s="76">
        <f t="shared" si="43"/>
        <v>451.47540983606558</v>
      </c>
      <c r="AF10" s="346">
        <f t="shared" si="44"/>
        <v>462.67199999999997</v>
      </c>
      <c r="AG10" s="347"/>
      <c r="AH10" s="76">
        <f t="shared" si="45"/>
        <v>16.524000000000001</v>
      </c>
      <c r="AI10" s="76">
        <f t="shared" si="15"/>
        <v>55.08</v>
      </c>
      <c r="AJ10" s="76">
        <f>J10*Pricing!Q6</f>
        <v>0</v>
      </c>
      <c r="AK10" s="76">
        <f>J10*Pricing!R6</f>
        <v>0</v>
      </c>
      <c r="AL10" s="76">
        <f t="shared" si="16"/>
        <v>1843.8139979999996</v>
      </c>
      <c r="AM10" s="77">
        <f t="shared" si="17"/>
        <v>0</v>
      </c>
      <c r="AN10" s="76">
        <f t="shared" si="18"/>
        <v>1843.8139979999996</v>
      </c>
      <c r="AO10" s="72">
        <f t="shared" si="19"/>
        <v>35017.549454029635</v>
      </c>
      <c r="AP10" s="74">
        <f t="shared" si="20"/>
        <v>43771.936817537047</v>
      </c>
      <c r="AQ10" s="74">
        <f t="shared" si="46"/>
        <v>0</v>
      </c>
      <c r="AR10" s="74">
        <f t="shared" si="22"/>
        <v>45996.506759742246</v>
      </c>
      <c r="AS10" s="72">
        <f t="shared" si="23"/>
        <v>87509.746677566684</v>
      </c>
      <c r="AT10" s="72">
        <f t="shared" si="24"/>
        <v>51087.306759742249</v>
      </c>
      <c r="AU10" s="78">
        <f t="shared" si="47"/>
        <v>4746.1266034691798</v>
      </c>
      <c r="AV10" s="79">
        <f t="shared" si="26"/>
        <v>3.2523352440894257E-2</v>
      </c>
      <c r="AW10" s="80">
        <f t="shared" si="27"/>
        <v>1845.7283696244922</v>
      </c>
      <c r="AX10" s="81">
        <f t="shared" si="28"/>
        <v>2900.3982338446872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GLASS LOUVERS</v>
      </c>
      <c r="D11" s="131" t="str">
        <f>Pricing!B7</f>
        <v>W4 &amp; W5</v>
      </c>
      <c r="E11" s="132" t="str">
        <f>Pricing!N7</f>
        <v>6MM (F)</v>
      </c>
      <c r="F11" s="68">
        <f>Pricing!G7</f>
        <v>909</v>
      </c>
      <c r="G11" s="68">
        <f>Pricing!H7</f>
        <v>601</v>
      </c>
      <c r="H11" s="100">
        <f t="shared" si="0"/>
        <v>0.54630900000000004</v>
      </c>
      <c r="I11" s="70">
        <f>Pricing!I7</f>
        <v>2</v>
      </c>
      <c r="J11" s="69">
        <f t="shared" si="30"/>
        <v>1.0926180000000001</v>
      </c>
      <c r="K11" s="71">
        <f t="shared" si="31"/>
        <v>11.760940152</v>
      </c>
      <c r="L11" s="69"/>
      <c r="M11" s="72"/>
      <c r="N11" s="72"/>
      <c r="O11" s="72">
        <f t="shared" si="3"/>
        <v>0</v>
      </c>
      <c r="P11" s="73">
        <f>Pricing!M7</f>
        <v>2295.7800000000002</v>
      </c>
      <c r="Q11" s="74">
        <f t="shared" si="32"/>
        <v>229.57800000000003</v>
      </c>
      <c r="R11" s="74">
        <f t="shared" si="33"/>
        <v>277.78937999999999</v>
      </c>
      <c r="S11" s="74">
        <f t="shared" si="34"/>
        <v>14.015736900000002</v>
      </c>
      <c r="T11" s="74">
        <f t="shared" si="35"/>
        <v>28.171631169000001</v>
      </c>
      <c r="U11" s="72">
        <f t="shared" si="36"/>
        <v>2845.3347480690004</v>
      </c>
      <c r="V11" s="74">
        <f t="shared" si="37"/>
        <v>42.680021221035005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2188.5138540000003</v>
      </c>
      <c r="AE11" s="76">
        <f t="shared" si="43"/>
        <v>495.08196721311475</v>
      </c>
      <c r="AF11" s="346">
        <f t="shared" si="44"/>
        <v>507.36</v>
      </c>
      <c r="AG11" s="347"/>
      <c r="AH11" s="76">
        <f t="shared" si="45"/>
        <v>18.12</v>
      </c>
      <c r="AI11" s="76">
        <f t="shared" si="15"/>
        <v>60.4</v>
      </c>
      <c r="AJ11" s="76">
        <f>J11*Pricing!Q7</f>
        <v>0</v>
      </c>
      <c r="AK11" s="76">
        <f>J11*Pricing!R7</f>
        <v>0</v>
      </c>
      <c r="AL11" s="76">
        <f t="shared" si="16"/>
        <v>1176.0940152000001</v>
      </c>
      <c r="AM11" s="77">
        <f t="shared" si="17"/>
        <v>0</v>
      </c>
      <c r="AN11" s="76">
        <f t="shared" si="18"/>
        <v>1176.0940152000001</v>
      </c>
      <c r="AO11" s="72">
        <f t="shared" si="19"/>
        <v>3968.9767365031498</v>
      </c>
      <c r="AP11" s="74">
        <f t="shared" si="20"/>
        <v>4961.2209206289372</v>
      </c>
      <c r="AQ11" s="74">
        <f t="shared" si="46"/>
        <v>0</v>
      </c>
      <c r="AR11" s="74">
        <f t="shared" si="22"/>
        <v>8173.2111837184502</v>
      </c>
      <c r="AS11" s="72">
        <f t="shared" si="23"/>
        <v>13470.899541532088</v>
      </c>
      <c r="AT11" s="72">
        <f t="shared" si="24"/>
        <v>12329.01118371845</v>
      </c>
      <c r="AU11" s="78">
        <f t="shared" si="47"/>
        <v>1145.3930865587561</v>
      </c>
      <c r="AV11" s="79">
        <f t="shared" si="26"/>
        <v>2.0745324746133123E-2</v>
      </c>
      <c r="AW11" s="80">
        <f t="shared" si="27"/>
        <v>245.55985592690189</v>
      </c>
      <c r="AX11" s="81">
        <f t="shared" si="28"/>
        <v>899.83323063185435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W6</v>
      </c>
      <c r="E12" s="132" t="str">
        <f>Pricing!N8</f>
        <v>24MM</v>
      </c>
      <c r="F12" s="68">
        <f>Pricing!G8</f>
        <v>1228</v>
      </c>
      <c r="G12" s="68">
        <f>Pricing!H8</f>
        <v>1739</v>
      </c>
      <c r="H12" s="100">
        <f t="shared" si="0"/>
        <v>2.1354920000000002</v>
      </c>
      <c r="I12" s="70">
        <f>Pricing!I8</f>
        <v>1</v>
      </c>
      <c r="J12" s="69">
        <f t="shared" si="30"/>
        <v>2.1354920000000002</v>
      </c>
      <c r="K12" s="71">
        <f t="shared" si="31"/>
        <v>22.986435887999999</v>
      </c>
      <c r="L12" s="69"/>
      <c r="M12" s="72"/>
      <c r="N12" s="72"/>
      <c r="O12" s="72">
        <f t="shared" si="3"/>
        <v>0</v>
      </c>
      <c r="P12" s="73">
        <f>Pricing!M8</f>
        <v>24051.739999999998</v>
      </c>
      <c r="Q12" s="74">
        <f t="shared" si="32"/>
        <v>2405.174</v>
      </c>
      <c r="R12" s="74">
        <f t="shared" si="33"/>
        <v>2910.2605399999998</v>
      </c>
      <c r="S12" s="74">
        <f t="shared" si="34"/>
        <v>146.83587269999998</v>
      </c>
      <c r="T12" s="74">
        <f t="shared" si="35"/>
        <v>295.14010412699997</v>
      </c>
      <c r="U12" s="72">
        <f t="shared" si="36"/>
        <v>29809.150516826998</v>
      </c>
      <c r="V12" s="74">
        <f t="shared" si="37"/>
        <v>447.13725775240493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6274.0754960000004</v>
      </c>
      <c r="AE12" s="76">
        <f t="shared" si="43"/>
        <v>486.39344262295083</v>
      </c>
      <c r="AF12" s="346">
        <f t="shared" si="44"/>
        <v>498.45599999999996</v>
      </c>
      <c r="AG12" s="347"/>
      <c r="AH12" s="76">
        <f t="shared" si="45"/>
        <v>17.802</v>
      </c>
      <c r="AI12" s="76">
        <f t="shared" si="15"/>
        <v>59.34</v>
      </c>
      <c r="AJ12" s="76">
        <f>J12*Pricing!Q8</f>
        <v>1149.3217944</v>
      </c>
      <c r="AK12" s="76">
        <f>J12*Pricing!R8</f>
        <v>0</v>
      </c>
      <c r="AL12" s="76">
        <f t="shared" si="16"/>
        <v>2298.6435888000001</v>
      </c>
      <c r="AM12" s="77">
        <f t="shared" si="17"/>
        <v>0</v>
      </c>
      <c r="AN12" s="76">
        <f t="shared" si="18"/>
        <v>2298.6435888000001</v>
      </c>
      <c r="AO12" s="72">
        <f t="shared" si="19"/>
        <v>31318.279217202351</v>
      </c>
      <c r="AP12" s="74">
        <f t="shared" si="20"/>
        <v>39147.849021502938</v>
      </c>
      <c r="AQ12" s="74">
        <f t="shared" si="46"/>
        <v>0</v>
      </c>
      <c r="AR12" s="74">
        <f t="shared" si="22"/>
        <v>32997.608157139097</v>
      </c>
      <c r="AS12" s="72">
        <f t="shared" si="23"/>
        <v>82486.812706705299</v>
      </c>
      <c r="AT12" s="72">
        <f t="shared" si="24"/>
        <v>38626.608157139104</v>
      </c>
      <c r="AU12" s="78">
        <f t="shared" si="47"/>
        <v>3588.4994571849784</v>
      </c>
      <c r="AV12" s="79">
        <f t="shared" si="26"/>
        <v>4.0546169871601347E-2</v>
      </c>
      <c r="AW12" s="80">
        <f t="shared" si="27"/>
        <v>1316.2670333931417</v>
      </c>
      <c r="AX12" s="81">
        <f t="shared" si="28"/>
        <v>2272.2324237918365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W7</v>
      </c>
      <c r="E13" s="132" t="str">
        <f>Pricing!N9</f>
        <v>24MM</v>
      </c>
      <c r="F13" s="68">
        <f>Pricing!G9</f>
        <v>3064</v>
      </c>
      <c r="G13" s="68">
        <f>Pricing!H9</f>
        <v>1955</v>
      </c>
      <c r="H13" s="100">
        <f t="shared" si="0"/>
        <v>5.9901200000000001</v>
      </c>
      <c r="I13" s="70">
        <f>Pricing!I9</f>
        <v>1</v>
      </c>
      <c r="J13" s="69">
        <f t="shared" si="30"/>
        <v>5.9901200000000001</v>
      </c>
      <c r="K13" s="71">
        <f t="shared" si="31"/>
        <v>64.477651679999994</v>
      </c>
      <c r="L13" s="69"/>
      <c r="M13" s="72"/>
      <c r="N13" s="72"/>
      <c r="O13" s="72">
        <f t="shared" si="3"/>
        <v>0</v>
      </c>
      <c r="P13" s="73">
        <f>Pricing!M9</f>
        <v>35850.19</v>
      </c>
      <c r="Q13" s="74">
        <f t="shared" si="32"/>
        <v>3585.0190000000002</v>
      </c>
      <c r="R13" s="74">
        <f t="shared" si="33"/>
        <v>4337.8729900000008</v>
      </c>
      <c r="S13" s="74">
        <f t="shared" si="34"/>
        <v>218.86540995000004</v>
      </c>
      <c r="T13" s="74">
        <f t="shared" si="35"/>
        <v>439.91947399950004</v>
      </c>
      <c r="U13" s="72">
        <f t="shared" si="36"/>
        <v>44431.866873949504</v>
      </c>
      <c r="V13" s="74">
        <f t="shared" si="37"/>
        <v>666.47800310924254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17598.972560000002</v>
      </c>
      <c r="AE13" s="76">
        <f t="shared" si="43"/>
        <v>822.78688524590166</v>
      </c>
      <c r="AF13" s="346">
        <f t="shared" si="44"/>
        <v>843.19200000000001</v>
      </c>
      <c r="AG13" s="347"/>
      <c r="AH13" s="76">
        <f t="shared" si="45"/>
        <v>30.114000000000001</v>
      </c>
      <c r="AI13" s="76">
        <f t="shared" si="15"/>
        <v>100.38</v>
      </c>
      <c r="AJ13" s="76">
        <f>J13*Pricing!Q9</f>
        <v>3223.8825839999995</v>
      </c>
      <c r="AK13" s="76">
        <f>J13*Pricing!R9</f>
        <v>0</v>
      </c>
      <c r="AL13" s="76">
        <f t="shared" si="16"/>
        <v>6447.765167999999</v>
      </c>
      <c r="AM13" s="77">
        <f t="shared" si="17"/>
        <v>0</v>
      </c>
      <c r="AN13" s="76">
        <f t="shared" si="18"/>
        <v>6447.765167999999</v>
      </c>
      <c r="AO13" s="72">
        <f t="shared" si="19"/>
        <v>46894.817762304658</v>
      </c>
      <c r="AP13" s="74">
        <f t="shared" si="20"/>
        <v>58618.52220288082</v>
      </c>
      <c r="AQ13" s="74">
        <f t="shared" si="46"/>
        <v>0</v>
      </c>
      <c r="AR13" s="74">
        <f t="shared" si="22"/>
        <v>17614.561972912976</v>
      </c>
      <c r="AS13" s="72">
        <f t="shared" si="23"/>
        <v>139231.72544518547</v>
      </c>
      <c r="AT13" s="72">
        <f t="shared" si="24"/>
        <v>23243.561972912976</v>
      </c>
      <c r="AU13" s="78">
        <f t="shared" si="47"/>
        <v>2159.3795961457618</v>
      </c>
      <c r="AV13" s="79">
        <f t="shared" si="26"/>
        <v>0.11373323949294899</v>
      </c>
      <c r="AW13" s="80">
        <f t="shared" si="27"/>
        <v>699.4414917726848</v>
      </c>
      <c r="AX13" s="81">
        <f t="shared" si="28"/>
        <v>1459.9381043730768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FRENCH CASEMENT DOOR</v>
      </c>
      <c r="D14" s="131" t="str">
        <f>Pricing!B10</f>
        <v>W8</v>
      </c>
      <c r="E14" s="132" t="str">
        <f>Pricing!N10</f>
        <v>24MM</v>
      </c>
      <c r="F14" s="68">
        <f>Pricing!G10</f>
        <v>894</v>
      </c>
      <c r="G14" s="68">
        <f>Pricing!H10</f>
        <v>1748</v>
      </c>
      <c r="H14" s="100">
        <f t="shared" si="0"/>
        <v>1.5627120000000001</v>
      </c>
      <c r="I14" s="70">
        <f>Pricing!I10</f>
        <v>1</v>
      </c>
      <c r="J14" s="69">
        <f t="shared" si="30"/>
        <v>1.5627120000000001</v>
      </c>
      <c r="K14" s="71">
        <f t="shared" si="31"/>
        <v>16.821031968</v>
      </c>
      <c r="L14" s="69"/>
      <c r="M14" s="72"/>
      <c r="N14" s="72"/>
      <c r="O14" s="72">
        <f t="shared" si="3"/>
        <v>0</v>
      </c>
      <c r="P14" s="73">
        <f>Pricing!M10</f>
        <v>26412.260000000002</v>
      </c>
      <c r="Q14" s="74">
        <f t="shared" si="32"/>
        <v>2641.2260000000006</v>
      </c>
      <c r="R14" s="74">
        <f t="shared" si="33"/>
        <v>3195.8834600000005</v>
      </c>
      <c r="S14" s="74">
        <f t="shared" si="34"/>
        <v>161.24684730000004</v>
      </c>
      <c r="T14" s="74">
        <f t="shared" si="35"/>
        <v>324.10616307300006</v>
      </c>
      <c r="U14" s="72">
        <f t="shared" si="36"/>
        <v>32734.722470373006</v>
      </c>
      <c r="V14" s="74">
        <f t="shared" si="37"/>
        <v>491.02083705559505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4591.247856</v>
      </c>
      <c r="AE14" s="76">
        <f t="shared" si="43"/>
        <v>433.11475409836066</v>
      </c>
      <c r="AF14" s="346">
        <f t="shared" si="44"/>
        <v>443.85599999999999</v>
      </c>
      <c r="AG14" s="347"/>
      <c r="AH14" s="76">
        <f t="shared" si="45"/>
        <v>15.852</v>
      </c>
      <c r="AI14" s="76">
        <f t="shared" si="15"/>
        <v>52.839999999999996</v>
      </c>
      <c r="AJ14" s="76">
        <f>J14*Pricing!Q10</f>
        <v>0</v>
      </c>
      <c r="AK14" s="76">
        <f>J14*Pricing!R10</f>
        <v>0</v>
      </c>
      <c r="AL14" s="76">
        <f t="shared" si="16"/>
        <v>1682.1031968</v>
      </c>
      <c r="AM14" s="77">
        <f t="shared" si="17"/>
        <v>0</v>
      </c>
      <c r="AN14" s="76">
        <f t="shared" si="18"/>
        <v>1682.1031968</v>
      </c>
      <c r="AO14" s="72">
        <f t="shared" si="19"/>
        <v>34171.406061526963</v>
      </c>
      <c r="AP14" s="74">
        <f t="shared" si="20"/>
        <v>42714.257576908705</v>
      </c>
      <c r="AQ14" s="74">
        <f t="shared" si="46"/>
        <v>0</v>
      </c>
      <c r="AR14" s="74">
        <f t="shared" si="22"/>
        <v>49200.149252348267</v>
      </c>
      <c r="AS14" s="72">
        <f t="shared" si="23"/>
        <v>84841.11788803566</v>
      </c>
      <c r="AT14" s="72">
        <f t="shared" si="24"/>
        <v>54290.949252348262</v>
      </c>
      <c r="AU14" s="78">
        <f t="shared" si="47"/>
        <v>5043.7522530981296</v>
      </c>
      <c r="AV14" s="79">
        <f t="shared" si="26"/>
        <v>2.9670907787240543E-2</v>
      </c>
      <c r="AW14" s="80">
        <f t="shared" si="27"/>
        <v>1975.2499948062998</v>
      </c>
      <c r="AX14" s="81">
        <f t="shared" si="28"/>
        <v>3068.50225829183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W9</v>
      </c>
      <c r="E15" s="132" t="str">
        <f>Pricing!N11</f>
        <v>24MM</v>
      </c>
      <c r="F15" s="68">
        <f>Pricing!G11</f>
        <v>1020</v>
      </c>
      <c r="G15" s="68">
        <f>Pricing!H11</f>
        <v>1151</v>
      </c>
      <c r="H15" s="100">
        <f t="shared" si="0"/>
        <v>1.1740200000000001</v>
      </c>
      <c r="I15" s="70">
        <f>Pricing!I11</f>
        <v>1</v>
      </c>
      <c r="J15" s="69">
        <f t="shared" si="30"/>
        <v>1.1740200000000001</v>
      </c>
      <c r="K15" s="71">
        <f t="shared" si="31"/>
        <v>12.637151279999999</v>
      </c>
      <c r="L15" s="69"/>
      <c r="M15" s="72"/>
      <c r="N15" s="72"/>
      <c r="O15" s="72">
        <f t="shared" si="3"/>
        <v>0</v>
      </c>
      <c r="P15" s="73">
        <f>Pricing!M11</f>
        <v>4226.3600000000006</v>
      </c>
      <c r="Q15" s="74">
        <f t="shared" si="4"/>
        <v>422.63600000000008</v>
      </c>
      <c r="R15" s="74">
        <f t="shared" si="5"/>
        <v>511.38956000000013</v>
      </c>
      <c r="S15" s="74">
        <f t="shared" si="6"/>
        <v>25.801927800000009</v>
      </c>
      <c r="T15" s="74">
        <f t="shared" si="7"/>
        <v>51.861874878000016</v>
      </c>
      <c r="U15" s="72">
        <f t="shared" si="8"/>
        <v>5238.0493626780017</v>
      </c>
      <c r="V15" s="74">
        <f t="shared" si="9"/>
        <v>78.570740440170027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3449.2707600000003</v>
      </c>
      <c r="AE15" s="76">
        <f t="shared" si="43"/>
        <v>355.90163934426232</v>
      </c>
      <c r="AF15" s="346">
        <f t="shared" si="44"/>
        <v>364.72800000000007</v>
      </c>
      <c r="AG15" s="347"/>
      <c r="AH15" s="76">
        <f t="shared" si="45"/>
        <v>13.026</v>
      </c>
      <c r="AI15" s="76">
        <f t="shared" ref="AI15:AI20" si="49">(((F15+G15)*2*I15)/1000)*2*$AI$7</f>
        <v>43.419999999999995</v>
      </c>
      <c r="AJ15" s="76">
        <f>J15*Pricing!Q11</f>
        <v>0</v>
      </c>
      <c r="AK15" s="76">
        <f>J15*Pricing!R11</f>
        <v>0</v>
      </c>
      <c r="AL15" s="76">
        <f t="shared" si="16"/>
        <v>1263.7151279999998</v>
      </c>
      <c r="AM15" s="77">
        <f t="shared" si="17"/>
        <v>0</v>
      </c>
      <c r="AN15" s="76">
        <f t="shared" si="18"/>
        <v>1263.7151279999998</v>
      </c>
      <c r="AO15" s="72">
        <f t="shared" si="19"/>
        <v>6093.6957424624334</v>
      </c>
      <c r="AP15" s="74">
        <f t="shared" si="20"/>
        <v>7617.1196780780419</v>
      </c>
      <c r="AQ15" s="74">
        <f t="shared" si="21"/>
        <v>0</v>
      </c>
      <c r="AR15" s="74">
        <f t="shared" si="22"/>
        <v>11678.519463501878</v>
      </c>
      <c r="AS15" s="72">
        <f t="shared" si="23"/>
        <v>19687.516436540474</v>
      </c>
      <c r="AT15" s="72">
        <f t="shared" si="24"/>
        <v>16769.319463501877</v>
      </c>
      <c r="AU15" s="78">
        <f t="shared" si="25"/>
        <v>1557.9077911094275</v>
      </c>
      <c r="AV15" s="79">
        <f t="shared" si="26"/>
        <v>2.2290888634870751E-2</v>
      </c>
      <c r="AW15" s="80">
        <f t="shared" si="27"/>
        <v>420.71349668278816</v>
      </c>
      <c r="AX15" s="81">
        <f t="shared" si="28"/>
        <v>1137.1942944266395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W10</v>
      </c>
      <c r="E16" s="132" t="str">
        <f>Pricing!N12</f>
        <v>24MM</v>
      </c>
      <c r="F16" s="68">
        <f>Pricing!G12</f>
        <v>2146</v>
      </c>
      <c r="G16" s="68">
        <f>Pricing!H12</f>
        <v>1716</v>
      </c>
      <c r="H16" s="100">
        <f t="shared" si="0"/>
        <v>3.6825359999999998</v>
      </c>
      <c r="I16" s="70">
        <f>Pricing!I12</f>
        <v>1</v>
      </c>
      <c r="J16" s="69">
        <f t="shared" si="30"/>
        <v>3.6825359999999998</v>
      </c>
      <c r="K16" s="71">
        <f t="shared" si="31"/>
        <v>39.638817503999995</v>
      </c>
      <c r="L16" s="69"/>
      <c r="M16" s="72"/>
      <c r="N16" s="72"/>
      <c r="O16" s="72">
        <f t="shared" si="3"/>
        <v>0</v>
      </c>
      <c r="P16" s="73">
        <f>Pricing!M12</f>
        <v>29730.6</v>
      </c>
      <c r="Q16" s="74">
        <f t="shared" si="4"/>
        <v>2973.06</v>
      </c>
      <c r="R16" s="74">
        <f t="shared" si="5"/>
        <v>3597.4025999999999</v>
      </c>
      <c r="S16" s="74">
        <f t="shared" si="6"/>
        <v>181.505313</v>
      </c>
      <c r="T16" s="74">
        <f t="shared" si="7"/>
        <v>364.82567912999997</v>
      </c>
      <c r="U16" s="72">
        <f t="shared" si="8"/>
        <v>36847.39359213</v>
      </c>
      <c r="V16" s="74">
        <f t="shared" si="9"/>
        <v>552.71090388195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10819.290767999999</v>
      </c>
      <c r="AE16" s="76">
        <f t="shared" si="43"/>
        <v>633.11475409836066</v>
      </c>
      <c r="AF16" s="346">
        <f t="shared" si="44"/>
        <v>648.81600000000003</v>
      </c>
      <c r="AG16" s="347"/>
      <c r="AH16" s="76">
        <f t="shared" si="45"/>
        <v>23.172000000000001</v>
      </c>
      <c r="AI16" s="76">
        <f t="shared" si="49"/>
        <v>77.240000000000009</v>
      </c>
      <c r="AJ16" s="76">
        <f>J16*Pricing!Q12</f>
        <v>1981.9408751999997</v>
      </c>
      <c r="AK16" s="76">
        <f>J16*Pricing!R12</f>
        <v>0</v>
      </c>
      <c r="AL16" s="76">
        <f t="shared" si="16"/>
        <v>3963.8817503999994</v>
      </c>
      <c r="AM16" s="77">
        <f t="shared" si="17"/>
        <v>0</v>
      </c>
      <c r="AN16" s="76">
        <f t="shared" si="18"/>
        <v>3963.8817503999994</v>
      </c>
      <c r="AO16" s="72">
        <f t="shared" si="19"/>
        <v>38782.447250110308</v>
      </c>
      <c r="AP16" s="74">
        <f t="shared" si="20"/>
        <v>48478.059062637883</v>
      </c>
      <c r="AQ16" s="74">
        <f t="shared" si="21"/>
        <v>0</v>
      </c>
      <c r="AR16" s="74">
        <f t="shared" si="22"/>
        <v>23695.764634140221</v>
      </c>
      <c r="AS16" s="72">
        <f t="shared" si="23"/>
        <v>107989.5014567482</v>
      </c>
      <c r="AT16" s="72">
        <f t="shared" si="24"/>
        <v>29324.764634140225</v>
      </c>
      <c r="AU16" s="78">
        <f t="shared" si="25"/>
        <v>2724.3371083370703</v>
      </c>
      <c r="AV16" s="79">
        <f t="shared" si="26"/>
        <v>6.9919592400387032E-2</v>
      </c>
      <c r="AW16" s="80">
        <f t="shared" si="27"/>
        <v>943.52220502636999</v>
      </c>
      <c r="AX16" s="81">
        <f t="shared" si="28"/>
        <v>1780.8149033107002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GLASS LOUVERS</v>
      </c>
      <c r="D17" s="131" t="str">
        <f>Pricing!B13</f>
        <v>W11</v>
      </c>
      <c r="E17" s="132" t="str">
        <f>Pricing!N13</f>
        <v>6MM (F)</v>
      </c>
      <c r="F17" s="68">
        <f>Pricing!G13</f>
        <v>1543</v>
      </c>
      <c r="G17" s="68">
        <f>Pricing!H13</f>
        <v>599</v>
      </c>
      <c r="H17" s="100">
        <f t="shared" si="0"/>
        <v>0.924257</v>
      </c>
      <c r="I17" s="70">
        <f>Pricing!I13</f>
        <v>1</v>
      </c>
      <c r="J17" s="69">
        <f t="shared" si="30"/>
        <v>0.924257</v>
      </c>
      <c r="K17" s="71">
        <f t="shared" si="31"/>
        <v>9.9487023479999994</v>
      </c>
      <c r="L17" s="69"/>
      <c r="M17" s="72"/>
      <c r="N17" s="72"/>
      <c r="O17" s="72">
        <f t="shared" si="3"/>
        <v>0</v>
      </c>
      <c r="P17" s="73">
        <f>Pricing!M13</f>
        <v>1940.54</v>
      </c>
      <c r="Q17" s="74">
        <f t="shared" si="4"/>
        <v>194.054</v>
      </c>
      <c r="R17" s="74">
        <f t="shared" si="5"/>
        <v>234.80534</v>
      </c>
      <c r="S17" s="74">
        <f t="shared" si="6"/>
        <v>11.8469967</v>
      </c>
      <c r="T17" s="74">
        <f t="shared" si="7"/>
        <v>23.812463366999999</v>
      </c>
      <c r="U17" s="72">
        <f t="shared" si="8"/>
        <v>2405.058800067</v>
      </c>
      <c r="V17" s="74">
        <f t="shared" si="9"/>
        <v>36.075882001004999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1851.286771</v>
      </c>
      <c r="AE17" s="76">
        <f t="shared" si="43"/>
        <v>351.14754098360652</v>
      </c>
      <c r="AF17" s="346">
        <f t="shared" si="44"/>
        <v>359.85599999999999</v>
      </c>
      <c r="AG17" s="347"/>
      <c r="AH17" s="76">
        <f t="shared" si="45"/>
        <v>12.852</v>
      </c>
      <c r="AI17" s="76">
        <f t="shared" si="49"/>
        <v>42.839999999999996</v>
      </c>
      <c r="AJ17" s="76">
        <f>J17*Pricing!Q13</f>
        <v>0</v>
      </c>
      <c r="AK17" s="76">
        <f>J17*Pricing!R13</f>
        <v>0</v>
      </c>
      <c r="AL17" s="76">
        <f t="shared" si="16"/>
        <v>994.87023479999982</v>
      </c>
      <c r="AM17" s="77">
        <f t="shared" si="17"/>
        <v>0</v>
      </c>
      <c r="AN17" s="76">
        <f t="shared" si="18"/>
        <v>994.87023479999982</v>
      </c>
      <c r="AO17" s="72">
        <f t="shared" si="19"/>
        <v>3207.8302230516119</v>
      </c>
      <c r="AP17" s="74">
        <f t="shared" si="20"/>
        <v>4009.7877788145151</v>
      </c>
      <c r="AQ17" s="74">
        <f t="shared" si="21"/>
        <v>0</v>
      </c>
      <c r="AR17" s="74">
        <f t="shared" si="22"/>
        <v>7809.1028814129913</v>
      </c>
      <c r="AS17" s="72">
        <f t="shared" si="23"/>
        <v>11058.645242466126</v>
      </c>
      <c r="AT17" s="72">
        <f t="shared" si="24"/>
        <v>11964.902881412991</v>
      </c>
      <c r="AU17" s="78">
        <f t="shared" si="25"/>
        <v>1111.5665999083046</v>
      </c>
      <c r="AV17" s="79">
        <f t="shared" si="26"/>
        <v>1.7548687294083352E-2</v>
      </c>
      <c r="AW17" s="80">
        <f t="shared" si="27"/>
        <v>245.37216982461533</v>
      </c>
      <c r="AX17" s="81">
        <f t="shared" si="28"/>
        <v>866.19443008368933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GLASS LOUVERS</v>
      </c>
      <c r="D18" s="131" t="str">
        <f>Pricing!B14</f>
        <v>W12</v>
      </c>
      <c r="E18" s="132" t="str">
        <f>Pricing!N14</f>
        <v>6MM (F)</v>
      </c>
      <c r="F18" s="68">
        <f>Pricing!G14</f>
        <v>1211</v>
      </c>
      <c r="G18" s="68">
        <f>Pricing!H14</f>
        <v>607</v>
      </c>
      <c r="H18" s="100">
        <f t="shared" si="0"/>
        <v>0.73507699999999998</v>
      </c>
      <c r="I18" s="70">
        <f>Pricing!I14</f>
        <v>1</v>
      </c>
      <c r="J18" s="69">
        <f t="shared" si="30"/>
        <v>0.73507699999999998</v>
      </c>
      <c r="K18" s="71">
        <f t="shared" si="31"/>
        <v>7.9123688279999991</v>
      </c>
      <c r="L18" s="69"/>
      <c r="M18" s="72"/>
      <c r="N18" s="72"/>
      <c r="O18" s="72">
        <f t="shared" si="3"/>
        <v>0</v>
      </c>
      <c r="P18" s="73">
        <f>Pricing!M14</f>
        <v>1733.8700000000001</v>
      </c>
      <c r="Q18" s="74">
        <f t="shared" si="4"/>
        <v>173.38700000000003</v>
      </c>
      <c r="R18" s="74">
        <f t="shared" si="5"/>
        <v>209.79827</v>
      </c>
      <c r="S18" s="74">
        <f t="shared" si="6"/>
        <v>10.585276349999999</v>
      </c>
      <c r="T18" s="74">
        <f t="shared" si="7"/>
        <v>21.276405463500002</v>
      </c>
      <c r="U18" s="72">
        <f t="shared" si="8"/>
        <v>2148.9169518135</v>
      </c>
      <c r="V18" s="74">
        <f t="shared" si="9"/>
        <v>32.2337542772025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1472.3592309999999</v>
      </c>
      <c r="AE18" s="76">
        <f t="shared" si="43"/>
        <v>298.03278688524586</v>
      </c>
      <c r="AF18" s="346">
        <f t="shared" si="44"/>
        <v>305.42400000000004</v>
      </c>
      <c r="AG18" s="347"/>
      <c r="AH18" s="76">
        <f t="shared" si="45"/>
        <v>10.908000000000001</v>
      </c>
      <c r="AI18" s="76">
        <f t="shared" si="49"/>
        <v>36.36</v>
      </c>
      <c r="AJ18" s="76">
        <f>J18*Pricing!Q14</f>
        <v>0</v>
      </c>
      <c r="AK18" s="76">
        <f>J18*Pricing!R14</f>
        <v>0</v>
      </c>
      <c r="AL18" s="76">
        <f t="shared" si="16"/>
        <v>791.23688279999988</v>
      </c>
      <c r="AM18" s="77">
        <f t="shared" si="17"/>
        <v>0</v>
      </c>
      <c r="AN18" s="76">
        <f t="shared" si="18"/>
        <v>791.23688279999988</v>
      </c>
      <c r="AO18" s="72">
        <f t="shared" si="19"/>
        <v>2831.8754929759484</v>
      </c>
      <c r="AP18" s="74">
        <f t="shared" si="20"/>
        <v>3539.8443662199356</v>
      </c>
      <c r="AQ18" s="74">
        <f t="shared" si="21"/>
        <v>0</v>
      </c>
      <c r="AR18" s="74">
        <f t="shared" si="22"/>
        <v>8668.0985246387572</v>
      </c>
      <c r="AS18" s="72">
        <f t="shared" si="23"/>
        <v>9426.5528557958842</v>
      </c>
      <c r="AT18" s="72">
        <f t="shared" si="24"/>
        <v>12823.898524638758</v>
      </c>
      <c r="AU18" s="78">
        <f t="shared" si="25"/>
        <v>1191.369242348454</v>
      </c>
      <c r="AV18" s="79">
        <f t="shared" si="26"/>
        <v>1.3956763551774999E-2</v>
      </c>
      <c r="AW18" s="80">
        <f t="shared" si="27"/>
        <v>275.66342690852917</v>
      </c>
      <c r="AX18" s="81">
        <f t="shared" si="28"/>
        <v>915.70581543992489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W13</v>
      </c>
      <c r="E19" s="132" t="str">
        <f>Pricing!N15</f>
        <v>24MM</v>
      </c>
      <c r="F19" s="68">
        <f>Pricing!G15</f>
        <v>1885</v>
      </c>
      <c r="G19" s="68">
        <f>Pricing!H15</f>
        <v>1758</v>
      </c>
      <c r="H19" s="100">
        <f t="shared" si="0"/>
        <v>3.3138299999999998</v>
      </c>
      <c r="I19" s="70">
        <f>Pricing!I15</f>
        <v>1</v>
      </c>
      <c r="J19" s="69">
        <f t="shared" si="30"/>
        <v>3.3138299999999998</v>
      </c>
      <c r="K19" s="71">
        <f t="shared" si="31"/>
        <v>35.670066119999994</v>
      </c>
      <c r="L19" s="69"/>
      <c r="M19" s="72"/>
      <c r="N19" s="72"/>
      <c r="O19" s="72">
        <f t="shared" si="3"/>
        <v>0</v>
      </c>
      <c r="P19" s="73">
        <f>Pricing!M15</f>
        <v>28763.65</v>
      </c>
      <c r="Q19" s="74">
        <f t="shared" si="4"/>
        <v>2876.3650000000002</v>
      </c>
      <c r="R19" s="74">
        <f t="shared" si="5"/>
        <v>3480.4016500000002</v>
      </c>
      <c r="S19" s="74">
        <f t="shared" si="6"/>
        <v>175.60208325000005</v>
      </c>
      <c r="T19" s="74">
        <f t="shared" si="7"/>
        <v>352.96018733250008</v>
      </c>
      <c r="U19" s="72">
        <f t="shared" si="8"/>
        <v>35648.978920582507</v>
      </c>
      <c r="V19" s="74">
        <f t="shared" si="9"/>
        <v>534.7346838087376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9736.0325400000002</v>
      </c>
      <c r="AE19" s="76">
        <f t="shared" si="43"/>
        <v>597.21311475409834</v>
      </c>
      <c r="AF19" s="346">
        <f t="shared" si="44"/>
        <v>612.02399999999989</v>
      </c>
      <c r="AG19" s="347"/>
      <c r="AH19" s="76">
        <f t="shared" si="45"/>
        <v>21.857999999999997</v>
      </c>
      <c r="AI19" s="76">
        <f t="shared" si="49"/>
        <v>72.86</v>
      </c>
      <c r="AJ19" s="76">
        <f>J19*Pricing!Q15</f>
        <v>1783.5033059999996</v>
      </c>
      <c r="AK19" s="76">
        <f>J19*Pricing!R15</f>
        <v>0</v>
      </c>
      <c r="AL19" s="76">
        <f t="shared" si="16"/>
        <v>3567.0066119999992</v>
      </c>
      <c r="AM19" s="77">
        <f t="shared" si="17"/>
        <v>0</v>
      </c>
      <c r="AN19" s="76">
        <f t="shared" si="18"/>
        <v>3567.0066119999992</v>
      </c>
      <c r="AO19" s="72">
        <f t="shared" si="19"/>
        <v>37487.668719145346</v>
      </c>
      <c r="AP19" s="74">
        <f t="shared" si="20"/>
        <v>46859.585898931684</v>
      </c>
      <c r="AQ19" s="74">
        <f t="shared" si="21"/>
        <v>0</v>
      </c>
      <c r="AR19" s="74">
        <f t="shared" si="22"/>
        <v>25453.102488080873</v>
      </c>
      <c r="AS19" s="72">
        <f t="shared" si="23"/>
        <v>103000.80368807704</v>
      </c>
      <c r="AT19" s="72">
        <f t="shared" si="24"/>
        <v>31082.102488080873</v>
      </c>
      <c r="AU19" s="78">
        <f t="shared" si="25"/>
        <v>2887.5977785285095</v>
      </c>
      <c r="AV19" s="79">
        <f t="shared" si="26"/>
        <v>6.2919043529832311E-2</v>
      </c>
      <c r="AW19" s="80">
        <f t="shared" si="27"/>
        <v>1014.3999588524242</v>
      </c>
      <c r="AX19" s="81">
        <f t="shared" si="28"/>
        <v>1873.1978196760849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W14</v>
      </c>
      <c r="E20" s="132" t="str">
        <f>Pricing!N16</f>
        <v>24MM</v>
      </c>
      <c r="F20" s="68">
        <f>Pricing!G16</f>
        <v>3567</v>
      </c>
      <c r="G20" s="68">
        <f>Pricing!H16</f>
        <v>2332</v>
      </c>
      <c r="H20" s="100">
        <f t="shared" si="0"/>
        <v>8.318244</v>
      </c>
      <c r="I20" s="70">
        <f>Pricing!I16</f>
        <v>1</v>
      </c>
      <c r="J20" s="69">
        <f t="shared" si="30"/>
        <v>8.318244</v>
      </c>
      <c r="K20" s="71">
        <f t="shared" si="31"/>
        <v>89.537578415999988</v>
      </c>
      <c r="L20" s="69"/>
      <c r="M20" s="72"/>
      <c r="N20" s="72"/>
      <c r="O20" s="72">
        <f t="shared" si="3"/>
        <v>0</v>
      </c>
      <c r="P20" s="73">
        <f>Pricing!M16</f>
        <v>43340.939999999995</v>
      </c>
      <c r="Q20" s="74">
        <f t="shared" si="4"/>
        <v>4334.0940000000001</v>
      </c>
      <c r="R20" s="74">
        <f t="shared" si="5"/>
        <v>5244.2537399999992</v>
      </c>
      <c r="S20" s="74">
        <f t="shared" si="6"/>
        <v>264.59643869999996</v>
      </c>
      <c r="T20" s="74">
        <f t="shared" si="7"/>
        <v>531.83884178699986</v>
      </c>
      <c r="U20" s="72">
        <f t="shared" si="8"/>
        <v>53715.723020486992</v>
      </c>
      <c r="V20" s="74">
        <f t="shared" si="9"/>
        <v>805.73584530730488</v>
      </c>
      <c r="W20" s="73">
        <f>Pricing!S16*I20</f>
        <v>5000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5000</v>
      </c>
      <c r="AC20" s="75">
        <v>0</v>
      </c>
      <c r="AD20" s="101">
        <f>(J20*Pricing!O16)+(O20*Pricing!P16)</f>
        <v>24439.000872000001</v>
      </c>
      <c r="AE20" s="76">
        <f t="shared" si="43"/>
        <v>967.04918032786884</v>
      </c>
      <c r="AF20" s="346">
        <f t="shared" si="44"/>
        <v>991.03199999999993</v>
      </c>
      <c r="AG20" s="347"/>
      <c r="AH20" s="76">
        <f t="shared" si="45"/>
        <v>35.393999999999998</v>
      </c>
      <c r="AI20" s="76">
        <f t="shared" si="49"/>
        <v>117.98</v>
      </c>
      <c r="AJ20" s="76">
        <f>J20*Pricing!Q16</f>
        <v>4476.8789207999998</v>
      </c>
      <c r="AK20" s="76">
        <f>J20*Pricing!R16</f>
        <v>0</v>
      </c>
      <c r="AL20" s="76">
        <f t="shared" si="16"/>
        <v>8953.7578415999997</v>
      </c>
      <c r="AM20" s="77">
        <f t="shared" si="17"/>
        <v>0</v>
      </c>
      <c r="AN20" s="76">
        <f t="shared" si="18"/>
        <v>8953.7578415999997</v>
      </c>
      <c r="AO20" s="72">
        <f t="shared" si="19"/>
        <v>56632.914046122154</v>
      </c>
      <c r="AP20" s="74">
        <f t="shared" si="20"/>
        <v>70791.142557652696</v>
      </c>
      <c r="AQ20" s="74">
        <f t="shared" si="21"/>
        <v>0</v>
      </c>
      <c r="AR20" s="74">
        <f t="shared" si="22"/>
        <v>15318.624532266047</v>
      </c>
      <c r="AS20" s="72">
        <f t="shared" si="23"/>
        <v>179247.45207977487</v>
      </c>
      <c r="AT20" s="72">
        <f t="shared" si="24"/>
        <v>21548.712935058753</v>
      </c>
      <c r="AU20" s="78">
        <f t="shared" si="25"/>
        <v>2001.9242786193565</v>
      </c>
      <c r="AV20" s="79">
        <f t="shared" si="26"/>
        <v>0.15793687555721519</v>
      </c>
      <c r="AW20" s="80">
        <f t="shared" si="27"/>
        <v>608.92264265270262</v>
      </c>
      <c r="AX20" s="81">
        <f t="shared" si="28"/>
        <v>1448.8441111424909</v>
      </c>
      <c r="AY20" s="82"/>
      <c r="AZ20" s="83">
        <f t="shared" si="29"/>
        <v>-55.842475175836853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W15</v>
      </c>
      <c r="E21" s="132" t="str">
        <f>Pricing!N17</f>
        <v>24MM</v>
      </c>
      <c r="F21" s="68">
        <f>Pricing!G17</f>
        <v>1212</v>
      </c>
      <c r="G21" s="68">
        <f>Pricing!H17</f>
        <v>1750</v>
      </c>
      <c r="H21" s="100">
        <f t="shared" si="0"/>
        <v>2.121</v>
      </c>
      <c r="I21" s="70">
        <f>Pricing!I17</f>
        <v>1</v>
      </c>
      <c r="J21" s="69">
        <f t="shared" si="30"/>
        <v>2.121</v>
      </c>
      <c r="K21" s="71">
        <f t="shared" si="31"/>
        <v>22.830444</v>
      </c>
      <c r="L21" s="69"/>
      <c r="M21" s="72"/>
      <c r="N21" s="72"/>
      <c r="O21" s="72">
        <f t="shared" si="3"/>
        <v>0</v>
      </c>
      <c r="P21" s="73">
        <f>Pricing!M17</f>
        <v>24041.780000000002</v>
      </c>
      <c r="Q21" s="74">
        <f t="shared" ref="Q21:Q26" si="50">P21*$Q$6</f>
        <v>2404.1780000000003</v>
      </c>
      <c r="R21" s="74">
        <f t="shared" ref="R21:R26" si="51">(P21+Q21)*$R$6</f>
        <v>2909.0553800000002</v>
      </c>
      <c r="S21" s="74">
        <f t="shared" ref="S21:S26" si="52">(P21+Q21+R21)*$S$6</f>
        <v>146.77506690000001</v>
      </c>
      <c r="T21" s="74">
        <f t="shared" ref="T21:T26" si="53">(P21+Q21+R21+S21)*$T$6</f>
        <v>295.01788446900008</v>
      </c>
      <c r="U21" s="72">
        <f t="shared" ref="U21:U26" si="54">SUM(P21:T21)</f>
        <v>29796.806331369007</v>
      </c>
      <c r="V21" s="74">
        <f t="shared" ref="V21:V26" si="55">U21*$V$6</f>
        <v>446.95209497053509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6231.4979999999996</v>
      </c>
      <c r="AE21" s="76">
        <f t="shared" si="43"/>
        <v>485.57377049180326</v>
      </c>
      <c r="AF21" s="346">
        <f t="shared" si="44"/>
        <v>497.61600000000004</v>
      </c>
      <c r="AG21" s="347"/>
      <c r="AH21" s="76">
        <f t="shared" si="45"/>
        <v>17.772000000000002</v>
      </c>
      <c r="AI21" s="76">
        <f t="shared" si="15"/>
        <v>59.24</v>
      </c>
      <c r="AJ21" s="76">
        <f>J21*Pricing!Q17</f>
        <v>1141.5221999999999</v>
      </c>
      <c r="AK21" s="76">
        <f>J21*Pricing!R17</f>
        <v>0</v>
      </c>
      <c r="AL21" s="76">
        <f t="shared" si="16"/>
        <v>2283.0443999999998</v>
      </c>
      <c r="AM21" s="77">
        <f t="shared" si="17"/>
        <v>0</v>
      </c>
      <c r="AN21" s="76">
        <f t="shared" si="18"/>
        <v>2283.0443999999998</v>
      </c>
      <c r="AO21" s="72">
        <f t="shared" si="19"/>
        <v>31303.960196831344</v>
      </c>
      <c r="AP21" s="74">
        <f t="shared" si="20"/>
        <v>39129.950246039181</v>
      </c>
      <c r="AQ21" s="74">
        <f t="shared" ref="AQ21:AQ26" si="61">(AO21+AP21)*$AQ$6</f>
        <v>0</v>
      </c>
      <c r="AR21" s="74">
        <f t="shared" si="22"/>
        <v>33207.878568067194</v>
      </c>
      <c r="AS21" s="72">
        <f t="shared" si="23"/>
        <v>82373.019442870514</v>
      </c>
      <c r="AT21" s="72">
        <f t="shared" si="24"/>
        <v>38836.878568067194</v>
      </c>
      <c r="AU21" s="78">
        <f t="shared" ref="AU21:AU26" si="62">AT21/10.764</f>
        <v>3608.0340550043848</v>
      </c>
      <c r="AV21" s="79">
        <f t="shared" si="26"/>
        <v>4.0271013095654985E-2</v>
      </c>
      <c r="AW21" s="80">
        <f t="shared" si="27"/>
        <v>1324.7117938809927</v>
      </c>
      <c r="AX21" s="81">
        <f t="shared" si="28"/>
        <v>2283.3222611233923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GLASS LOUVERS</v>
      </c>
      <c r="D22" s="131" t="str">
        <f>Pricing!B18</f>
        <v>W16</v>
      </c>
      <c r="E22" s="132" t="str">
        <f>Pricing!N18</f>
        <v>6MM (F)</v>
      </c>
      <c r="F22" s="68">
        <f>Pricing!G18</f>
        <v>610</v>
      </c>
      <c r="G22" s="68">
        <f>Pricing!H18</f>
        <v>455</v>
      </c>
      <c r="H22" s="100">
        <f t="shared" si="0"/>
        <v>0.27755000000000002</v>
      </c>
      <c r="I22" s="70">
        <f>Pricing!I18</f>
        <v>1</v>
      </c>
      <c r="J22" s="69">
        <f t="shared" si="30"/>
        <v>0.27755000000000002</v>
      </c>
      <c r="K22" s="71">
        <f t="shared" si="31"/>
        <v>2.9875482</v>
      </c>
      <c r="L22" s="69"/>
      <c r="M22" s="72"/>
      <c r="N22" s="72"/>
      <c r="O22" s="72">
        <f t="shared" si="3"/>
        <v>0</v>
      </c>
      <c r="P22" s="73">
        <f>Pricing!M18</f>
        <v>807.59</v>
      </c>
      <c r="Q22" s="74">
        <f t="shared" si="50"/>
        <v>80.759000000000015</v>
      </c>
      <c r="R22" s="74">
        <f t="shared" si="51"/>
        <v>97.718389999999999</v>
      </c>
      <c r="S22" s="74">
        <f t="shared" si="52"/>
        <v>4.9303369500000001</v>
      </c>
      <c r="T22" s="74">
        <f t="shared" si="53"/>
        <v>9.9099772695000006</v>
      </c>
      <c r="U22" s="72">
        <f t="shared" si="54"/>
        <v>1000.9077042195</v>
      </c>
      <c r="V22" s="74">
        <f t="shared" si="55"/>
        <v>15.0136155632925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555.93265000000008</v>
      </c>
      <c r="AE22" s="76">
        <f t="shared" si="43"/>
        <v>174.59016393442624</v>
      </c>
      <c r="AF22" s="346">
        <f t="shared" si="44"/>
        <v>178.92</v>
      </c>
      <c r="AG22" s="347"/>
      <c r="AH22" s="76">
        <f t="shared" si="45"/>
        <v>6.39</v>
      </c>
      <c r="AI22" s="76">
        <f t="shared" si="15"/>
        <v>21.299999999999997</v>
      </c>
      <c r="AJ22" s="76">
        <f>J22*Pricing!Q18</f>
        <v>0</v>
      </c>
      <c r="AK22" s="76">
        <f>J22*Pricing!R18</f>
        <v>0</v>
      </c>
      <c r="AL22" s="76">
        <f t="shared" si="16"/>
        <v>298.75482</v>
      </c>
      <c r="AM22" s="77">
        <f t="shared" si="17"/>
        <v>0</v>
      </c>
      <c r="AN22" s="76">
        <f t="shared" si="18"/>
        <v>298.75482</v>
      </c>
      <c r="AO22" s="72">
        <f t="shared" si="19"/>
        <v>1397.1214837172188</v>
      </c>
      <c r="AP22" s="74">
        <f t="shared" si="20"/>
        <v>1746.4018546465236</v>
      </c>
      <c r="AQ22" s="74">
        <f t="shared" si="61"/>
        <v>0</v>
      </c>
      <c r="AR22" s="74">
        <f t="shared" si="22"/>
        <v>11325.971314587434</v>
      </c>
      <c r="AS22" s="72">
        <f t="shared" si="23"/>
        <v>4296.9656283637423</v>
      </c>
      <c r="AT22" s="72">
        <f t="shared" si="24"/>
        <v>15481.771314587433</v>
      </c>
      <c r="AU22" s="78">
        <f t="shared" si="62"/>
        <v>1438.2916494414189</v>
      </c>
      <c r="AV22" s="79">
        <f t="shared" si="26"/>
        <v>5.2697876872697036E-3</v>
      </c>
      <c r="AW22" s="80">
        <f t="shared" si="27"/>
        <v>340.05185917428634</v>
      </c>
      <c r="AX22" s="81">
        <f t="shared" si="28"/>
        <v>1098.2397902671328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</v>
      </c>
      <c r="D23" s="131" t="str">
        <f>Pricing!B19</f>
        <v>W17</v>
      </c>
      <c r="E23" s="132" t="str">
        <f>Pricing!N19</f>
        <v>24MM</v>
      </c>
      <c r="F23" s="68">
        <f>Pricing!G19</f>
        <v>645</v>
      </c>
      <c r="G23" s="68">
        <f>Pricing!H19</f>
        <v>1756</v>
      </c>
      <c r="H23" s="100">
        <f t="shared" si="0"/>
        <v>1.13262</v>
      </c>
      <c r="I23" s="70">
        <f>Pricing!I19</f>
        <v>1</v>
      </c>
      <c r="J23" s="69">
        <f t="shared" si="30"/>
        <v>1.13262</v>
      </c>
      <c r="K23" s="71">
        <f t="shared" si="31"/>
        <v>12.191521679999999</v>
      </c>
      <c r="L23" s="69"/>
      <c r="M23" s="72"/>
      <c r="N23" s="72"/>
      <c r="O23" s="72">
        <f t="shared" si="3"/>
        <v>0</v>
      </c>
      <c r="P23" s="73">
        <f>Pricing!M19</f>
        <v>16445.62</v>
      </c>
      <c r="Q23" s="74">
        <f t="shared" si="50"/>
        <v>1644.5619999999999</v>
      </c>
      <c r="R23" s="74">
        <f t="shared" si="51"/>
        <v>1989.92002</v>
      </c>
      <c r="S23" s="74">
        <f t="shared" si="52"/>
        <v>100.40051010000002</v>
      </c>
      <c r="T23" s="74">
        <f t="shared" si="53"/>
        <v>201.80502530100003</v>
      </c>
      <c r="U23" s="72">
        <f t="shared" si="54"/>
        <v>20382.307555401003</v>
      </c>
      <c r="V23" s="74">
        <f t="shared" si="55"/>
        <v>305.73461333101505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3327.6375599999997</v>
      </c>
      <c r="AE23" s="76">
        <f t="shared" si="43"/>
        <v>393.60655737704917</v>
      </c>
      <c r="AF23" s="346">
        <f t="shared" si="44"/>
        <v>403.36799999999999</v>
      </c>
      <c r="AG23" s="347"/>
      <c r="AH23" s="76">
        <f t="shared" si="45"/>
        <v>14.405999999999999</v>
      </c>
      <c r="AI23" s="76">
        <f t="shared" si="15"/>
        <v>48.019999999999996</v>
      </c>
      <c r="AJ23" s="76">
        <f>J23*Pricing!Q19</f>
        <v>0</v>
      </c>
      <c r="AK23" s="76">
        <f>J23*Pricing!R19</f>
        <v>0</v>
      </c>
      <c r="AL23" s="76">
        <f t="shared" si="16"/>
        <v>1219.1521679999998</v>
      </c>
      <c r="AM23" s="77">
        <f t="shared" si="17"/>
        <v>0</v>
      </c>
      <c r="AN23" s="76">
        <f t="shared" si="18"/>
        <v>1219.1521679999998</v>
      </c>
      <c r="AO23" s="72">
        <f t="shared" si="19"/>
        <v>21547.442726109071</v>
      </c>
      <c r="AP23" s="74">
        <f t="shared" si="20"/>
        <v>26934.30340763634</v>
      </c>
      <c r="AQ23" s="74">
        <f t="shared" si="61"/>
        <v>0</v>
      </c>
      <c r="AR23" s="74">
        <f t="shared" si="22"/>
        <v>42804.953235635447</v>
      </c>
      <c r="AS23" s="72">
        <f t="shared" si="23"/>
        <v>54247.688029745419</v>
      </c>
      <c r="AT23" s="72">
        <f t="shared" si="24"/>
        <v>47895.75323563545</v>
      </c>
      <c r="AU23" s="78">
        <f t="shared" si="62"/>
        <v>4449.6240464172661</v>
      </c>
      <c r="AV23" s="79">
        <f t="shared" si="26"/>
        <v>2.1504834913908887E-2</v>
      </c>
      <c r="AW23" s="80">
        <f t="shared" si="27"/>
        <v>1696.9204264854345</v>
      </c>
      <c r="AX23" s="81">
        <f t="shared" si="28"/>
        <v>2752.70361993183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W18</v>
      </c>
      <c r="E24" s="132" t="str">
        <f>Pricing!N20</f>
        <v>24MM</v>
      </c>
      <c r="F24" s="68">
        <f>Pricing!G20</f>
        <v>1004</v>
      </c>
      <c r="G24" s="68">
        <f>Pricing!H20</f>
        <v>1648</v>
      </c>
      <c r="H24" s="100">
        <f t="shared" si="0"/>
        <v>1.6545920000000001</v>
      </c>
      <c r="I24" s="70">
        <f>Pricing!I20</f>
        <v>1</v>
      </c>
      <c r="J24" s="69">
        <f t="shared" si="30"/>
        <v>1.6545920000000001</v>
      </c>
      <c r="K24" s="71">
        <f t="shared" si="31"/>
        <v>17.810028287999998</v>
      </c>
      <c r="L24" s="69"/>
      <c r="M24" s="72"/>
      <c r="N24" s="72"/>
      <c r="O24" s="72">
        <f t="shared" si="3"/>
        <v>0</v>
      </c>
      <c r="P24" s="73">
        <f>Pricing!M20</f>
        <v>5019.84</v>
      </c>
      <c r="Q24" s="74">
        <f t="shared" si="50"/>
        <v>501.98400000000004</v>
      </c>
      <c r="R24" s="74">
        <f t="shared" si="51"/>
        <v>607.40064000000007</v>
      </c>
      <c r="S24" s="74">
        <f t="shared" si="52"/>
        <v>30.646123200000002</v>
      </c>
      <c r="T24" s="74">
        <f t="shared" si="53"/>
        <v>61.598707632000007</v>
      </c>
      <c r="U24" s="72">
        <f t="shared" si="54"/>
        <v>6221.4694708320003</v>
      </c>
      <c r="V24" s="74">
        <f t="shared" si="55"/>
        <v>93.322042062479994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4861.191296</v>
      </c>
      <c r="AE24" s="76">
        <f t="shared" si="43"/>
        <v>434.75409836065575</v>
      </c>
      <c r="AF24" s="346">
        <f t="shared" si="44"/>
        <v>445.53600000000006</v>
      </c>
      <c r="AG24" s="347"/>
      <c r="AH24" s="76">
        <f t="shared" si="45"/>
        <v>15.912000000000001</v>
      </c>
      <c r="AI24" s="76">
        <f t="shared" si="15"/>
        <v>53.040000000000006</v>
      </c>
      <c r="AJ24" s="76">
        <f>J24*Pricing!Q20</f>
        <v>0</v>
      </c>
      <c r="AK24" s="76">
        <f>J24*Pricing!R20</f>
        <v>0</v>
      </c>
      <c r="AL24" s="76">
        <f t="shared" si="16"/>
        <v>1781.0028287999999</v>
      </c>
      <c r="AM24" s="77">
        <f t="shared" si="17"/>
        <v>0</v>
      </c>
      <c r="AN24" s="76">
        <f t="shared" si="18"/>
        <v>1781.0028287999999</v>
      </c>
      <c r="AO24" s="72">
        <f t="shared" si="19"/>
        <v>7264.0336112551367</v>
      </c>
      <c r="AP24" s="74">
        <f t="shared" si="20"/>
        <v>9080.0420140689203</v>
      </c>
      <c r="AQ24" s="74">
        <f t="shared" si="61"/>
        <v>0</v>
      </c>
      <c r="AR24" s="74">
        <f t="shared" si="22"/>
        <v>9878.009578992318</v>
      </c>
      <c r="AS24" s="72">
        <f t="shared" si="23"/>
        <v>24767.272578924058</v>
      </c>
      <c r="AT24" s="72">
        <f t="shared" si="24"/>
        <v>14968.809578992317</v>
      </c>
      <c r="AU24" s="78">
        <f t="shared" si="62"/>
        <v>1390.6363414151169</v>
      </c>
      <c r="AV24" s="79">
        <f t="shared" si="26"/>
        <v>3.1415415417239967E-2</v>
      </c>
      <c r="AW24" s="80">
        <f t="shared" si="27"/>
        <v>354.5638115100158</v>
      </c>
      <c r="AX24" s="81">
        <f t="shared" si="28"/>
        <v>1036.0725299051012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</v>
      </c>
      <c r="D25" s="131" t="str">
        <f>Pricing!B21</f>
        <v>W19</v>
      </c>
      <c r="E25" s="132" t="str">
        <f>Pricing!N21</f>
        <v>24MM</v>
      </c>
      <c r="F25" s="68">
        <f>Pricing!G21</f>
        <v>1803</v>
      </c>
      <c r="G25" s="68">
        <f>Pricing!H21</f>
        <v>1217</v>
      </c>
      <c r="H25" s="100">
        <f t="shared" si="0"/>
        <v>2.194251</v>
      </c>
      <c r="I25" s="70">
        <f>Pricing!I21</f>
        <v>1</v>
      </c>
      <c r="J25" s="69">
        <f t="shared" si="30"/>
        <v>2.194251</v>
      </c>
      <c r="K25" s="71">
        <f t="shared" si="31"/>
        <v>23.618917763999999</v>
      </c>
      <c r="L25" s="69"/>
      <c r="M25" s="72"/>
      <c r="N25" s="72"/>
      <c r="O25" s="72">
        <f t="shared" si="3"/>
        <v>0</v>
      </c>
      <c r="P25" s="73">
        <f>Pricing!M21</f>
        <v>5689.65</v>
      </c>
      <c r="Q25" s="74">
        <f t="shared" si="50"/>
        <v>568.96500000000003</v>
      </c>
      <c r="R25" s="74">
        <f t="shared" si="51"/>
        <v>688.44764999999995</v>
      </c>
      <c r="S25" s="74">
        <f t="shared" si="52"/>
        <v>34.735313249999997</v>
      </c>
      <c r="T25" s="74">
        <f t="shared" si="53"/>
        <v>69.817979632499998</v>
      </c>
      <c r="U25" s="72">
        <f t="shared" si="54"/>
        <v>7051.6159428825003</v>
      </c>
      <c r="V25" s="74">
        <f t="shared" si="55"/>
        <v>105.77423914323749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6446.7094379999999</v>
      </c>
      <c r="AE25" s="76">
        <f t="shared" si="43"/>
        <v>495.08196721311475</v>
      </c>
      <c r="AF25" s="346">
        <f t="shared" si="44"/>
        <v>507.36</v>
      </c>
      <c r="AG25" s="347"/>
      <c r="AH25" s="76">
        <f t="shared" si="45"/>
        <v>18.12</v>
      </c>
      <c r="AI25" s="76">
        <f t="shared" si="15"/>
        <v>60.4</v>
      </c>
      <c r="AJ25" s="76">
        <f>J25*Pricing!Q21</f>
        <v>0</v>
      </c>
      <c r="AK25" s="76">
        <f>J25*Pricing!R21</f>
        <v>0</v>
      </c>
      <c r="AL25" s="76">
        <f t="shared" si="16"/>
        <v>2361.8917763999998</v>
      </c>
      <c r="AM25" s="77">
        <f t="shared" si="17"/>
        <v>0</v>
      </c>
      <c r="AN25" s="76">
        <f t="shared" si="18"/>
        <v>2361.8917763999998</v>
      </c>
      <c r="AO25" s="72">
        <f t="shared" si="19"/>
        <v>8238.3521492388518</v>
      </c>
      <c r="AP25" s="74">
        <f t="shared" si="20"/>
        <v>10297.940186548565</v>
      </c>
      <c r="AQ25" s="74">
        <f t="shared" si="61"/>
        <v>0</v>
      </c>
      <c r="AR25" s="74">
        <f t="shared" si="22"/>
        <v>8447.6627039419909</v>
      </c>
      <c r="AS25" s="72">
        <f t="shared" si="23"/>
        <v>29706.785326587415</v>
      </c>
      <c r="AT25" s="72">
        <f t="shared" si="24"/>
        <v>13538.46270394199</v>
      </c>
      <c r="AU25" s="78">
        <f t="shared" si="62"/>
        <v>1257.7538743907462</v>
      </c>
      <c r="AV25" s="79">
        <f t="shared" si="26"/>
        <v>4.166181553802642E-2</v>
      </c>
      <c r="AW25" s="80">
        <f t="shared" si="27"/>
        <v>303.03633102677748</v>
      </c>
      <c r="AX25" s="81">
        <f t="shared" si="28"/>
        <v>954.71754336396862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WINDOW</v>
      </c>
      <c r="D26" s="131" t="str">
        <f>Pricing!B22</f>
        <v>W20</v>
      </c>
      <c r="E26" s="132" t="str">
        <f>Pricing!N22</f>
        <v>24MM</v>
      </c>
      <c r="F26" s="68">
        <f>Pricing!G22</f>
        <v>1987</v>
      </c>
      <c r="G26" s="68">
        <f>Pricing!H22</f>
        <v>1187</v>
      </c>
      <c r="H26" s="100">
        <f t="shared" si="0"/>
        <v>2.3585690000000001</v>
      </c>
      <c r="I26" s="70">
        <f>Pricing!I22</f>
        <v>1</v>
      </c>
      <c r="J26" s="69">
        <f t="shared" si="30"/>
        <v>2.3585690000000001</v>
      </c>
      <c r="K26" s="71">
        <f t="shared" si="31"/>
        <v>25.387636715999999</v>
      </c>
      <c r="L26" s="69"/>
      <c r="M26" s="72"/>
      <c r="N26" s="72"/>
      <c r="O26" s="72">
        <f t="shared" si="3"/>
        <v>0</v>
      </c>
      <c r="P26" s="73">
        <f>Pricing!M22</f>
        <v>23768.71</v>
      </c>
      <c r="Q26" s="74">
        <f t="shared" si="50"/>
        <v>2376.8710000000001</v>
      </c>
      <c r="R26" s="74">
        <f t="shared" si="51"/>
        <v>2876.0139099999997</v>
      </c>
      <c r="S26" s="74">
        <f t="shared" si="52"/>
        <v>145.10797454999999</v>
      </c>
      <c r="T26" s="74">
        <f t="shared" si="53"/>
        <v>291.6670288455</v>
      </c>
      <c r="U26" s="72">
        <f t="shared" si="54"/>
        <v>29458.369913395498</v>
      </c>
      <c r="V26" s="74">
        <f t="shared" si="55"/>
        <v>441.87554870093243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6929.4757220000001</v>
      </c>
      <c r="AE26" s="76">
        <f t="shared" si="43"/>
        <v>520.32786885245901</v>
      </c>
      <c r="AF26" s="346">
        <f t="shared" si="44"/>
        <v>533.23200000000008</v>
      </c>
      <c r="AG26" s="347"/>
      <c r="AH26" s="76">
        <f t="shared" si="45"/>
        <v>19.044</v>
      </c>
      <c r="AI26" s="76">
        <f t="shared" si="15"/>
        <v>63.48</v>
      </c>
      <c r="AJ26" s="76">
        <f>J26*Pricing!Q22</f>
        <v>1269.3818357999999</v>
      </c>
      <c r="AK26" s="76">
        <f>J26*Pricing!R22</f>
        <v>0</v>
      </c>
      <c r="AL26" s="76">
        <f t="shared" si="16"/>
        <v>2538.7636715999997</v>
      </c>
      <c r="AM26" s="77">
        <f t="shared" si="17"/>
        <v>0</v>
      </c>
      <c r="AN26" s="76">
        <f t="shared" si="18"/>
        <v>2538.7636715999997</v>
      </c>
      <c r="AO26" s="72">
        <f t="shared" si="19"/>
        <v>31036.329330948891</v>
      </c>
      <c r="AP26" s="74">
        <f t="shared" si="20"/>
        <v>38795.411663686114</v>
      </c>
      <c r="AQ26" s="74">
        <f t="shared" si="61"/>
        <v>0</v>
      </c>
      <c r="AR26" s="74">
        <f t="shared" si="22"/>
        <v>29607.673548933697</v>
      </c>
      <c r="AS26" s="72">
        <f t="shared" si="23"/>
        <v>83108.125895635007</v>
      </c>
      <c r="AT26" s="72">
        <f t="shared" si="24"/>
        <v>35236.673548933701</v>
      </c>
      <c r="AU26" s="78">
        <f t="shared" si="62"/>
        <v>3273.5668477270256</v>
      </c>
      <c r="AV26" s="79">
        <f t="shared" si="26"/>
        <v>4.4781689338050865E-2</v>
      </c>
      <c r="AW26" s="80">
        <f t="shared" si="27"/>
        <v>1177.7482794707103</v>
      </c>
      <c r="AX26" s="81">
        <f t="shared" si="28"/>
        <v>2095.8185682563148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GLASS LOUVERS</v>
      </c>
      <c r="D27" s="131" t="str">
        <f>Pricing!B23</f>
        <v>W21</v>
      </c>
      <c r="E27" s="132" t="str">
        <f>Pricing!N23</f>
        <v>6MM (F)</v>
      </c>
      <c r="F27" s="68">
        <f>Pricing!G23</f>
        <v>607</v>
      </c>
      <c r="G27" s="68">
        <f>Pricing!H23</f>
        <v>359</v>
      </c>
      <c r="H27" s="100">
        <f t="shared" si="0"/>
        <v>0.217913</v>
      </c>
      <c r="I27" s="70">
        <f>Pricing!I23</f>
        <v>1</v>
      </c>
      <c r="J27" s="69">
        <f t="shared" si="30"/>
        <v>0.217913</v>
      </c>
      <c r="K27" s="71">
        <f t="shared" si="31"/>
        <v>2.3456155319999996</v>
      </c>
      <c r="L27" s="69"/>
      <c r="M27" s="72"/>
      <c r="N27" s="72"/>
      <c r="O27" s="72">
        <f t="shared" si="3"/>
        <v>0</v>
      </c>
      <c r="P27" s="73">
        <f>Pricing!M23</f>
        <v>707.16</v>
      </c>
      <c r="Q27" s="74">
        <f t="shared" si="4"/>
        <v>70.715999999999994</v>
      </c>
      <c r="R27" s="74">
        <f t="shared" si="5"/>
        <v>85.566360000000003</v>
      </c>
      <c r="S27" s="74">
        <f t="shared" si="6"/>
        <v>4.3172117999999999</v>
      </c>
      <c r="T27" s="74">
        <f t="shared" si="7"/>
        <v>8.677595718000001</v>
      </c>
      <c r="U27" s="72">
        <f t="shared" si="8"/>
        <v>876.43716751800002</v>
      </c>
      <c r="V27" s="74">
        <f t="shared" si="9"/>
        <v>13.14655751277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436.479739</v>
      </c>
      <c r="AE27" s="76">
        <f t="shared" si="43"/>
        <v>158.36065573770492</v>
      </c>
      <c r="AF27" s="346">
        <f t="shared" si="44"/>
        <v>162.28799999999998</v>
      </c>
      <c r="AG27" s="347"/>
      <c r="AH27" s="76">
        <f t="shared" si="45"/>
        <v>5.7959999999999994</v>
      </c>
      <c r="AI27" s="76">
        <f t="shared" ref="AI27:AI32" si="64">(((F27+G27)*2*I27)/1000)*2*$AI$7</f>
        <v>19.32</v>
      </c>
      <c r="AJ27" s="76">
        <f>J27*Pricing!Q23</f>
        <v>0</v>
      </c>
      <c r="AK27" s="76">
        <f>J27*Pricing!R23</f>
        <v>0</v>
      </c>
      <c r="AL27" s="76">
        <f t="shared" si="16"/>
        <v>234.56155319999996</v>
      </c>
      <c r="AM27" s="77">
        <f t="shared" si="17"/>
        <v>0</v>
      </c>
      <c r="AN27" s="76">
        <f t="shared" si="18"/>
        <v>234.56155319999996</v>
      </c>
      <c r="AO27" s="72">
        <f t="shared" si="19"/>
        <v>1235.3483807684752</v>
      </c>
      <c r="AP27" s="74">
        <f t="shared" si="20"/>
        <v>1544.185475960594</v>
      </c>
      <c r="AQ27" s="74">
        <f t="shared" si="21"/>
        <v>0</v>
      </c>
      <c r="AR27" s="74">
        <f t="shared" si="22"/>
        <v>12755.245702317297</v>
      </c>
      <c r="AS27" s="72">
        <f t="shared" si="23"/>
        <v>3685.1367021290689</v>
      </c>
      <c r="AT27" s="72">
        <f t="shared" si="24"/>
        <v>16911.045702317297</v>
      </c>
      <c r="AU27" s="78">
        <f t="shared" si="25"/>
        <v>1571.0744799625882</v>
      </c>
      <c r="AV27" s="79">
        <f t="shared" si="26"/>
        <v>4.1374716061826798E-3</v>
      </c>
      <c r="AW27" s="80">
        <f t="shared" si="27"/>
        <v>379.2538516626646</v>
      </c>
      <c r="AX27" s="81">
        <f t="shared" si="28"/>
        <v>1191.8206282999236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DOOR</v>
      </c>
      <c r="D28" s="131" t="str">
        <f>Pricing!B24</f>
        <v>W22</v>
      </c>
      <c r="E28" s="132" t="str">
        <f>Pricing!N24</f>
        <v>24MM</v>
      </c>
      <c r="F28" s="68">
        <f>Pricing!G24</f>
        <v>2929</v>
      </c>
      <c r="G28" s="68">
        <f>Pricing!H24</f>
        <v>2123</v>
      </c>
      <c r="H28" s="100">
        <f t="shared" si="0"/>
        <v>6.218267</v>
      </c>
      <c r="I28" s="70">
        <f>Pricing!I24</f>
        <v>1</v>
      </c>
      <c r="J28" s="69">
        <f t="shared" si="30"/>
        <v>6.218267</v>
      </c>
      <c r="K28" s="71">
        <f t="shared" si="31"/>
        <v>66.933425987999996</v>
      </c>
      <c r="L28" s="69"/>
      <c r="M28" s="72"/>
      <c r="N28" s="72"/>
      <c r="O28" s="72">
        <f t="shared" si="3"/>
        <v>0</v>
      </c>
      <c r="P28" s="73">
        <f>Pricing!M24</f>
        <v>39092.17</v>
      </c>
      <c r="Q28" s="74">
        <f t="shared" si="4"/>
        <v>3909.2170000000001</v>
      </c>
      <c r="R28" s="74">
        <f t="shared" si="5"/>
        <v>4730.1525699999993</v>
      </c>
      <c r="S28" s="74">
        <f t="shared" si="6"/>
        <v>238.65769784999998</v>
      </c>
      <c r="T28" s="74">
        <f t="shared" si="7"/>
        <v>479.70197267849994</v>
      </c>
      <c r="U28" s="72">
        <f t="shared" si="8"/>
        <v>48449.899240528495</v>
      </c>
      <c r="V28" s="74">
        <f t="shared" si="9"/>
        <v>726.74848860792736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18269.268445999998</v>
      </c>
      <c r="AE28" s="76">
        <f t="shared" si="43"/>
        <v>828.19672131147536</v>
      </c>
      <c r="AF28" s="346">
        <f t="shared" si="44"/>
        <v>848.73599999999999</v>
      </c>
      <c r="AG28" s="347"/>
      <c r="AH28" s="76">
        <f t="shared" si="45"/>
        <v>30.311999999999998</v>
      </c>
      <c r="AI28" s="76">
        <f t="shared" si="64"/>
        <v>101.03999999999999</v>
      </c>
      <c r="AJ28" s="76">
        <f>J28*Pricing!Q24</f>
        <v>3346.6712993999995</v>
      </c>
      <c r="AK28" s="76">
        <f>J28*Pricing!R24</f>
        <v>0</v>
      </c>
      <c r="AL28" s="76">
        <f t="shared" si="16"/>
        <v>6693.342598799999</v>
      </c>
      <c r="AM28" s="77">
        <f t="shared" si="17"/>
        <v>0</v>
      </c>
      <c r="AN28" s="76">
        <f t="shared" si="18"/>
        <v>6693.342598799999</v>
      </c>
      <c r="AO28" s="72">
        <f t="shared" si="19"/>
        <v>50984.932450447901</v>
      </c>
      <c r="AP28" s="74">
        <f t="shared" si="20"/>
        <v>63731.165563059876</v>
      </c>
      <c r="AQ28" s="74">
        <f t="shared" si="21"/>
        <v>0</v>
      </c>
      <c r="AR28" s="74">
        <f t="shared" si="22"/>
        <v>18448.242575223576</v>
      </c>
      <c r="AS28" s="72">
        <f t="shared" si="23"/>
        <v>149718.72295650779</v>
      </c>
      <c r="AT28" s="72">
        <f t="shared" si="24"/>
        <v>24077.242575223576</v>
      </c>
      <c r="AU28" s="78">
        <f t="shared" si="25"/>
        <v>2236.8304139003694</v>
      </c>
      <c r="AV28" s="79">
        <f t="shared" si="26"/>
        <v>0.11806502206000906</v>
      </c>
      <c r="AW28" s="80">
        <f t="shared" si="27"/>
        <v>734.70985540099116</v>
      </c>
      <c r="AX28" s="81">
        <f t="shared" si="28"/>
        <v>1502.1205584993784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GLASS LOUVERS</v>
      </c>
      <c r="D29" s="131" t="str">
        <f>Pricing!B25</f>
        <v>W23</v>
      </c>
      <c r="E29" s="132" t="str">
        <f>Pricing!N25</f>
        <v>6MM (F)</v>
      </c>
      <c r="F29" s="68">
        <f>Pricing!G25</f>
        <v>610</v>
      </c>
      <c r="G29" s="68">
        <f>Pricing!H25</f>
        <v>354</v>
      </c>
      <c r="H29" s="100">
        <f t="shared" si="0"/>
        <v>0.21593999999999999</v>
      </c>
      <c r="I29" s="70">
        <f>Pricing!I25</f>
        <v>1</v>
      </c>
      <c r="J29" s="69">
        <f t="shared" si="30"/>
        <v>0.21593999999999999</v>
      </c>
      <c r="K29" s="71">
        <f t="shared" si="31"/>
        <v>2.3243781599999997</v>
      </c>
      <c r="L29" s="69"/>
      <c r="M29" s="72"/>
      <c r="N29" s="72"/>
      <c r="O29" s="72">
        <f t="shared" si="3"/>
        <v>0</v>
      </c>
      <c r="P29" s="73">
        <f>Pricing!M25</f>
        <v>707.16</v>
      </c>
      <c r="Q29" s="74">
        <f t="shared" si="4"/>
        <v>70.715999999999994</v>
      </c>
      <c r="R29" s="74">
        <f t="shared" si="5"/>
        <v>85.566360000000003</v>
      </c>
      <c r="S29" s="74">
        <f t="shared" si="6"/>
        <v>4.3172117999999999</v>
      </c>
      <c r="T29" s="74">
        <f t="shared" si="7"/>
        <v>8.677595718000001</v>
      </c>
      <c r="U29" s="72">
        <f t="shared" si="8"/>
        <v>876.43716751800002</v>
      </c>
      <c r="V29" s="74">
        <f t="shared" si="9"/>
        <v>13.14655751277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432.52781999999996</v>
      </c>
      <c r="AE29" s="76">
        <f t="shared" si="43"/>
        <v>158.03278688524588</v>
      </c>
      <c r="AF29" s="346">
        <f t="shared" si="44"/>
        <v>161.952</v>
      </c>
      <c r="AG29" s="347"/>
      <c r="AH29" s="76">
        <f t="shared" si="45"/>
        <v>5.7839999999999998</v>
      </c>
      <c r="AI29" s="76">
        <f t="shared" si="64"/>
        <v>19.28</v>
      </c>
      <c r="AJ29" s="76">
        <f>J29*Pricing!Q25</f>
        <v>0</v>
      </c>
      <c r="AK29" s="76">
        <f>J29*Pricing!R25</f>
        <v>0</v>
      </c>
      <c r="AL29" s="76">
        <f t="shared" si="16"/>
        <v>232.43781599999997</v>
      </c>
      <c r="AM29" s="77">
        <f t="shared" si="17"/>
        <v>0</v>
      </c>
      <c r="AN29" s="76">
        <f t="shared" si="18"/>
        <v>232.43781599999997</v>
      </c>
      <c r="AO29" s="72">
        <f t="shared" si="19"/>
        <v>1234.6325119160158</v>
      </c>
      <c r="AP29" s="74">
        <f t="shared" si="20"/>
        <v>1543.2906398950197</v>
      </c>
      <c r="AQ29" s="74">
        <f t="shared" si="21"/>
        <v>0</v>
      </c>
      <c r="AR29" s="74">
        <f t="shared" si="22"/>
        <v>12864.328757113251</v>
      </c>
      <c r="AS29" s="72">
        <f t="shared" si="23"/>
        <v>3675.3266038110355</v>
      </c>
      <c r="AT29" s="72">
        <f t="shared" si="24"/>
        <v>17020.128757113253</v>
      </c>
      <c r="AU29" s="78">
        <f t="shared" si="25"/>
        <v>1581.208543024271</v>
      </c>
      <c r="AV29" s="79">
        <f t="shared" si="26"/>
        <v>4.1000106402054393E-3</v>
      </c>
      <c r="AW29" s="80">
        <f t="shared" si="27"/>
        <v>382.71901721481072</v>
      </c>
      <c r="AX29" s="81">
        <f t="shared" si="28"/>
        <v>1198.4895258094602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SIDE HUNG WINDOW</v>
      </c>
      <c r="D30" s="131" t="str">
        <f>Pricing!B26</f>
        <v>W24</v>
      </c>
      <c r="E30" s="132" t="str">
        <f>Pricing!N26</f>
        <v>24MM</v>
      </c>
      <c r="F30" s="68">
        <f>Pricing!G26</f>
        <v>905</v>
      </c>
      <c r="G30" s="68">
        <f>Pricing!H26</f>
        <v>1222</v>
      </c>
      <c r="H30" s="100">
        <f t="shared" si="0"/>
        <v>1.1059099999999999</v>
      </c>
      <c r="I30" s="70">
        <f>Pricing!I26</f>
        <v>1</v>
      </c>
      <c r="J30" s="69">
        <f t="shared" si="30"/>
        <v>1.1059099999999999</v>
      </c>
      <c r="K30" s="71">
        <f t="shared" si="31"/>
        <v>11.904015239999998</v>
      </c>
      <c r="L30" s="69"/>
      <c r="M30" s="72"/>
      <c r="N30" s="72"/>
      <c r="O30" s="72">
        <f t="shared" si="3"/>
        <v>0</v>
      </c>
      <c r="P30" s="73">
        <f>Pricing!M26</f>
        <v>14880.24</v>
      </c>
      <c r="Q30" s="74">
        <f t="shared" si="4"/>
        <v>1488.0240000000001</v>
      </c>
      <c r="R30" s="74">
        <f t="shared" si="5"/>
        <v>1800.5090399999999</v>
      </c>
      <c r="S30" s="74">
        <f t="shared" si="6"/>
        <v>90.843865199999996</v>
      </c>
      <c r="T30" s="74">
        <f t="shared" si="7"/>
        <v>182.59616905200002</v>
      </c>
      <c r="U30" s="72">
        <f t="shared" si="8"/>
        <v>18442.213074252002</v>
      </c>
      <c r="V30" s="74">
        <f t="shared" si="9"/>
        <v>276.63319611378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3249.1635799999999</v>
      </c>
      <c r="AE30" s="76">
        <f t="shared" si="43"/>
        <v>348.68852459016398</v>
      </c>
      <c r="AF30" s="346">
        <f t="shared" si="44"/>
        <v>357.33599999999996</v>
      </c>
      <c r="AG30" s="347"/>
      <c r="AH30" s="76">
        <f t="shared" si="45"/>
        <v>12.761999999999999</v>
      </c>
      <c r="AI30" s="76">
        <f t="shared" si="64"/>
        <v>42.539999999999992</v>
      </c>
      <c r="AJ30" s="76">
        <f>J30*Pricing!Q26</f>
        <v>0</v>
      </c>
      <c r="AK30" s="76">
        <f>J30*Pricing!R26</f>
        <v>0</v>
      </c>
      <c r="AL30" s="76">
        <f t="shared" si="16"/>
        <v>1190.4015239999999</v>
      </c>
      <c r="AM30" s="77">
        <f t="shared" si="17"/>
        <v>0</v>
      </c>
      <c r="AN30" s="76">
        <f t="shared" si="18"/>
        <v>1190.4015239999999</v>
      </c>
      <c r="AO30" s="72">
        <f t="shared" si="19"/>
        <v>19480.172794955946</v>
      </c>
      <c r="AP30" s="74">
        <f t="shared" si="20"/>
        <v>24350.215993694932</v>
      </c>
      <c r="AQ30" s="74">
        <f t="shared" si="21"/>
        <v>0</v>
      </c>
      <c r="AR30" s="74">
        <f t="shared" si="22"/>
        <v>39632.871380718934</v>
      </c>
      <c r="AS30" s="72">
        <f t="shared" si="23"/>
        <v>49460.355416650877</v>
      </c>
      <c r="AT30" s="72">
        <f t="shared" si="24"/>
        <v>44723.671380718937</v>
      </c>
      <c r="AU30" s="78">
        <f t="shared" si="25"/>
        <v>4154.9304515718077</v>
      </c>
      <c r="AV30" s="79">
        <f t="shared" si="26"/>
        <v>2.0997697356254501E-2</v>
      </c>
      <c r="AW30" s="80">
        <f t="shared" si="27"/>
        <v>1572.4817125121376</v>
      </c>
      <c r="AX30" s="81">
        <f t="shared" si="28"/>
        <v>2582.4487390596705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SINGLE DOOR</v>
      </c>
      <c r="D31" s="131" t="str">
        <f>Pricing!B27</f>
        <v>W25</v>
      </c>
      <c r="E31" s="132" t="str">
        <f>Pricing!N27</f>
        <v>24MM</v>
      </c>
      <c r="F31" s="68">
        <f>Pricing!G27</f>
        <v>995</v>
      </c>
      <c r="G31" s="68">
        <f>Pricing!H27</f>
        <v>2239</v>
      </c>
      <c r="H31" s="100">
        <f t="shared" si="0"/>
        <v>2.227805</v>
      </c>
      <c r="I31" s="70">
        <f>Pricing!I27</f>
        <v>1</v>
      </c>
      <c r="J31" s="69">
        <f t="shared" si="30"/>
        <v>2.227805</v>
      </c>
      <c r="K31" s="71">
        <f t="shared" si="31"/>
        <v>23.980093019999998</v>
      </c>
      <c r="L31" s="69"/>
      <c r="M31" s="72"/>
      <c r="N31" s="72"/>
      <c r="O31" s="72">
        <f t="shared" si="3"/>
        <v>0</v>
      </c>
      <c r="P31" s="73">
        <f>Pricing!M27</f>
        <v>50586.840000000004</v>
      </c>
      <c r="Q31" s="74">
        <f t="shared" si="4"/>
        <v>5058.6840000000011</v>
      </c>
      <c r="R31" s="74">
        <f t="shared" si="5"/>
        <v>6121.0076400000007</v>
      </c>
      <c r="S31" s="74">
        <f t="shared" si="6"/>
        <v>308.83265820000003</v>
      </c>
      <c r="T31" s="74">
        <f t="shared" si="7"/>
        <v>620.75364298200009</v>
      </c>
      <c r="U31" s="72">
        <f t="shared" si="8"/>
        <v>62696.117941182012</v>
      </c>
      <c r="V31" s="74">
        <f t="shared" si="9"/>
        <v>940.44176911773013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6545.2910899999997</v>
      </c>
      <c r="AE31" s="76">
        <f t="shared" si="43"/>
        <v>530.1639344262295</v>
      </c>
      <c r="AF31" s="346">
        <f t="shared" si="44"/>
        <v>543.31200000000001</v>
      </c>
      <c r="AG31" s="347"/>
      <c r="AH31" s="76">
        <f t="shared" si="45"/>
        <v>19.404</v>
      </c>
      <c r="AI31" s="76">
        <f t="shared" si="64"/>
        <v>64.680000000000007</v>
      </c>
      <c r="AJ31" s="76">
        <f>J31*Pricing!Q27</f>
        <v>0</v>
      </c>
      <c r="AK31" s="76">
        <f>J31*Pricing!R27</f>
        <v>0</v>
      </c>
      <c r="AL31" s="76">
        <f t="shared" si="16"/>
        <v>2398.0093019999999</v>
      </c>
      <c r="AM31" s="77">
        <f t="shared" si="17"/>
        <v>0</v>
      </c>
      <c r="AN31" s="76">
        <f t="shared" si="18"/>
        <v>2398.0093019999999</v>
      </c>
      <c r="AO31" s="72">
        <f t="shared" si="19"/>
        <v>64794.119644725972</v>
      </c>
      <c r="AP31" s="74">
        <f t="shared" si="20"/>
        <v>80992.649555907468</v>
      </c>
      <c r="AQ31" s="74">
        <f t="shared" si="21"/>
        <v>0</v>
      </c>
      <c r="AR31" s="74">
        <f t="shared" si="22"/>
        <v>65439.645391151134</v>
      </c>
      <c r="AS31" s="72">
        <f t="shared" si="23"/>
        <v>157128.07889463345</v>
      </c>
      <c r="AT31" s="72">
        <f t="shared" si="24"/>
        <v>70530.445391151137</v>
      </c>
      <c r="AU31" s="78">
        <f t="shared" si="25"/>
        <v>6552.4382563313957</v>
      </c>
      <c r="AV31" s="79">
        <f t="shared" si="26"/>
        <v>4.2298898788102612E-2</v>
      </c>
      <c r="AW31" s="80">
        <f t="shared" si="27"/>
        <v>2653.7244729294944</v>
      </c>
      <c r="AX31" s="81">
        <f t="shared" si="28"/>
        <v>3898.7137834019004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52.121847000000017</v>
      </c>
      <c r="I109" s="87">
        <f>SUM(I8:I108)</f>
        <v>25</v>
      </c>
      <c r="J109" s="88">
        <f>SUM(J8:J108)</f>
        <v>52.66815600000001</v>
      </c>
      <c r="K109" s="89">
        <f>SUM(K8:K108)</f>
        <v>566.92003118400009</v>
      </c>
      <c r="L109" s="88">
        <f>SUM(L8:L8)</f>
        <v>0</v>
      </c>
      <c r="M109" s="88"/>
      <c r="N109" s="88"/>
      <c r="O109" s="88"/>
      <c r="P109" s="87">
        <f>SUM(P8:P108)</f>
        <v>443307.98000000004</v>
      </c>
      <c r="Q109" s="88">
        <f t="shared" ref="Q109:AE109" si="156">SUM(Q8:Q108)</f>
        <v>44330.797999999995</v>
      </c>
      <c r="R109" s="88">
        <f t="shared" si="156"/>
        <v>53640.265579999992</v>
      </c>
      <c r="S109" s="88">
        <f t="shared" si="156"/>
        <v>2706.3952179000003</v>
      </c>
      <c r="T109" s="88">
        <f t="shared" si="156"/>
        <v>5439.8543879789986</v>
      </c>
      <c r="U109" s="88">
        <f t="shared" si="156"/>
        <v>549425.29318587913</v>
      </c>
      <c r="V109" s="88">
        <f t="shared" si="156"/>
        <v>8241.3793977881851</v>
      </c>
      <c r="W109" s="87">
        <f t="shared" si="156"/>
        <v>5000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5000</v>
      </c>
      <c r="AC109" s="88">
        <f t="shared" si="156"/>
        <v>0</v>
      </c>
      <c r="AD109" s="88">
        <f t="shared" si="156"/>
        <v>151500.80540300001</v>
      </c>
      <c r="AE109" s="88">
        <f t="shared" si="156"/>
        <v>11150.163934426229</v>
      </c>
      <c r="AF109" s="407">
        <f>SUM(AF8:AG108)</f>
        <v>11426.688000000002</v>
      </c>
      <c r="AG109" s="408"/>
      <c r="AH109" s="88">
        <f t="shared" ref="AH109:AQ109" si="157">SUM(AH8:AH108)</f>
        <v>408.096</v>
      </c>
      <c r="AI109" s="88">
        <f t="shared" si="157"/>
        <v>1360.32</v>
      </c>
      <c r="AJ109" s="88">
        <f t="shared" ref="AJ109" si="158">SUM(AJ8:AJ108)</f>
        <v>19611.978937200001</v>
      </c>
      <c r="AK109" s="88">
        <f t="shared" si="157"/>
        <v>0</v>
      </c>
      <c r="AL109" s="88">
        <f t="shared" si="157"/>
        <v>56692.003118400004</v>
      </c>
      <c r="AM109" s="88">
        <f t="shared" si="157"/>
        <v>0</v>
      </c>
      <c r="AN109" s="88">
        <f t="shared" si="157"/>
        <v>56692.003118400004</v>
      </c>
      <c r="AO109" s="88">
        <f t="shared" si="157"/>
        <v>582011.94051809341</v>
      </c>
      <c r="AP109" s="88">
        <f t="shared" si="157"/>
        <v>727514.92564761685</v>
      </c>
      <c r="AQ109" s="88">
        <f t="shared" si="157"/>
        <v>0</v>
      </c>
      <c r="AR109" s="88"/>
      <c r="AS109" s="87">
        <f>SUM(AS8:AS108)</f>
        <v>1599023.6567427106</v>
      </c>
      <c r="AT109" s="90"/>
      <c r="AU109" s="91"/>
      <c r="AV109" s="92">
        <f>SUM(AV8:AV108)</f>
        <v>0.99999999999999956</v>
      </c>
    </row>
    <row r="110" spans="2:54" ht="13.5" thickTop="1">
      <c r="AF110" s="49">
        <f>AF109</f>
        <v>11426.688000000002</v>
      </c>
      <c r="AW110" s="84"/>
    </row>
    <row r="111" spans="2:54">
      <c r="AF111" s="174"/>
      <c r="AG111" s="174"/>
      <c r="AH111" s="174">
        <f>SUM(AE109:AI109,AC109)</f>
        <v>24345.267934426232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Q9" sqref="Q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ABPL-DE-19.20-2210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Amith</v>
      </c>
      <c r="G7" s="460"/>
      <c r="H7" s="460"/>
      <c r="I7" s="460"/>
      <c r="J7" s="461"/>
      <c r="K7" s="437" t="s">
        <v>104</v>
      </c>
      <c r="L7" s="429"/>
      <c r="M7" s="434">
        <f>'BD Team'!J3</f>
        <v>43739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43739</v>
      </c>
    </row>
    <row r="9" spans="2:15" ht="24.95" customHeight="1">
      <c r="B9" s="428" t="s">
        <v>168</v>
      </c>
      <c r="C9" s="429"/>
      <c r="D9" s="429"/>
      <c r="E9" s="429"/>
      <c r="F9" s="460" t="str">
        <f>'BD Team'!E4</f>
        <v>Ms. Rachana : 9154030271</v>
      </c>
      <c r="G9" s="460"/>
      <c r="H9" s="460"/>
      <c r="I9" s="460"/>
      <c r="J9" s="461"/>
      <c r="K9" s="437" t="s">
        <v>178</v>
      </c>
      <c r="L9" s="429"/>
      <c r="M9" s="449" t="str">
        <f>'BD Team'!J4</f>
        <v>Mahesh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Anodized</v>
      </c>
      <c r="G10" s="441" t="s">
        <v>177</v>
      </c>
      <c r="H10" s="442"/>
      <c r="I10" s="439" t="str">
        <f>'BD Team'!G5</f>
        <v>Silver</v>
      </c>
      <c r="J10" s="440"/>
      <c r="K10" s="438" t="s">
        <v>374</v>
      </c>
      <c r="L10" s="431"/>
      <c r="M10" s="432" t="str">
        <f>'BD Team'!J5</f>
        <v>Mr. Shekar</v>
      </c>
      <c r="N10" s="433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43" t="s">
        <v>63</v>
      </c>
      <c r="H13" s="443" t="s">
        <v>209</v>
      </c>
      <c r="I13" s="443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43"/>
      <c r="H14" s="443"/>
      <c r="I14" s="443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43"/>
      <c r="H15" s="443"/>
      <c r="I15" s="443"/>
      <c r="J15" s="466"/>
      <c r="K15" s="466"/>
      <c r="L15" s="465"/>
      <c r="M15" s="466"/>
      <c r="N15" s="467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24MM</v>
      </c>
      <c r="H16" s="187" t="str">
        <f>Pricing!F4</f>
        <v>GF - KITCHEN</v>
      </c>
      <c r="I16" s="216" t="str">
        <f>Pricing!E4</f>
        <v>SS</v>
      </c>
      <c r="J16" s="216">
        <f>Pricing!G4</f>
        <v>1524</v>
      </c>
      <c r="K16" s="216">
        <f>Pricing!H4</f>
        <v>672</v>
      </c>
      <c r="L16" s="216">
        <f>Pricing!I4</f>
        <v>1</v>
      </c>
      <c r="M16" s="188">
        <f t="shared" ref="M16:M24" si="0">J16*K16*L16/1000000</f>
        <v>1.0241279999999999</v>
      </c>
      <c r="N16" s="189">
        <f>'Cost Calculation'!AS8</f>
        <v>57361.022293433009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WINDOW</v>
      </c>
      <c r="G17" s="187" t="str">
        <f>Pricing!N5</f>
        <v>24MM</v>
      </c>
      <c r="H17" s="187" t="str">
        <f>Pricing!F5</f>
        <v>GF - KITCHEN</v>
      </c>
      <c r="I17" s="216" t="str">
        <f>Pricing!E5</f>
        <v>SS</v>
      </c>
      <c r="J17" s="216">
        <f>Pricing!G5</f>
        <v>1210</v>
      </c>
      <c r="K17" s="216">
        <f>Pricing!H5</f>
        <v>1056</v>
      </c>
      <c r="L17" s="216">
        <f>Pricing!I5</f>
        <v>1</v>
      </c>
      <c r="M17" s="188">
        <f t="shared" si="0"/>
        <v>1.27776</v>
      </c>
      <c r="N17" s="189">
        <f>'Cost Calculation'!AS9</f>
        <v>61544.382954991146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M15000</v>
      </c>
      <c r="F18" s="187" t="str">
        <f>Pricing!D6</f>
        <v>FRENCH CASEMENT DOOR</v>
      </c>
      <c r="G18" s="187" t="str">
        <f>Pricing!N6</f>
        <v>24MM</v>
      </c>
      <c r="H18" s="187" t="str">
        <f>Pricing!F6</f>
        <v>GF - SW - BEDROOM</v>
      </c>
      <c r="I18" s="216" t="str">
        <f>Pricing!E6</f>
        <v>NO</v>
      </c>
      <c r="J18" s="216">
        <f>Pricing!G6</f>
        <v>949</v>
      </c>
      <c r="K18" s="216">
        <f>Pricing!H6</f>
        <v>1805</v>
      </c>
      <c r="L18" s="216">
        <f>Pricing!I6</f>
        <v>1</v>
      </c>
      <c r="M18" s="188">
        <f t="shared" si="0"/>
        <v>1.7129449999999999</v>
      </c>
      <c r="N18" s="189">
        <f>'Cost Calculation'!AS10</f>
        <v>87509.746677566684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W4 &amp; W5</v>
      </c>
      <c r="E19" s="187" t="str">
        <f>Pricing!C7</f>
        <v>-</v>
      </c>
      <c r="F19" s="187" t="str">
        <f>Pricing!D7</f>
        <v>GLASS LOUVERS</v>
      </c>
      <c r="G19" s="187" t="str">
        <f>Pricing!N7</f>
        <v>6MM (F)</v>
      </c>
      <c r="H19" s="187" t="str">
        <f>Pricing!F7</f>
        <v>GF - SW - BEDROOM TOILET</v>
      </c>
      <c r="I19" s="216" t="str">
        <f>Pricing!E7</f>
        <v>NO</v>
      </c>
      <c r="J19" s="216">
        <f>Pricing!G7</f>
        <v>909</v>
      </c>
      <c r="K19" s="216">
        <f>Pricing!H7</f>
        <v>601</v>
      </c>
      <c r="L19" s="216">
        <f>Pricing!I7</f>
        <v>2</v>
      </c>
      <c r="M19" s="188">
        <f t="shared" si="0"/>
        <v>1.0926180000000001</v>
      </c>
      <c r="N19" s="189">
        <f>'Cost Calculation'!AS11</f>
        <v>13470.899541532088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W6</v>
      </c>
      <c r="E20" s="187" t="str">
        <f>Pricing!C8</f>
        <v>M14600</v>
      </c>
      <c r="F20" s="187" t="str">
        <f>Pricing!D8</f>
        <v>3 TRACK 2 SHUTTER SLIDING WINDOW</v>
      </c>
      <c r="G20" s="187" t="str">
        <f>Pricing!N8</f>
        <v>24MM</v>
      </c>
      <c r="H20" s="187" t="str">
        <f>Pricing!F8</f>
        <v>GF - NW BEDROOM</v>
      </c>
      <c r="I20" s="216" t="str">
        <f>Pricing!E8</f>
        <v>SS</v>
      </c>
      <c r="J20" s="216">
        <f>Pricing!G8</f>
        <v>1228</v>
      </c>
      <c r="K20" s="216">
        <f>Pricing!H8</f>
        <v>1739</v>
      </c>
      <c r="L20" s="216">
        <f>Pricing!I8</f>
        <v>1</v>
      </c>
      <c r="M20" s="188">
        <f t="shared" si="0"/>
        <v>2.1354920000000002</v>
      </c>
      <c r="N20" s="189">
        <f>'Cost Calculation'!AS12</f>
        <v>82486.812706705299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W7</v>
      </c>
      <c r="E21" s="187" t="str">
        <f>Pricing!C9</f>
        <v>M14600</v>
      </c>
      <c r="F21" s="187" t="str">
        <f>Pricing!D9</f>
        <v>3 TRACK 2 SHUTTER SLIDING WINDOW</v>
      </c>
      <c r="G21" s="187" t="str">
        <f>Pricing!N9</f>
        <v>24MM</v>
      </c>
      <c r="H21" s="187" t="str">
        <f>Pricing!F9</f>
        <v>GF - DINING</v>
      </c>
      <c r="I21" s="216" t="str">
        <f>Pricing!E9</f>
        <v>SS</v>
      </c>
      <c r="J21" s="216">
        <f>Pricing!G9</f>
        <v>3064</v>
      </c>
      <c r="K21" s="216">
        <f>Pricing!H9</f>
        <v>1955</v>
      </c>
      <c r="L21" s="216">
        <f>Pricing!I9</f>
        <v>1</v>
      </c>
      <c r="M21" s="188">
        <f t="shared" si="0"/>
        <v>5.9901200000000001</v>
      </c>
      <c r="N21" s="189">
        <f>'Cost Calculation'!AS13</f>
        <v>139231.72544518547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W8</v>
      </c>
      <c r="E22" s="187" t="str">
        <f>Pricing!C10</f>
        <v>M15000</v>
      </c>
      <c r="F22" s="187" t="str">
        <f>Pricing!D10</f>
        <v>FRENCH CASEMENT DOOR</v>
      </c>
      <c r="G22" s="187" t="str">
        <f>Pricing!N10</f>
        <v>24MM</v>
      </c>
      <c r="H22" s="187" t="str">
        <f>Pricing!F10</f>
        <v>GF - POOJA</v>
      </c>
      <c r="I22" s="216" t="str">
        <f>Pricing!E10</f>
        <v>NO</v>
      </c>
      <c r="J22" s="216">
        <f>Pricing!G10</f>
        <v>894</v>
      </c>
      <c r="K22" s="216">
        <f>Pricing!H10</f>
        <v>1748</v>
      </c>
      <c r="L22" s="216">
        <f>Pricing!I10</f>
        <v>1</v>
      </c>
      <c r="M22" s="188">
        <f t="shared" si="0"/>
        <v>1.5627120000000001</v>
      </c>
      <c r="N22" s="189">
        <f>'Cost Calculation'!AS14</f>
        <v>84841.11788803566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W9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24MM</v>
      </c>
      <c r="H23" s="187" t="str">
        <f>Pricing!F11</f>
        <v>GF - STAIRCASE</v>
      </c>
      <c r="I23" s="216" t="str">
        <f>Pricing!E11</f>
        <v>NO</v>
      </c>
      <c r="J23" s="216">
        <f>Pricing!G11</f>
        <v>1020</v>
      </c>
      <c r="K23" s="216">
        <f>Pricing!H11</f>
        <v>1151</v>
      </c>
      <c r="L23" s="216">
        <f>Pricing!I11</f>
        <v>1</v>
      </c>
      <c r="M23" s="188">
        <f t="shared" si="0"/>
        <v>1.1740200000000001</v>
      </c>
      <c r="N23" s="189">
        <f>'Cost Calculation'!AS15</f>
        <v>19687.516436540474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W10</v>
      </c>
      <c r="E24" s="187" t="str">
        <f>Pricing!C12</f>
        <v>M14600</v>
      </c>
      <c r="F24" s="187" t="str">
        <f>Pricing!D12</f>
        <v>3 TRACK 2 SHUTTER SLIDING WINDOW</v>
      </c>
      <c r="G24" s="187" t="str">
        <f>Pricing!N12</f>
        <v>24MM</v>
      </c>
      <c r="H24" s="187" t="str">
        <f>Pricing!F12</f>
        <v>1F - SW - BEDROOM</v>
      </c>
      <c r="I24" s="216" t="str">
        <f>Pricing!E12</f>
        <v>SS</v>
      </c>
      <c r="J24" s="216">
        <f>Pricing!G12</f>
        <v>2146</v>
      </c>
      <c r="K24" s="216">
        <f>Pricing!H12</f>
        <v>1716</v>
      </c>
      <c r="L24" s="216">
        <f>Pricing!I12</f>
        <v>1</v>
      </c>
      <c r="M24" s="188">
        <f t="shared" si="0"/>
        <v>3.6825359999999998</v>
      </c>
      <c r="N24" s="189">
        <f>'Cost Calculation'!AS16</f>
        <v>107989.5014567482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W11</v>
      </c>
      <c r="E25" s="187" t="str">
        <f>Pricing!C13</f>
        <v>-</v>
      </c>
      <c r="F25" s="187" t="str">
        <f>Pricing!D13</f>
        <v>GLASS LOUVERS</v>
      </c>
      <c r="G25" s="187" t="str">
        <f>Pricing!N13</f>
        <v>6MM (F)</v>
      </c>
      <c r="H25" s="187" t="str">
        <f>Pricing!F13</f>
        <v>1F - SW - BEDROOM TOILET</v>
      </c>
      <c r="I25" s="216" t="str">
        <f>Pricing!E13</f>
        <v>NO</v>
      </c>
      <c r="J25" s="216">
        <f>Pricing!G13</f>
        <v>1543</v>
      </c>
      <c r="K25" s="216">
        <f>Pricing!H13</f>
        <v>599</v>
      </c>
      <c r="L25" s="216">
        <f>Pricing!I13</f>
        <v>1</v>
      </c>
      <c r="M25" s="188">
        <f t="shared" ref="M25:M42" si="1">J25*K25*L25/1000000</f>
        <v>0.924257</v>
      </c>
      <c r="N25" s="189">
        <f>'Cost Calculation'!AS17</f>
        <v>11058.645242466126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W12</v>
      </c>
      <c r="E26" s="187" t="str">
        <f>Pricing!C14</f>
        <v>-</v>
      </c>
      <c r="F26" s="187" t="str">
        <f>Pricing!D14</f>
        <v>GLASS LOUVERS</v>
      </c>
      <c r="G26" s="187" t="str">
        <f>Pricing!N14</f>
        <v>6MM (F)</v>
      </c>
      <c r="H26" s="187" t="str">
        <f>Pricing!F14</f>
        <v>1F - NW - BEDROOM TOILET</v>
      </c>
      <c r="I26" s="216" t="str">
        <f>Pricing!E14</f>
        <v>NO</v>
      </c>
      <c r="J26" s="216">
        <f>Pricing!G14</f>
        <v>1211</v>
      </c>
      <c r="K26" s="216">
        <f>Pricing!H14</f>
        <v>607</v>
      </c>
      <c r="L26" s="216">
        <f>Pricing!I14</f>
        <v>1</v>
      </c>
      <c r="M26" s="188">
        <f t="shared" si="1"/>
        <v>0.73507699999999998</v>
      </c>
      <c r="N26" s="189">
        <f>'Cost Calculation'!AS18</f>
        <v>9426.5528557958842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W13</v>
      </c>
      <c r="E27" s="187" t="str">
        <f>Pricing!C15</f>
        <v>M14600</v>
      </c>
      <c r="F27" s="187" t="str">
        <f>Pricing!D15</f>
        <v>3 TRACK 2 SHUTTER SLIDING WINDOW</v>
      </c>
      <c r="G27" s="187" t="str">
        <f>Pricing!N15</f>
        <v>24MM</v>
      </c>
      <c r="H27" s="187" t="str">
        <f>Pricing!F15</f>
        <v>1F - NW - BEDROOM</v>
      </c>
      <c r="I27" s="216" t="str">
        <f>Pricing!E15</f>
        <v>SS</v>
      </c>
      <c r="J27" s="216">
        <f>Pricing!G15</f>
        <v>1885</v>
      </c>
      <c r="K27" s="216">
        <f>Pricing!H15</f>
        <v>1758</v>
      </c>
      <c r="L27" s="216">
        <f>Pricing!I15</f>
        <v>1</v>
      </c>
      <c r="M27" s="188">
        <f t="shared" si="1"/>
        <v>3.3138299999999998</v>
      </c>
      <c r="N27" s="189">
        <f>'Cost Calculation'!AS19</f>
        <v>103000.80368807704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W14</v>
      </c>
      <c r="E28" s="187" t="str">
        <f>Pricing!C16</f>
        <v>M14600</v>
      </c>
      <c r="F28" s="187" t="str">
        <f>Pricing!D16</f>
        <v>3 TRACK 2 SHUTTER SLIDING DOOR</v>
      </c>
      <c r="G28" s="187" t="str">
        <f>Pricing!N16</f>
        <v>24MM</v>
      </c>
      <c r="H28" s="187" t="str">
        <f>Pricing!F16</f>
        <v>1F - FAMILY ROOM</v>
      </c>
      <c r="I28" s="216" t="str">
        <f>Pricing!E16</f>
        <v>SS</v>
      </c>
      <c r="J28" s="216">
        <f>Pricing!G16</f>
        <v>3567</v>
      </c>
      <c r="K28" s="216">
        <f>Pricing!H16</f>
        <v>2332</v>
      </c>
      <c r="L28" s="216">
        <f>Pricing!I16</f>
        <v>1</v>
      </c>
      <c r="M28" s="188">
        <f t="shared" si="1"/>
        <v>8.318244</v>
      </c>
      <c r="N28" s="189">
        <f>'Cost Calculation'!AS20</f>
        <v>179247.45207977487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W15</v>
      </c>
      <c r="E29" s="187" t="str">
        <f>Pricing!C17</f>
        <v>M14600</v>
      </c>
      <c r="F29" s="187" t="str">
        <f>Pricing!D17</f>
        <v>3 TRACK 2 SHUTTER SLIDING WINDOW</v>
      </c>
      <c r="G29" s="187" t="str">
        <f>Pricing!N17</f>
        <v>24MM</v>
      </c>
      <c r="H29" s="187" t="str">
        <f>Pricing!F17</f>
        <v>1F - SE BEDROOM</v>
      </c>
      <c r="I29" s="216" t="str">
        <f>Pricing!E17</f>
        <v>SS</v>
      </c>
      <c r="J29" s="216">
        <f>Pricing!G17</f>
        <v>1212</v>
      </c>
      <c r="K29" s="216">
        <f>Pricing!H17</f>
        <v>1750</v>
      </c>
      <c r="L29" s="216">
        <f>Pricing!I17</f>
        <v>1</v>
      </c>
      <c r="M29" s="188">
        <f t="shared" si="1"/>
        <v>2.121</v>
      </c>
      <c r="N29" s="189">
        <f>'Cost Calculation'!AS21</f>
        <v>82373.019442870514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W16</v>
      </c>
      <c r="E30" s="187" t="str">
        <f>Pricing!C18</f>
        <v>-</v>
      </c>
      <c r="F30" s="187" t="str">
        <f>Pricing!D18</f>
        <v>GLASS LOUVERS</v>
      </c>
      <c r="G30" s="187" t="str">
        <f>Pricing!N18</f>
        <v>6MM (F)</v>
      </c>
      <c r="H30" s="187" t="str">
        <f>Pricing!F18</f>
        <v>1F - SE BEDROOM TOILET</v>
      </c>
      <c r="I30" s="216" t="str">
        <f>Pricing!E18</f>
        <v>NO</v>
      </c>
      <c r="J30" s="216">
        <f>Pricing!G18</f>
        <v>610</v>
      </c>
      <c r="K30" s="216">
        <f>Pricing!H18</f>
        <v>455</v>
      </c>
      <c r="L30" s="216">
        <f>Pricing!I18</f>
        <v>1</v>
      </c>
      <c r="M30" s="188">
        <f t="shared" si="1"/>
        <v>0.27755000000000002</v>
      </c>
      <c r="N30" s="189">
        <f>'Cost Calculation'!AS22</f>
        <v>4296.9656283637423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W17</v>
      </c>
      <c r="E31" s="187" t="str">
        <f>Pricing!C19</f>
        <v>M15000</v>
      </c>
      <c r="F31" s="187" t="str">
        <f>Pricing!D19</f>
        <v>SIDE HUNG WINDOW</v>
      </c>
      <c r="G31" s="187" t="str">
        <f>Pricing!N19</f>
        <v>24MM</v>
      </c>
      <c r="H31" s="187" t="str">
        <f>Pricing!F19</f>
        <v>1F - SE BEDROOM</v>
      </c>
      <c r="I31" s="216" t="str">
        <f>Pricing!E19</f>
        <v>NO</v>
      </c>
      <c r="J31" s="216">
        <f>Pricing!G19</f>
        <v>645</v>
      </c>
      <c r="K31" s="216">
        <f>Pricing!H19</f>
        <v>1756</v>
      </c>
      <c r="L31" s="216">
        <f>Pricing!I19</f>
        <v>1</v>
      </c>
      <c r="M31" s="188">
        <f t="shared" si="1"/>
        <v>1.13262</v>
      </c>
      <c r="N31" s="189">
        <f>'Cost Calculation'!AS23</f>
        <v>54247.688029745419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W18</v>
      </c>
      <c r="E32" s="187" t="str">
        <f>Pricing!C20</f>
        <v>M15000</v>
      </c>
      <c r="F32" s="187" t="str">
        <f>Pricing!D20</f>
        <v>FIXED GLASS</v>
      </c>
      <c r="G32" s="187" t="str">
        <f>Pricing!N20</f>
        <v>24MM</v>
      </c>
      <c r="H32" s="187" t="str">
        <f>Pricing!F20</f>
        <v>1F - STAIRCASE</v>
      </c>
      <c r="I32" s="216" t="str">
        <f>Pricing!E20</f>
        <v>NO</v>
      </c>
      <c r="J32" s="216">
        <f>Pricing!G20</f>
        <v>1004</v>
      </c>
      <c r="K32" s="216">
        <f>Pricing!H20</f>
        <v>1648</v>
      </c>
      <c r="L32" s="216">
        <f>Pricing!I20</f>
        <v>1</v>
      </c>
      <c r="M32" s="188">
        <f t="shared" si="1"/>
        <v>1.6545920000000001</v>
      </c>
      <c r="N32" s="189">
        <f>'Cost Calculation'!AS24</f>
        <v>24767.272578924058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W19</v>
      </c>
      <c r="E33" s="187" t="str">
        <f>Pricing!C21</f>
        <v>M15000</v>
      </c>
      <c r="F33" s="187" t="str">
        <f>Pricing!D21</f>
        <v>FIXED GLASS</v>
      </c>
      <c r="G33" s="187" t="str">
        <f>Pricing!N21</f>
        <v>24MM</v>
      </c>
      <c r="H33" s="187" t="str">
        <f>Pricing!F21</f>
        <v>1F - STAIRCASE</v>
      </c>
      <c r="I33" s="216" t="str">
        <f>Pricing!E21</f>
        <v>NO</v>
      </c>
      <c r="J33" s="216">
        <f>Pricing!G21</f>
        <v>1803</v>
      </c>
      <c r="K33" s="216">
        <f>Pricing!H21</f>
        <v>1217</v>
      </c>
      <c r="L33" s="216">
        <f>Pricing!I21</f>
        <v>1</v>
      </c>
      <c r="M33" s="188">
        <f t="shared" si="1"/>
        <v>2.194251</v>
      </c>
      <c r="N33" s="189">
        <f>'Cost Calculation'!AS25</f>
        <v>29706.785326587415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W20</v>
      </c>
      <c r="E34" s="187" t="str">
        <f>Pricing!C22</f>
        <v>M14600</v>
      </c>
      <c r="F34" s="187" t="str">
        <f>Pricing!D22</f>
        <v>3 TRACK 2 SHUTTER SLIDING WINDOW</v>
      </c>
      <c r="G34" s="187" t="str">
        <f>Pricing!N22</f>
        <v>24MM</v>
      </c>
      <c r="H34" s="187" t="str">
        <f>Pricing!F22</f>
        <v>2F - GYM ROOM</v>
      </c>
      <c r="I34" s="216" t="str">
        <f>Pricing!E22</f>
        <v>SS</v>
      </c>
      <c r="J34" s="216">
        <f>Pricing!G22</f>
        <v>1987</v>
      </c>
      <c r="K34" s="216">
        <f>Pricing!H22</f>
        <v>1187</v>
      </c>
      <c r="L34" s="216">
        <f>Pricing!I22</f>
        <v>1</v>
      </c>
      <c r="M34" s="188">
        <f t="shared" si="1"/>
        <v>2.3585690000000001</v>
      </c>
      <c r="N34" s="189">
        <f>'Cost Calculation'!AS26</f>
        <v>83108.125895635007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W21</v>
      </c>
      <c r="E35" s="187" t="str">
        <f>Pricing!C23</f>
        <v>-</v>
      </c>
      <c r="F35" s="187" t="str">
        <f>Pricing!D23</f>
        <v>GLASS LOUVERS</v>
      </c>
      <c r="G35" s="187" t="str">
        <f>Pricing!N23</f>
        <v>6MM (F)</v>
      </c>
      <c r="H35" s="187" t="str">
        <f>Pricing!F23</f>
        <v>2F - GYM ROOM TOILET</v>
      </c>
      <c r="I35" s="216" t="str">
        <f>Pricing!E23</f>
        <v>NO</v>
      </c>
      <c r="J35" s="216">
        <f>Pricing!G23</f>
        <v>607</v>
      </c>
      <c r="K35" s="216">
        <f>Pricing!H23</f>
        <v>359</v>
      </c>
      <c r="L35" s="216">
        <f>Pricing!I23</f>
        <v>1</v>
      </c>
      <c r="M35" s="188">
        <f t="shared" si="1"/>
        <v>0.217913</v>
      </c>
      <c r="N35" s="189">
        <f>'Cost Calculation'!AS27</f>
        <v>3685.1367021290689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W22</v>
      </c>
      <c r="E36" s="187" t="str">
        <f>Pricing!C24</f>
        <v>M14600</v>
      </c>
      <c r="F36" s="187" t="str">
        <f>Pricing!D24</f>
        <v>3 TRACK 2 SHUTTER SLIDING DOOR</v>
      </c>
      <c r="G36" s="187" t="str">
        <f>Pricing!N24</f>
        <v>24MM</v>
      </c>
      <c r="H36" s="187" t="str">
        <f>Pricing!F24</f>
        <v>2F - HOME THEATER</v>
      </c>
      <c r="I36" s="216" t="str">
        <f>Pricing!E24</f>
        <v>SS</v>
      </c>
      <c r="J36" s="216">
        <f>Pricing!G24</f>
        <v>2929</v>
      </c>
      <c r="K36" s="216">
        <f>Pricing!H24</f>
        <v>2123</v>
      </c>
      <c r="L36" s="216">
        <f>Pricing!I24</f>
        <v>1</v>
      </c>
      <c r="M36" s="188">
        <f t="shared" si="1"/>
        <v>6.218267</v>
      </c>
      <c r="N36" s="189">
        <f>'Cost Calculation'!AS28</f>
        <v>149718.72295650779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W23</v>
      </c>
      <c r="E37" s="187" t="str">
        <f>Pricing!C25</f>
        <v>-</v>
      </c>
      <c r="F37" s="187" t="str">
        <f>Pricing!D25</f>
        <v>GLASS LOUVERS</v>
      </c>
      <c r="G37" s="187" t="str">
        <f>Pricing!N25</f>
        <v>6MM (F)</v>
      </c>
      <c r="H37" s="187" t="str">
        <f>Pricing!F25</f>
        <v>2F - SERVANT TOILET</v>
      </c>
      <c r="I37" s="216" t="str">
        <f>Pricing!E25</f>
        <v>NO</v>
      </c>
      <c r="J37" s="216">
        <f>Pricing!G25</f>
        <v>610</v>
      </c>
      <c r="K37" s="216">
        <f>Pricing!H25</f>
        <v>354</v>
      </c>
      <c r="L37" s="216">
        <f>Pricing!I25</f>
        <v>1</v>
      </c>
      <c r="M37" s="188">
        <f t="shared" si="1"/>
        <v>0.21593999999999999</v>
      </c>
      <c r="N37" s="189">
        <f>'Cost Calculation'!AS29</f>
        <v>3675.3266038110355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W24</v>
      </c>
      <c r="E38" s="187" t="str">
        <f>Pricing!C26</f>
        <v>M15000</v>
      </c>
      <c r="F38" s="187" t="str">
        <f>Pricing!D26</f>
        <v>SIDE HUNG WINDOW</v>
      </c>
      <c r="G38" s="187" t="str">
        <f>Pricing!N26</f>
        <v>24MM</v>
      </c>
      <c r="H38" s="187" t="str">
        <f>Pricing!F26</f>
        <v>2F - SERVANT BEDROOM</v>
      </c>
      <c r="I38" s="216" t="str">
        <f>Pricing!E26</f>
        <v>NO</v>
      </c>
      <c r="J38" s="216">
        <f>Pricing!G26</f>
        <v>905</v>
      </c>
      <c r="K38" s="216">
        <f>Pricing!H26</f>
        <v>1222</v>
      </c>
      <c r="L38" s="216">
        <f>Pricing!I26</f>
        <v>1</v>
      </c>
      <c r="M38" s="188">
        <f t="shared" si="1"/>
        <v>1.1059099999999999</v>
      </c>
      <c r="N38" s="189">
        <f>'Cost Calculation'!AS30</f>
        <v>49460.355416650877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W25</v>
      </c>
      <c r="E39" s="187" t="str">
        <f>Pricing!C27</f>
        <v>M15000</v>
      </c>
      <c r="F39" s="187" t="str">
        <f>Pricing!D27</f>
        <v>SINGLE DOOR</v>
      </c>
      <c r="G39" s="187" t="str">
        <f>Pricing!N27</f>
        <v>24MM</v>
      </c>
      <c r="H39" s="187" t="str">
        <f>Pricing!F27</f>
        <v>2F - OPEN TERRANCE DOOR</v>
      </c>
      <c r="I39" s="216" t="str">
        <f>Pricing!E27</f>
        <v>NO</v>
      </c>
      <c r="J39" s="216">
        <f>Pricing!G27</f>
        <v>995</v>
      </c>
      <c r="K39" s="216">
        <f>Pricing!H27</f>
        <v>2239</v>
      </c>
      <c r="L39" s="216">
        <f>Pricing!I27</f>
        <v>1</v>
      </c>
      <c r="M39" s="188">
        <f t="shared" si="1"/>
        <v>2.227805</v>
      </c>
      <c r="N39" s="189">
        <f>'Cost Calculation'!AS31</f>
        <v>157128.07889463345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2"/>
      <c r="C116" s="423"/>
      <c r="D116" s="423"/>
      <c r="E116" s="423"/>
      <c r="F116" s="423"/>
      <c r="G116" s="423"/>
      <c r="H116" s="423"/>
      <c r="I116" s="423"/>
      <c r="J116" s="423"/>
      <c r="K116" s="424"/>
      <c r="L116" s="190">
        <f>SUM(L16:L115)</f>
        <v>25</v>
      </c>
      <c r="M116" s="191">
        <f>SUM(M16:M115)</f>
        <v>52.66815600000001</v>
      </c>
      <c r="N116" s="186"/>
      <c r="O116" s="95"/>
    </row>
    <row r="117" spans="2:15" s="94" customFormat="1" ht="30" customHeight="1" thickTop="1" thickBot="1">
      <c r="B117" s="425" t="s">
        <v>180</v>
      </c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7"/>
      <c r="N117" s="192">
        <f>ROUND(SUM(N16:N115),0.1)</f>
        <v>1599024</v>
      </c>
      <c r="O117" s="95">
        <f>N117/SUM(M116)</f>
        <v>30360.356645104486</v>
      </c>
    </row>
    <row r="118" spans="2:15" s="94" customFormat="1" ht="30" customHeight="1" thickTop="1" thickBot="1">
      <c r="B118" s="425" t="s">
        <v>111</v>
      </c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192">
        <f>ROUND(N117*18%,0.1)</f>
        <v>287824</v>
      </c>
      <c r="O118" s="95">
        <f>N118/SUM(M116)</f>
        <v>5464.8581203412541</v>
      </c>
    </row>
    <row r="119" spans="2:15" s="94" customFormat="1" ht="30" customHeight="1" thickTop="1" thickBot="1">
      <c r="B119" s="425" t="s">
        <v>181</v>
      </c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192">
        <f>ROUND(SUM(N117:N118),0.1)</f>
        <v>1886848</v>
      </c>
      <c r="O119" s="95">
        <f>N119/SUM(M116)</f>
        <v>35825.214765445737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2820.5459536514759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487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19" t="s">
        <v>140</v>
      </c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1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389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3</v>
      </c>
      <c r="C130" s="411"/>
      <c r="D130" s="412" t="s">
        <v>404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0">
        <v>1</v>
      </c>
      <c r="C132" s="411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2</v>
      </c>
      <c r="C133" s="411"/>
      <c r="D133" s="412" t="s">
        <v>423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3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4</v>
      </c>
      <c r="C135" s="411"/>
      <c r="D135" s="412" t="s">
        <v>144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139" customFormat="1" ht="30" customHeight="1">
      <c r="B136" s="416" t="s">
        <v>145</v>
      </c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8"/>
    </row>
    <row r="137" spans="2:14" s="139" customFormat="1" ht="30" customHeight="1">
      <c r="B137" s="508" t="s">
        <v>146</v>
      </c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10"/>
    </row>
    <row r="138" spans="2:14" s="93" customFormat="1" ht="24.95" customHeight="1">
      <c r="B138" s="410">
        <v>1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2</v>
      </c>
      <c r="C139" s="411"/>
      <c r="D139" s="412" t="s">
        <v>401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3</v>
      </c>
      <c r="C140" s="411"/>
      <c r="D140" s="412" t="s">
        <v>148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4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5</v>
      </c>
      <c r="C142" s="411"/>
      <c r="D142" s="412" t="s">
        <v>150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6</v>
      </c>
      <c r="C143" s="411"/>
      <c r="D143" s="412" t="s">
        <v>151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16" t="s">
        <v>152</v>
      </c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0">
        <v>1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135" customHeight="1">
      <c r="B146" s="410">
        <v>2</v>
      </c>
      <c r="C146" s="411"/>
      <c r="D146" s="496" t="s">
        <v>421</v>
      </c>
      <c r="E146" s="497"/>
      <c r="F146" s="497"/>
      <c r="G146" s="497"/>
      <c r="H146" s="497"/>
      <c r="I146" s="497"/>
      <c r="J146" s="497"/>
      <c r="K146" s="497"/>
      <c r="L146" s="497"/>
      <c r="M146" s="497"/>
      <c r="N146" s="498"/>
    </row>
    <row r="147" spans="2:14" s="93" customFormat="1" ht="24.95" customHeight="1">
      <c r="B147" s="410">
        <v>3</v>
      </c>
      <c r="C147" s="411"/>
      <c r="D147" s="412" t="s">
        <v>154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0">
        <v>4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16" t="s">
        <v>156</v>
      </c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93" customFormat="1" ht="24.95" customHeight="1">
      <c r="B150" s="410">
        <v>1</v>
      </c>
      <c r="C150" s="411"/>
      <c r="D150" s="412" t="s">
        <v>157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55.9" customHeight="1">
      <c r="B151" s="410">
        <v>2</v>
      </c>
      <c r="C151" s="411"/>
      <c r="D151" s="496" t="s">
        <v>158</v>
      </c>
      <c r="E151" s="497"/>
      <c r="F151" s="497"/>
      <c r="G151" s="497"/>
      <c r="H151" s="497"/>
      <c r="I151" s="497"/>
      <c r="J151" s="497"/>
      <c r="K151" s="497"/>
      <c r="L151" s="497"/>
      <c r="M151" s="497"/>
      <c r="N151" s="498"/>
    </row>
    <row r="152" spans="2:14" s="140" customFormat="1" ht="30" customHeight="1">
      <c r="B152" s="416" t="s">
        <v>159</v>
      </c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8"/>
    </row>
    <row r="153" spans="2:14" s="93" customFormat="1" ht="24.95" customHeight="1">
      <c r="B153" s="410">
        <v>1</v>
      </c>
      <c r="C153" s="411"/>
      <c r="D153" s="474" t="s">
        <v>160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24.95" customHeight="1">
      <c r="B154" s="410">
        <v>2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49.9" customHeight="1">
      <c r="B155" s="410">
        <v>3</v>
      </c>
      <c r="C155" s="411"/>
      <c r="D155" s="493" t="s">
        <v>162</v>
      </c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10">
        <v>4</v>
      </c>
      <c r="C156" s="411"/>
      <c r="D156" s="474" t="s">
        <v>163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140" customFormat="1" ht="30" customHeight="1">
      <c r="B157" s="416" t="s">
        <v>164</v>
      </c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8"/>
    </row>
    <row r="158" spans="2:14" s="93" customFormat="1" ht="24.95" customHeight="1">
      <c r="B158" s="410">
        <v>1</v>
      </c>
      <c r="C158" s="411"/>
      <c r="D158" s="474" t="s">
        <v>165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0">
        <v>2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3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4</v>
      </c>
      <c r="C161" s="411"/>
      <c r="D161" s="474" t="s">
        <v>422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56" t="s">
        <v>239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41.25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39.950000000000003" customHeight="1" thickBot="1">
      <c r="B167" s="488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90"/>
    </row>
    <row r="168" spans="2:14" s="93" customFormat="1" ht="30" customHeight="1" thickTop="1">
      <c r="B168" s="470" t="s">
        <v>110</v>
      </c>
      <c r="C168" s="471"/>
      <c r="D168" s="471"/>
      <c r="E168" s="476"/>
      <c r="F168" s="477"/>
      <c r="G168" s="477"/>
      <c r="H168" s="477"/>
      <c r="I168" s="477"/>
      <c r="J168" s="477"/>
      <c r="K168" s="477"/>
      <c r="L168" s="478"/>
      <c r="M168" s="471" t="s">
        <v>204</v>
      </c>
      <c r="N168" s="472"/>
    </row>
    <row r="169" spans="2:14" s="93" customFormat="1" ht="33" customHeight="1" thickBot="1">
      <c r="B169" s="473" t="s">
        <v>107</v>
      </c>
      <c r="C169" s="468"/>
      <c r="D169" s="468"/>
      <c r="E169" s="479"/>
      <c r="F169" s="480"/>
      <c r="G169" s="480"/>
      <c r="H169" s="480"/>
      <c r="I169" s="480"/>
      <c r="J169" s="480"/>
      <c r="K169" s="480"/>
      <c r="L169" s="481"/>
      <c r="M169" s="468" t="s">
        <v>108</v>
      </c>
      <c r="N169" s="46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0:C130"/>
    <mergeCell ref="D130:N130"/>
    <mergeCell ref="B135:C135"/>
    <mergeCell ref="D135:N135"/>
    <mergeCell ref="B132:C132"/>
    <mergeCell ref="D132:N132"/>
    <mergeCell ref="B43:C43"/>
    <mergeCell ref="B44:C44"/>
    <mergeCell ref="B45:C45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54:C54"/>
    <mergeCell ref="B55:C55"/>
    <mergeCell ref="B133:C133"/>
    <mergeCell ref="D133:N133"/>
    <mergeCell ref="B129:C129"/>
    <mergeCell ref="D129:N129"/>
    <mergeCell ref="B20:C20"/>
    <mergeCell ref="B21:C21"/>
    <mergeCell ref="B22:C22"/>
    <mergeCell ref="B23:C23"/>
    <mergeCell ref="B41:C41"/>
    <mergeCell ref="B42:C42"/>
    <mergeCell ref="B131:N131"/>
    <mergeCell ref="B127:N127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3" sqref="C23:E2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43739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Amith</v>
      </c>
      <c r="E3" s="516"/>
      <c r="F3" s="519" t="s">
        <v>245</v>
      </c>
      <c r="G3" s="520">
        <f>QUOTATION!N8</f>
        <v>43739</v>
      </c>
    </row>
    <row r="4" spans="3:13">
      <c r="C4" s="297" t="s">
        <v>242</v>
      </c>
      <c r="D4" s="517" t="str">
        <f>QUOTATION!M6</f>
        <v>ABPL-DE-19.20-2210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168</v>
      </c>
      <c r="D6" s="516" t="str">
        <f>QUOTATION!F9</f>
        <v>Ms. Rachana : 9154030271</v>
      </c>
      <c r="E6" s="516"/>
      <c r="F6" s="519"/>
      <c r="G6" s="521"/>
    </row>
    <row r="7" spans="3:13">
      <c r="C7" s="297" t="s">
        <v>376</v>
      </c>
      <c r="D7" s="516" t="str">
        <f>QUOTATION!M10</f>
        <v>Mr. Shekar</v>
      </c>
      <c r="E7" s="516"/>
      <c r="F7" s="519"/>
      <c r="G7" s="521"/>
    </row>
    <row r="8" spans="3:13">
      <c r="C8" s="297" t="s">
        <v>176</v>
      </c>
      <c r="D8" s="516" t="str">
        <f>QUOTATION!F10</f>
        <v>Anodized</v>
      </c>
      <c r="E8" s="516"/>
      <c r="F8" s="519"/>
      <c r="G8" s="521"/>
    </row>
    <row r="9" spans="3:13">
      <c r="C9" s="297" t="s">
        <v>177</v>
      </c>
      <c r="D9" s="516" t="str">
        <f>QUOTATION!I10</f>
        <v>Silver</v>
      </c>
      <c r="E9" s="516"/>
      <c r="F9" s="519"/>
      <c r="G9" s="521"/>
    </row>
    <row r="10" spans="3:13">
      <c r="C10" s="297" t="s">
        <v>179</v>
      </c>
      <c r="D10" s="516" t="str">
        <f>QUOTATION!I8</f>
        <v>1.5Kpa</v>
      </c>
      <c r="E10" s="516"/>
      <c r="F10" s="519"/>
      <c r="G10" s="521"/>
    </row>
    <row r="11" spans="3:13">
      <c r="C11" s="297" t="s">
        <v>241</v>
      </c>
      <c r="D11" s="516" t="str">
        <f>QUOTATION!M9</f>
        <v>Mahesh</v>
      </c>
      <c r="E11" s="516"/>
      <c r="F11" s="519"/>
      <c r="G11" s="521"/>
    </row>
    <row r="12" spans="3:13">
      <c r="C12" s="297" t="s">
        <v>243</v>
      </c>
      <c r="D12" s="518">
        <f>QUOTATION!M7</f>
        <v>43739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5341.0599999999995</v>
      </c>
      <c r="F14" s="205"/>
      <c r="G14" s="206">
        <f>E14</f>
        <v>5341.0599999999995</v>
      </c>
    </row>
    <row r="15" spans="3:13">
      <c r="C15" s="194" t="s">
        <v>234</v>
      </c>
      <c r="D15" s="296">
        <f>'Changable Values'!D4</f>
        <v>83</v>
      </c>
      <c r="E15" s="199">
        <f>E14*D15</f>
        <v>443307.98</v>
      </c>
      <c r="F15" s="205"/>
      <c r="G15" s="207">
        <f>E15</f>
        <v>443307.98</v>
      </c>
    </row>
    <row r="16" spans="3:13">
      <c r="C16" s="195" t="s">
        <v>97</v>
      </c>
      <c r="D16" s="200">
        <f>'Changable Values'!D5</f>
        <v>0.1</v>
      </c>
      <c r="E16" s="199">
        <f>E15*D16</f>
        <v>44330.798000000003</v>
      </c>
      <c r="F16" s="208">
        <f>'Changable Values'!D5</f>
        <v>0.1</v>
      </c>
      <c r="G16" s="207">
        <f>G15*F16</f>
        <v>44330.798000000003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53640.265579999999</v>
      </c>
      <c r="F17" s="208">
        <f>'Changable Values'!D6</f>
        <v>0.11</v>
      </c>
      <c r="G17" s="207">
        <f>SUM(G15:G16)*F17</f>
        <v>53640.265579999999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2706.3952178999998</v>
      </c>
      <c r="F18" s="208">
        <f>'Changable Values'!D7</f>
        <v>5.0000000000000001E-3</v>
      </c>
      <c r="G18" s="207">
        <f>SUM(G15:G17)*F18</f>
        <v>2706.3952178999998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5439.8543879790004</v>
      </c>
      <c r="F19" s="208">
        <f>'Changable Values'!D8</f>
        <v>0.01</v>
      </c>
      <c r="G19" s="207">
        <f>SUM(G15:G18)*F19</f>
        <v>5439.8543879790004</v>
      </c>
    </row>
    <row r="20" spans="3:7">
      <c r="C20" s="195" t="s">
        <v>99</v>
      </c>
      <c r="D20" s="201"/>
      <c r="E20" s="199">
        <f>SUM(E15:E19)</f>
        <v>549425.29318587901</v>
      </c>
      <c r="F20" s="208"/>
      <c r="G20" s="207">
        <f>SUM(G15:G19)</f>
        <v>549425.29318587901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8241.3793977881851</v>
      </c>
      <c r="F21" s="208">
        <f>'Changable Values'!D9</f>
        <v>1.4999999999999999E-2</v>
      </c>
      <c r="G21" s="207">
        <f>G20*F21</f>
        <v>8241.3793977881851</v>
      </c>
    </row>
    <row r="22" spans="3:7">
      <c r="C22" s="195" t="s">
        <v>189</v>
      </c>
      <c r="D22" s="198"/>
      <c r="E22" s="199">
        <f>'Cost Calculation'!AB109</f>
        <v>5000</v>
      </c>
      <c r="F22" s="209"/>
      <c r="G22" s="207">
        <f t="shared" ref="G22:G28" si="0">E22</f>
        <v>5000</v>
      </c>
    </row>
    <row r="23" spans="3:7">
      <c r="C23" s="195" t="s">
        <v>228</v>
      </c>
      <c r="D23" s="198"/>
      <c r="E23" s="199">
        <f>'Cost Calculation'!AD109</f>
        <v>151500.80540300001</v>
      </c>
      <c r="F23" s="209"/>
      <c r="G23" s="207">
        <f t="shared" si="0"/>
        <v>151500.80540300001</v>
      </c>
    </row>
    <row r="24" spans="3:7">
      <c r="C24" s="195" t="s">
        <v>229</v>
      </c>
      <c r="D24" s="198"/>
      <c r="E24" s="199">
        <f>'Cost Calculation'!AH111</f>
        <v>24345.267934426232</v>
      </c>
      <c r="F24" s="209"/>
      <c r="G24" s="207">
        <f t="shared" si="0"/>
        <v>24345.267934426232</v>
      </c>
    </row>
    <row r="25" spans="3:7">
      <c r="C25" s="196" t="s">
        <v>237</v>
      </c>
      <c r="D25" s="198"/>
      <c r="E25" s="199">
        <f>'Cost Calculation'!AJ109</f>
        <v>19611.978937200001</v>
      </c>
      <c r="F25" s="209"/>
      <c r="G25" s="207">
        <f t="shared" si="0"/>
        <v>19611.978937200001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56692.003118400004</v>
      </c>
      <c r="F27" s="209"/>
      <c r="G27" s="207">
        <f t="shared" si="0"/>
        <v>56692.003118400004</v>
      </c>
    </row>
    <row r="28" spans="3:7">
      <c r="C28" s="195" t="s">
        <v>88</v>
      </c>
      <c r="D28" s="198"/>
      <c r="E28" s="199">
        <f>'Cost Calculation'!AN109</f>
        <v>56692.003118400004</v>
      </c>
      <c r="F28" s="209"/>
      <c r="G28" s="207">
        <f t="shared" si="0"/>
        <v>56692.003118400004</v>
      </c>
    </row>
    <row r="29" spans="3:7">
      <c r="C29" s="293" t="s">
        <v>379</v>
      </c>
      <c r="D29" s="294"/>
      <c r="E29" s="295">
        <f>SUM(E20:E28)</f>
        <v>871508.73109509342</v>
      </c>
      <c r="F29" s="209"/>
      <c r="G29" s="207">
        <f>SUM(G20:G21,G24)</f>
        <v>582011.94051809341</v>
      </c>
    </row>
    <row r="30" spans="3:7">
      <c r="C30" s="293" t="s">
        <v>380</v>
      </c>
      <c r="D30" s="294"/>
      <c r="E30" s="295">
        <f>E29/E33</f>
        <v>1537.2692499063166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727514.92564761674</v>
      </c>
      <c r="F31" s="214">
        <f>'Changable Values'!D23</f>
        <v>1.25</v>
      </c>
      <c r="G31" s="207">
        <f>G29*F31</f>
        <v>727514.92564761674</v>
      </c>
    </row>
    <row r="32" spans="3:7">
      <c r="C32" s="290" t="s">
        <v>5</v>
      </c>
      <c r="D32" s="291"/>
      <c r="E32" s="292">
        <f>E31+E29</f>
        <v>1599023.6567427102</v>
      </c>
      <c r="F32" s="205"/>
      <c r="G32" s="207">
        <f>SUM(G25:G31,G22:G23)</f>
        <v>1599023.6567427102</v>
      </c>
    </row>
    <row r="33" spans="3:7">
      <c r="C33" s="300" t="s">
        <v>230</v>
      </c>
      <c r="D33" s="301"/>
      <c r="E33" s="308">
        <f>'Cost Calculation'!K109</f>
        <v>566.92003118400009</v>
      </c>
      <c r="F33" s="210"/>
      <c r="G33" s="211">
        <f>E33</f>
        <v>566.92003118400009</v>
      </c>
    </row>
    <row r="34" spans="3:7">
      <c r="C34" s="302" t="s">
        <v>9</v>
      </c>
      <c r="D34" s="303"/>
      <c r="E34" s="304">
        <f>QUOTATION!L116</f>
        <v>25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2820.5453481740346</v>
      </c>
      <c r="F35" s="212"/>
      <c r="G35" s="213">
        <f>G32/(G33)</f>
        <v>2820.5453481740346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2019-10-01T09:21:52Z</cp:lastPrinted>
  <dcterms:created xsi:type="dcterms:W3CDTF">2010-12-18T06:34:46Z</dcterms:created>
  <dcterms:modified xsi:type="dcterms:W3CDTF">2019-10-01T10:49:17Z</dcterms:modified>
</cp:coreProperties>
</file>