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00.Practice\07.MIS\shift roster\"/>
    </mc:Choice>
  </mc:AlternateContent>
  <xr:revisionPtr revIDLastSave="0" documentId="13_ncr:1_{A22DD5E8-CD7F-4BAD-A4F2-3518DABD79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ift schedule" sheetId="2" r:id="rId1"/>
    <sheet name="performance_AHT" sheetId="3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6" i="2" l="1"/>
  <c r="G12" i="3"/>
  <c r="F7" i="3"/>
  <c r="I7" i="3" s="1"/>
  <c r="F9" i="3"/>
  <c r="H9" i="3" s="1"/>
  <c r="F2" i="3"/>
  <c r="I2" i="3" s="1"/>
  <c r="F10" i="3"/>
  <c r="H10" i="3" s="1"/>
  <c r="F6" i="3"/>
  <c r="I6" i="3" s="1"/>
  <c r="F8" i="3"/>
  <c r="H8" i="3" s="1"/>
  <c r="F3" i="3"/>
  <c r="H3" i="3" s="1"/>
  <c r="F5" i="3"/>
  <c r="H5" i="3" s="1"/>
  <c r="F4" i="3"/>
  <c r="I4" i="3" s="1"/>
  <c r="F11" i="3"/>
  <c r="H11" i="3" s="1"/>
  <c r="AK8" i="2"/>
  <c r="AK7" i="2"/>
  <c r="AK6" i="2"/>
  <c r="AK9" i="2"/>
  <c r="AK10" i="2"/>
  <c r="AK11" i="2"/>
  <c r="AK12" i="2"/>
  <c r="AK13" i="2"/>
  <c r="AK14" i="2"/>
  <c r="AK5" i="2"/>
  <c r="AL5" i="2"/>
  <c r="AL6" i="2"/>
  <c r="AL7" i="2"/>
  <c r="AL8" i="2"/>
  <c r="AL9" i="2"/>
  <c r="AL10" i="2"/>
  <c r="AL11" i="2"/>
  <c r="AL12" i="2"/>
  <c r="AL13" i="2"/>
  <c r="AL14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D20" i="2"/>
  <c r="D19" i="2"/>
  <c r="D18" i="2"/>
  <c r="D17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D16" i="2"/>
  <c r="AI20" i="2"/>
  <c r="AI19" i="2"/>
  <c r="AI18" i="2"/>
  <c r="AI17" i="2"/>
  <c r="AI16" i="2"/>
  <c r="B41" i="2"/>
  <c r="B40" i="2"/>
  <c r="B39" i="2"/>
  <c r="AN5" i="2"/>
  <c r="AN6" i="2"/>
  <c r="AN7" i="2"/>
  <c r="AN8" i="2"/>
  <c r="AN9" i="2"/>
  <c r="AN10" i="2"/>
  <c r="AN11" i="2"/>
  <c r="AN12" i="2"/>
  <c r="AN13" i="2"/>
  <c r="AN14" i="2"/>
  <c r="AM5" i="2"/>
  <c r="AM6" i="2"/>
  <c r="AM7" i="2"/>
  <c r="AM8" i="2"/>
  <c r="AM9" i="2"/>
  <c r="AM10" i="2"/>
  <c r="AM11" i="2"/>
  <c r="AM12" i="2"/>
  <c r="AM13" i="2"/>
  <c r="AM14" i="2"/>
  <c r="AO5" i="2"/>
  <c r="AO6" i="2"/>
  <c r="AO7" i="2"/>
  <c r="AO8" i="2"/>
  <c r="AO9" i="2"/>
  <c r="AO10" i="2"/>
  <c r="AO11" i="2"/>
  <c r="AO12" i="2"/>
  <c r="AO13" i="2"/>
  <c r="AO14" i="2"/>
  <c r="AP5" i="2"/>
  <c r="AP6" i="2"/>
  <c r="AP7" i="2"/>
  <c r="AP8" i="2"/>
  <c r="AJ8" i="2" s="1"/>
  <c r="AR8" i="2" s="1"/>
  <c r="AS8" i="2" s="1"/>
  <c r="AP9" i="2"/>
  <c r="AJ9" i="2" s="1"/>
  <c r="AR9" i="2" s="1"/>
  <c r="AS9" i="2" s="1"/>
  <c r="AP10" i="2"/>
  <c r="AP11" i="2"/>
  <c r="AJ11" i="2" s="1"/>
  <c r="AR11" i="2" s="1"/>
  <c r="AS11" i="2" s="1"/>
  <c r="AP12" i="2"/>
  <c r="AP13" i="2"/>
  <c r="AJ13" i="2" s="1"/>
  <c r="AR13" i="2" s="1"/>
  <c r="AS13" i="2" s="1"/>
  <c r="AP14" i="2"/>
  <c r="H2" i="3" l="1"/>
  <c r="I3" i="3"/>
  <c r="H7" i="3"/>
  <c r="H4" i="3"/>
  <c r="I9" i="3"/>
  <c r="H6" i="3"/>
  <c r="I10" i="3"/>
  <c r="I5" i="3"/>
  <c r="I11" i="3"/>
  <c r="I8" i="3"/>
  <c r="AJ14" i="2"/>
  <c r="AR14" i="2" s="1"/>
  <c r="AS14" i="2" s="1"/>
  <c r="AJ6" i="2"/>
  <c r="AR6" i="2" s="1"/>
  <c r="AS6" i="2" s="1"/>
  <c r="AJ5" i="2"/>
  <c r="AJ10" i="2"/>
  <c r="AR10" i="2" s="1"/>
  <c r="AS10" i="2" s="1"/>
  <c r="AJ7" i="2"/>
  <c r="AR7" i="2" s="1"/>
  <c r="AS7" i="2" s="1"/>
  <c r="AJ12" i="2"/>
  <c r="AR12" i="2" s="1"/>
  <c r="F12" i="3"/>
  <c r="AK16" i="2"/>
  <c r="AL16" i="2"/>
  <c r="AN16" i="2"/>
  <c r="AO16" i="2"/>
  <c r="AM16" i="2"/>
  <c r="C60" i="2"/>
  <c r="C56" i="2"/>
  <c r="AR5" i="2" l="1"/>
  <c r="AS5" i="2" s="1"/>
  <c r="AS12" i="2"/>
  <c r="AR15" i="2"/>
  <c r="C57" i="2"/>
  <c r="C59" i="2"/>
  <c r="C55" i="2"/>
  <c r="C58" i="2"/>
  <c r="C54" i="2"/>
  <c r="C53" i="2"/>
  <c r="B42" i="2"/>
  <c r="B38" i="2"/>
  <c r="B35" i="2"/>
  <c r="B43" i="2"/>
  <c r="B37" i="2"/>
  <c r="B36" i="2"/>
  <c r="B49" i="2"/>
  <c r="B50" i="2"/>
  <c r="B48" i="2"/>
  <c r="B34" i="2"/>
  <c r="B47" i="2"/>
  <c r="B46" i="2"/>
  <c r="AS15" i="2" l="1"/>
  <c r="C62" i="2"/>
  <c r="C61" i="2"/>
  <c r="AJ16" i="2" l="1"/>
  <c r="AJ17" i="2" s="1"/>
</calcChain>
</file>

<file path=xl/sharedStrings.xml><?xml version="1.0" encoding="utf-8"?>
<sst xmlns="http://schemas.openxmlformats.org/spreadsheetml/2006/main" count="489" uniqueCount="120">
  <si>
    <t xml:space="preserve">Shift </t>
  </si>
  <si>
    <t>Timing</t>
  </si>
  <si>
    <t>A</t>
  </si>
  <si>
    <t>B</t>
  </si>
  <si>
    <t>C</t>
  </si>
  <si>
    <t>D</t>
  </si>
  <si>
    <t>07:00 - 16:00</t>
  </si>
  <si>
    <t>10:00 - 19:00</t>
  </si>
  <si>
    <t>12:00 - 21:00</t>
  </si>
  <si>
    <t>22:00 - 07:00</t>
  </si>
  <si>
    <t>Aarav Mehta</t>
  </si>
  <si>
    <t>Sophia Thomas</t>
  </si>
  <si>
    <t>Rohan Verma</t>
  </si>
  <si>
    <t>Emily Johnson</t>
  </si>
  <si>
    <t>Kabir Shah</t>
  </si>
  <si>
    <t>Olivia Smith</t>
  </si>
  <si>
    <t>Nikhil Patel</t>
  </si>
  <si>
    <t>Liam Brown</t>
  </si>
  <si>
    <t>Isha Roy</t>
  </si>
  <si>
    <t>Ethan Williams</t>
  </si>
  <si>
    <t>Name</t>
  </si>
  <si>
    <t>Emp ID</t>
  </si>
  <si>
    <t>e-1</t>
  </si>
  <si>
    <t>e-3</t>
  </si>
  <si>
    <t>e-2</t>
  </si>
  <si>
    <t>e-4</t>
  </si>
  <si>
    <t>e-5</t>
  </si>
  <si>
    <t>e-6</t>
  </si>
  <si>
    <t>e-7</t>
  </si>
  <si>
    <t>e-8</t>
  </si>
  <si>
    <t>e-9</t>
  </si>
  <si>
    <t>e-10</t>
  </si>
  <si>
    <t>Sl no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</si>
  <si>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</si>
  <si>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</si>
  <si>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</si>
  <si>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</si>
  <si>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</si>
  <si>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</si>
  <si>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</si>
  <si>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</si>
  <si>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</si>
  <si>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</si>
  <si>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</si>
  <si>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</si>
  <si>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</si>
  <si>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</si>
  <si>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</si>
  <si>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</si>
  <si>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</si>
  <si>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</si>
  <si>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</si>
  <si>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</si>
  <si>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</si>
  <si>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</si>
  <si>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</si>
  <si>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</si>
  <si>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</si>
  <si>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</si>
  <si>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</si>
  <si>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</si>
  <si>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</si>
  <si>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</si>
  <si>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</si>
  <si>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Thu</t>
  </si>
  <si>
    <t>Fri</t>
  </si>
  <si>
    <t>Sat</t>
  </si>
  <si>
    <t>Sun</t>
  </si>
  <si>
    <t>Mon</t>
  </si>
  <si>
    <t>Tue</t>
  </si>
  <si>
    <t>Wed</t>
  </si>
  <si>
    <t>Off</t>
  </si>
  <si>
    <t xml:space="preserve">1. Create drop down </t>
  </si>
  <si>
    <t>2. Ensure One Weekly OFF</t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</si>
  <si>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Check Daily Shift Quotas</t>
    </r>
  </si>
  <si>
    <t>Week Off</t>
  </si>
  <si>
    <t>4. Emp</t>
  </si>
  <si>
    <t>A - 3</t>
  </si>
  <si>
    <t>B - 2</t>
  </si>
  <si>
    <t>D - 2</t>
  </si>
  <si>
    <t>C - 3</t>
  </si>
  <si>
    <t>May</t>
  </si>
  <si>
    <t>Column1</t>
  </si>
  <si>
    <t>Present</t>
  </si>
  <si>
    <t>Abs</t>
  </si>
  <si>
    <t>W/O</t>
  </si>
  <si>
    <t>Total</t>
  </si>
  <si>
    <t>L</t>
  </si>
  <si>
    <t>Half day</t>
  </si>
  <si>
    <t>OT</t>
  </si>
  <si>
    <t>Half day/2</t>
  </si>
  <si>
    <t xml:space="preserve">Salary </t>
  </si>
  <si>
    <t>Day Count</t>
  </si>
  <si>
    <t>Rs. 600/Day</t>
  </si>
  <si>
    <t xml:space="preserve">Salary / day = </t>
  </si>
  <si>
    <t>Employee</t>
  </si>
  <si>
    <t>Talk Time (mins)</t>
  </si>
  <si>
    <t>Hold Time (mins)</t>
  </si>
  <si>
    <t>ACW Time (mins)</t>
  </si>
  <si>
    <t>No. of Calls</t>
  </si>
  <si>
    <t>Target AHT</t>
  </si>
  <si>
    <t xml:space="preserve">Met Target </t>
  </si>
  <si>
    <t>Met Target in (%)</t>
  </si>
  <si>
    <t>AHT by Emp (mins)</t>
  </si>
  <si>
    <t>Avg.</t>
  </si>
  <si>
    <t>Shift Schedule &amp; Attendance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</si>
  <si>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</si>
  <si>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</si>
  <si>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</si>
  <si>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</si>
  <si>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</si>
  <si>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</si>
  <si>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</si>
  <si>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</si>
  <si>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</si>
  <si>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</si>
  <si>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</si>
  <si>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Salary - In - Hand</t>
  </si>
  <si>
    <t>Months</t>
  </si>
  <si>
    <t>L (Leaves)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</si>
</sst>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8" formatCode="_ [$₹-4009]\ * #,##0_ ;_ [$₹-4009]\ * \-#,##0_ ;_ [$₹-4009]\ * &quot;-&quot;??_ ;_ @_ 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14" fontId="11" fillId="3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0" fillId="2" borderId="19" xfId="0" applyFill="1" applyBorder="1"/>
    <xf numFmtId="0" fontId="0" fillId="2" borderId="0" xfId="0" applyFill="1"/>
    <xf numFmtId="0" fontId="0" fillId="0" borderId="19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9" xfId="0" applyFill="1" applyBorder="1" applyAlignment="1">
      <alignment horizontal="center"/>
    </xf>
    <xf numFmtId="164" fontId="0" fillId="0" borderId="0" xfId="0" applyNumberFormat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13" fillId="0" borderId="2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0" fontId="1" fillId="0" borderId="28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" fontId="1" fillId="2" borderId="23" xfId="0" applyNumberFormat="1" applyFont="1" applyFill="1" applyBorder="1" applyAlignment="1">
      <alignment textRotation="90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 textRotation="45"/>
    </xf>
    <xf numFmtId="0" fontId="16" fillId="0" borderId="1" xfId="0" applyFont="1" applyBorder="1" applyAlignment="1">
      <alignment horizontal="center"/>
    </xf>
    <xf numFmtId="0" fontId="16" fillId="2" borderId="2" xfId="0" applyFont="1" applyFill="1" applyBorder="1"/>
    <xf numFmtId="0" fontId="1" fillId="0" borderId="25" xfId="0" applyFont="1" applyBorder="1"/>
    <xf numFmtId="164" fontId="1" fillId="0" borderId="26" xfId="0" applyNumberFormat="1" applyFont="1" applyBorder="1"/>
    <xf numFmtId="16" fontId="1" fillId="0" borderId="31" xfId="0" applyNumberFormat="1" applyFont="1" applyBorder="1" applyAlignment="1">
      <alignment horizontal="center" textRotation="90"/>
    </xf>
    <xf numFmtId="16" fontId="1" fillId="0" borderId="32" xfId="0" applyNumberFormat="1" applyFont="1" applyBorder="1" applyAlignment="1">
      <alignment horizontal="center" textRotation="90"/>
    </xf>
    <xf numFmtId="16" fontId="1" fillId="0" borderId="33" xfId="0" applyNumberFormat="1" applyFont="1" applyBorder="1" applyAlignment="1">
      <alignment horizontal="center" textRotation="90"/>
    </xf>
    <xf numFmtId="0" fontId="12" fillId="0" borderId="1" xfId="0" applyFont="1" applyBorder="1" applyAlignment="1">
      <alignment horizontal="center" vertical="center" textRotation="255"/>
    </xf>
    <xf numFmtId="2" fontId="13" fillId="0" borderId="25" xfId="0" applyNumberFormat="1" applyFont="1" applyBorder="1" applyAlignment="1">
      <alignment horizontal="center"/>
    </xf>
    <xf numFmtId="10" fontId="1" fillId="2" borderId="34" xfId="0" applyNumberFormat="1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2" fillId="2" borderId="0" xfId="0" applyFont="1" applyFill="1" applyAlignment="1">
      <alignment horizontal="right" vertical="center" wrapText="1"/>
    </xf>
    <xf numFmtId="0" fontId="1" fillId="6" borderId="0" xfId="0" applyFont="1" applyFill="1" applyAlignment="1">
      <alignment horizontal="center" textRotation="45"/>
    </xf>
    <xf numFmtId="0" fontId="1" fillId="7" borderId="0" xfId="0" applyFont="1" applyFill="1" applyAlignment="1">
      <alignment horizontal="center" textRotation="45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0" fillId="0" borderId="0" xfId="0" applyBorder="1"/>
    <xf numFmtId="0" fontId="16" fillId="0" borderId="1" xfId="0" applyFont="1" applyBorder="1" applyAlignment="1">
      <alignment horizontal="right"/>
    </xf>
    <xf numFmtId="0" fontId="19" fillId="2" borderId="0" xfId="0" applyFont="1" applyFill="1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4" fontId="6" fillId="3" borderId="22" xfId="0" applyNumberFormat="1" applyFont="1" applyFill="1" applyBorder="1" applyAlignment="1">
      <alignment horizontal="center" textRotation="45"/>
    </xf>
    <xf numFmtId="14" fontId="9" fillId="3" borderId="22" xfId="0" applyNumberFormat="1" applyFont="1" applyFill="1" applyBorder="1" applyAlignment="1">
      <alignment horizontal="center" textRotation="45"/>
    </xf>
    <xf numFmtId="14" fontId="7" fillId="3" borderId="22" xfId="0" applyNumberFormat="1" applyFont="1" applyFill="1" applyBorder="1" applyAlignment="1">
      <alignment horizontal="center" textRotation="45"/>
    </xf>
    <xf numFmtId="14" fontId="8" fillId="3" borderId="22" xfId="0" applyNumberFormat="1" applyFont="1" applyFill="1" applyBorder="1" applyAlignment="1">
      <alignment horizontal="center" textRotation="45"/>
    </xf>
    <xf numFmtId="14" fontId="10" fillId="3" borderId="24" xfId="0" applyNumberFormat="1" applyFont="1" applyFill="1" applyBorder="1" applyAlignment="1">
      <alignment horizontal="center" textRotation="45"/>
    </xf>
    <xf numFmtId="0" fontId="16" fillId="0" borderId="2" xfId="0" applyFont="1" applyBorder="1" applyAlignment="1">
      <alignment wrapText="1"/>
    </xf>
    <xf numFmtId="0" fontId="16" fillId="0" borderId="2" xfId="0" applyFont="1" applyBorder="1" applyAlignment="1">
      <alignment horizontal="right" vertical="center" wrapText="1"/>
    </xf>
    <xf numFmtId="168" fontId="0" fillId="0" borderId="13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2" fillId="0" borderId="24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1" xfId="0" applyFill="1" applyBorder="1"/>
    <xf numFmtId="0" fontId="1" fillId="0" borderId="0" xfId="0" applyFont="1" applyAlignment="1">
      <alignment horizontal="right"/>
    </xf>
    <xf numFmtId="0" fontId="12" fillId="5" borderId="29" xfId="0" applyFont="1" applyFill="1" applyBorder="1" applyAlignment="1">
      <alignment horizontal="center"/>
    </xf>
    <xf numFmtId="0" fontId="12" fillId="5" borderId="37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29" xfId="0" applyFont="1" applyBorder="1" applyAlignment="1">
      <alignment horizontal="center" vertical="center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D4B21D-A0FD-47AE-913C-A9C9D52DA8EB}" name="Table1" displayName="Table1" ref="A4:AP14" totalsRowShown="0" headerRowDxfId="62" headerRowBorderDxfId="61" tableBorderDxfId="60" totalsRowBorderDxfId="59">
  <tableColumns count="42">
    <tableColumn id="1" xr3:uid="{D70FA97A-9ED7-4B64-8390-B74076A9656D}" name="Sl no" dataDxfId="58"/>
    <tableColumn id="2" xr3:uid="{9D289054-E910-4B4F-98D4-5644D31364A9}" name="Name" dataDxfId="57"/>
    <tableColumn id="3" xr3:uid="{FF0B0752-732B-481B-B3B9-E3E85535E8DA}" name="Emp ID" dataDxfId="37"/>
    <tableColumn id="4" xr3:uid="{473C393F-4478-4549-8414-1E8CBE2F641C}" name="01-05-2025" dataDxfId="36"/>
    <tableColumn id="5" xr3:uid="{3C529810-4A2D-4AFD-AA53-25A3F4315CE0}" name="02-05-2025" dataDxfId="35"/>
    <tableColumn id="6" xr3:uid="{44FB28DF-625D-4549-804C-8C30EF01B83C}" name="03-05-2025" dataDxfId="34"/>
    <tableColumn id="7" xr3:uid="{4B71934E-9EDC-40AA-A990-8195BB0F2223}" name="04-05-2025" dataDxfId="33"/>
    <tableColumn id="8" xr3:uid="{40C95AC4-F010-40F8-8CDB-504F60C5BC3A}" name="05-05-2025" dataDxfId="32"/>
    <tableColumn id="9" xr3:uid="{0B4008E2-BBAE-4787-972C-194585BEEB7A}" name="06-05-2025" dataDxfId="31"/>
    <tableColumn id="10" xr3:uid="{D76310CC-B6D9-406D-8FC2-5278C4157D0B}" name="07-05-2025" dataDxfId="30"/>
    <tableColumn id="11" xr3:uid="{29C15178-30C9-40C1-BCEF-F01670A69294}" name="08-05-2025" dataDxfId="29"/>
    <tableColumn id="12" xr3:uid="{3620F211-3088-4530-9054-83B133EAD075}" name="09-05-2025" dataDxfId="28"/>
    <tableColumn id="13" xr3:uid="{AC3E03B3-F007-4851-B607-CBEFB0FC22E6}" name="10-05-2025" dataDxfId="27"/>
    <tableColumn id="14" xr3:uid="{D8C4D1EC-94C7-470D-9FFB-34FBC0590B4B}" name="11-05-2025" dataDxfId="26"/>
    <tableColumn id="15" xr3:uid="{1E116AEF-624F-4266-B254-FB79C5A37376}" name="12-05-2025" dataDxfId="25"/>
    <tableColumn id="16" xr3:uid="{9ACA57B6-4C36-4CE2-8453-3AE2226A97AB}" name="13-05-2025" dataDxfId="24"/>
    <tableColumn id="17" xr3:uid="{73C21172-8D65-4237-A18B-1919728F85E9}" name="14-05-2025" dataDxfId="23"/>
    <tableColumn id="18" xr3:uid="{19C81899-F4B6-4131-9A29-A5E40C81872D}" name="15-05-2025" dataDxfId="22"/>
    <tableColumn id="19" xr3:uid="{157004E7-5EDB-4431-9EC4-FEA58AFCE6B7}" name="16-05-2025" dataDxfId="21"/>
    <tableColumn id="20" xr3:uid="{17781E3A-9879-48EF-BC60-0FEA7BBCDFC7}" name="17-05-2025" dataDxfId="20"/>
    <tableColumn id="21" xr3:uid="{ED995A4D-6897-4DBC-B685-19873EB40490}" name="18-05-2025" dataDxfId="19"/>
    <tableColumn id="22" xr3:uid="{388D8BFD-8855-444B-B0FD-C0FA2F2D4E68}" name="19-05-2025" dataDxfId="18"/>
    <tableColumn id="23" xr3:uid="{4D22B247-A9B5-4D1F-865B-29131FA29F82}" name="20-05-2025" dataDxfId="17"/>
    <tableColumn id="24" xr3:uid="{4425831A-E84E-4102-8911-0688BC8C184C}" name="21-05-2025" dataDxfId="16"/>
    <tableColumn id="25" xr3:uid="{4A80DA5E-8E81-41E6-B994-399A4F8F9B1B}" name="22-05-2025" dataDxfId="15"/>
    <tableColumn id="26" xr3:uid="{46341E39-A708-494E-814B-7479D7BFDDCD}" name="23-05-2025" dataDxfId="14"/>
    <tableColumn id="27" xr3:uid="{1195DEB0-1FBB-436C-9F27-AC1EA33523CC}" name="24-05-2025" dataDxfId="13"/>
    <tableColumn id="28" xr3:uid="{A818A144-03B8-45F2-9F86-E54DA8C9C5FD}" name="25-05-2025" dataDxfId="12"/>
    <tableColumn id="29" xr3:uid="{5957441C-ADC3-41F6-AD15-FA8A22A185A7}" name="26-05-2025" dataDxfId="11"/>
    <tableColumn id="30" xr3:uid="{54640CF7-63B5-4CAC-8D0D-31F913DD7318}" name="27-05-2025" dataDxfId="10"/>
    <tableColumn id="31" xr3:uid="{190AA69F-57C1-4032-BFE7-0C71414787A6}" name="28-05-2025" dataDxfId="9"/>
    <tableColumn id="32" xr3:uid="{E6221753-77C2-42A1-BA9C-0BF12BFFB019}" name="29-05-2025" dataDxfId="8"/>
    <tableColumn id="33" xr3:uid="{DD841075-E739-4598-922D-62B6E21B4855}" name="30-05-2025" dataDxfId="7"/>
    <tableColumn id="34" xr3:uid="{54973BEB-389D-4C26-8BB0-29437A4AF8B6}" name="31-05-2025" dataDxfId="5"/>
    <tableColumn id="49" xr3:uid="{68621FA6-49F5-4DAF-83E5-76C4676F6241}" name="Column1" dataDxfId="6"/>
    <tableColumn id="40" xr3:uid="{E6AE5FDF-5CEC-4616-B806-144C58C8993F}" name="Present" dataDxfId="56">
      <calculatedColumnFormula>+Table1[[#This Row],[Total]]-Table1[[#This Row],[W/O]]-Table1[[#This Row],[Abs]]-Table1[[#This Row],[L (Leaves)]]-Table1[[#This Row],[Half day/2]]</calculatedColumnFormula>
    </tableColumn>
    <tableColumn id="47" xr3:uid="{48BE9D67-91AC-48D3-B09B-1965824EDFAB}" name="Half day/2" dataDxfId="55">
      <calculatedColumnFormula>+COUNTIF(Table1[[#This Row],[01-05-2025]:[31-05-2025]],"Half day")/2</calculatedColumnFormula>
    </tableColumn>
    <tableColumn id="48" xr3:uid="{8C60EBCD-5A53-434B-9CE6-196BB6BB8FF8}" name="OT" dataDxfId="54">
      <calculatedColumnFormula>+COUNTIF(Table1[[#This Row],[01-05-2025]:[31-05-2025]],"OT")</calculatedColumnFormula>
    </tableColumn>
    <tableColumn id="45" xr3:uid="{491CD2A3-E03F-4E25-94A5-A7CA45B9969F}" name="L (Leaves)" dataDxfId="53">
      <calculatedColumnFormula>+COUNTIF(Table1[[#This Row],[01-05-2025]:[31-05-2025]],"L")</calculatedColumnFormula>
    </tableColumn>
    <tableColumn id="41" xr3:uid="{DEC4DD83-D0D6-471B-9AC6-E7B863F238E6}" name="Abs" dataDxfId="52">
      <calculatedColumnFormula>+COUNTIF(Table1[[#This Row],[01-05-2025]:[31-05-2025]],"Abs")</calculatedColumnFormula>
    </tableColumn>
    <tableColumn id="42" xr3:uid="{BFFE96E0-69F0-472F-9CDC-F3CAC8744FFC}" name="W/O" dataDxfId="51">
      <calculatedColumnFormula>+COUNTIF(Table1[[#This Row],[01-05-2025]:[31-05-2025]],"Off")</calculatedColumnFormula>
    </tableColumn>
    <tableColumn id="44" xr3:uid="{ADD6B7B3-7481-4D53-938B-1969EC43E13A}" name="Total" dataDxfId="50">
      <calculatedColumnFormula>+COUNTA(Table1[[#This Row],[01-05-2025]:[31-05-2025]])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3EC2EC-1D33-4719-9870-75592B6BC22B}" name="Table2" displayName="Table2" ref="A1:I11" totalsRowShown="0" headerRowDxfId="49" headerRowBorderDxfId="48" tableBorderDxfId="47">
  <autoFilter ref="A1:I11" xr:uid="{8D3EC2EC-1D33-4719-9870-75592B6BC22B}"/>
  <sortState xmlns:xlrd2="http://schemas.microsoft.com/office/spreadsheetml/2017/richdata2" ref="A2:I11">
    <sortCondition descending="1" ref="I1:I11"/>
  </sortState>
  <tableColumns count="9">
    <tableColumn id="1" xr3:uid="{E7D8F107-5B44-448D-91F1-5DC35A071892}" name="Employee" dataDxfId="46"/>
    <tableColumn id="2" xr3:uid="{D38168E5-ACF9-4A35-ACD7-763C75E6863A}" name="Talk Time (mins)" dataDxfId="45"/>
    <tableColumn id="3" xr3:uid="{1542B7F9-99A7-4FB7-82B9-F5BBA75F6F54}" name="Hold Time (mins)" dataDxfId="44"/>
    <tableColumn id="4" xr3:uid="{7302A444-6EF5-423D-BB49-2BDF380D30DE}" name="ACW Time (mins)" dataDxfId="43"/>
    <tableColumn id="5" xr3:uid="{BCE01D1E-9B60-45E7-AB33-7F2BF391F6E0}" name="No. of Calls" dataDxfId="42"/>
    <tableColumn id="6" xr3:uid="{D2AA8AE1-FD70-4E44-A862-582AE1C5BC8F}" name="AHT by Emp (mins)" dataDxfId="41">
      <calculatedColumnFormula>SUM(B2:D2)/E2</calculatedColumnFormula>
    </tableColumn>
    <tableColumn id="7" xr3:uid="{B4BE465C-78C2-4A2A-83A8-0263F09312E2}" name="Target AHT" dataDxfId="40"/>
    <tableColumn id="8" xr3:uid="{D5D20E0F-1B56-4455-A615-54B589312F0F}" name="Met Target " dataDxfId="39">
      <calculatedColumnFormula>+IF(F2&lt;G2,"Yes","No")</calculatedColumnFormula>
    </tableColumn>
    <tableColumn id="9" xr3:uid="{9E1FBDEA-721E-433A-A031-6330D7E8F76D}" name="Met Target in (%)" dataDxfId="38">
      <calculatedColumnFormula>+G2/F2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769E-1968-49CD-AC9C-CF78C9F4B3D0}">
  <dimension ref="A1:AV62"/>
  <sheetViews>
    <sheetView tabSelected="1" workbookViewId="0">
      <pane ySplit="4" topLeftCell="A5" activePane="bottomLeft" state="frozen"/>
      <selection pane="bottomLeft" activeCell="A7" sqref="A7"/>
    </sheetView>
  </sheetViews>
  <sheetFormatPr defaultRowHeight="15" x14ac:dyDescent="0.25"/>
  <cols>
    <col min="1" max="1" width="5.7109375" customWidth="1"/>
    <col min="2" max="2" width="19.5703125" bestFit="1" customWidth="1"/>
    <col min="3" max="3" width="11.7109375" bestFit="1" customWidth="1"/>
    <col min="4" max="34" width="2.5703125" customWidth="1"/>
    <col min="35" max="35" width="3.7109375" bestFit="1" customWidth="1"/>
    <col min="36" max="42" width="5.5703125" style="15" customWidth="1"/>
    <col min="43" max="43" width="5.5703125" customWidth="1"/>
    <col min="44" max="44" width="13.140625" bestFit="1" customWidth="1"/>
    <col min="45" max="45" width="15.5703125" customWidth="1"/>
    <col min="46" max="46" width="10.5703125" bestFit="1" customWidth="1"/>
  </cols>
  <sheetData>
    <row r="1" spans="1:46" ht="16.5" customHeight="1" thickBot="1" x14ac:dyDescent="0.3">
      <c r="A1" s="20"/>
      <c r="B1" s="74"/>
      <c r="C1" s="74"/>
      <c r="D1" s="69" t="s">
        <v>105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20"/>
      <c r="AJ1" s="73" t="s">
        <v>0</v>
      </c>
      <c r="AK1" s="45" t="s">
        <v>2</v>
      </c>
      <c r="AL1" s="45" t="s">
        <v>3</v>
      </c>
      <c r="AM1" s="45" t="s">
        <v>4</v>
      </c>
      <c r="AN1" s="45" t="s">
        <v>5</v>
      </c>
      <c r="AO1" s="45" t="s">
        <v>71</v>
      </c>
      <c r="AP1" s="20"/>
      <c r="AQ1" s="20"/>
      <c r="AR1" s="20"/>
      <c r="AS1" s="20"/>
    </row>
    <row r="2" spans="1:46" ht="21.75" customHeight="1" thickBot="1" x14ac:dyDescent="0.3">
      <c r="A2" s="75"/>
      <c r="B2" s="20"/>
      <c r="C2" s="20"/>
      <c r="D2" s="42"/>
      <c r="E2" s="42"/>
      <c r="F2" s="42"/>
      <c r="G2" s="42"/>
      <c r="H2" s="71"/>
      <c r="I2" s="72"/>
      <c r="S2" s="43" t="s">
        <v>81</v>
      </c>
      <c r="T2" s="76">
        <v>2</v>
      </c>
      <c r="U2" s="76">
        <v>0</v>
      </c>
      <c r="V2" s="76">
        <v>2</v>
      </c>
      <c r="W2" s="76">
        <v>5</v>
      </c>
      <c r="AI2" s="20"/>
      <c r="AJ2" s="85" t="s">
        <v>1</v>
      </c>
      <c r="AK2" s="84" t="s">
        <v>6</v>
      </c>
      <c r="AL2" s="84" t="s">
        <v>7</v>
      </c>
      <c r="AM2" s="84" t="s">
        <v>8</v>
      </c>
      <c r="AN2" s="84" t="s">
        <v>9</v>
      </c>
      <c r="AO2" s="46"/>
      <c r="AP2" s="20"/>
      <c r="AQ2" s="20"/>
      <c r="AR2" s="47" t="s">
        <v>94</v>
      </c>
      <c r="AS2" s="48">
        <v>600</v>
      </c>
    </row>
    <row r="3" spans="1:46" ht="31.5" customHeight="1" thickBot="1" x14ac:dyDescent="0.3">
      <c r="A3" s="66"/>
      <c r="B3" s="66"/>
      <c r="C3" s="66"/>
      <c r="D3" s="52" t="s">
        <v>64</v>
      </c>
      <c r="E3" s="52" t="s">
        <v>65</v>
      </c>
      <c r="F3" s="52" t="s">
        <v>66</v>
      </c>
      <c r="G3" s="52" t="s">
        <v>67</v>
      </c>
      <c r="H3" s="52" t="s">
        <v>68</v>
      </c>
      <c r="I3" s="52" t="s">
        <v>69</v>
      </c>
      <c r="J3" s="52" t="s">
        <v>70</v>
      </c>
      <c r="K3" s="52" t="s">
        <v>64</v>
      </c>
      <c r="L3" s="52" t="s">
        <v>65</v>
      </c>
      <c r="M3" s="52" t="s">
        <v>66</v>
      </c>
      <c r="N3" s="52" t="s">
        <v>67</v>
      </c>
      <c r="O3" s="52" t="s">
        <v>68</v>
      </c>
      <c r="P3" s="52" t="s">
        <v>69</v>
      </c>
      <c r="Q3" s="52" t="s">
        <v>70</v>
      </c>
      <c r="R3" s="52" t="s">
        <v>64</v>
      </c>
      <c r="S3" s="52" t="s">
        <v>65</v>
      </c>
      <c r="T3" s="52" t="s">
        <v>66</v>
      </c>
      <c r="U3" s="52" t="s">
        <v>67</v>
      </c>
      <c r="V3" s="52" t="s">
        <v>68</v>
      </c>
      <c r="W3" s="52" t="s">
        <v>69</v>
      </c>
      <c r="X3" s="52" t="s">
        <v>70</v>
      </c>
      <c r="Y3" s="52" t="s">
        <v>64</v>
      </c>
      <c r="Z3" s="52" t="s">
        <v>65</v>
      </c>
      <c r="AA3" s="52" t="s">
        <v>66</v>
      </c>
      <c r="AB3" s="52" t="s">
        <v>67</v>
      </c>
      <c r="AC3" s="52" t="s">
        <v>68</v>
      </c>
      <c r="AD3" s="52" t="s">
        <v>69</v>
      </c>
      <c r="AE3" s="52" t="s">
        <v>70</v>
      </c>
      <c r="AF3" s="52" t="s">
        <v>64</v>
      </c>
      <c r="AG3" s="52" t="s">
        <v>65</v>
      </c>
      <c r="AH3" s="52" t="s">
        <v>66</v>
      </c>
      <c r="AI3" s="18"/>
      <c r="AJ3" s="23"/>
      <c r="AK3" s="23"/>
      <c r="AL3" s="23"/>
      <c r="AM3" s="23"/>
      <c r="AN3" s="23"/>
      <c r="AO3" s="23"/>
      <c r="AP3" s="23"/>
      <c r="AQ3" s="20"/>
      <c r="AR3" s="90" t="s">
        <v>91</v>
      </c>
      <c r="AS3" s="90" t="s">
        <v>117</v>
      </c>
    </row>
    <row r="4" spans="1:46" ht="55.5" thickBot="1" x14ac:dyDescent="0.3">
      <c r="A4" s="68" t="s">
        <v>32</v>
      </c>
      <c r="B4" s="67" t="s">
        <v>20</v>
      </c>
      <c r="C4" s="44" t="s">
        <v>21</v>
      </c>
      <c r="D4" s="49" t="s">
        <v>33</v>
      </c>
      <c r="E4" s="50" t="s">
        <v>34</v>
      </c>
      <c r="F4" s="50" t="s">
        <v>35</v>
      </c>
      <c r="G4" s="50" t="s">
        <v>36</v>
      </c>
      <c r="H4" s="50" t="s">
        <v>37</v>
      </c>
      <c r="I4" s="50" t="s">
        <v>38</v>
      </c>
      <c r="J4" s="50" t="s">
        <v>39</v>
      </c>
      <c r="K4" s="50" t="s">
        <v>40</v>
      </c>
      <c r="L4" s="50" t="s">
        <v>41</v>
      </c>
      <c r="M4" s="50" t="s">
        <v>42</v>
      </c>
      <c r="N4" s="50" t="s">
        <v>43</v>
      </c>
      <c r="O4" s="50" t="s">
        <v>44</v>
      </c>
      <c r="P4" s="50" t="s">
        <v>45</v>
      </c>
      <c r="Q4" s="50" t="s">
        <v>46</v>
      </c>
      <c r="R4" s="50" t="s">
        <v>47</v>
      </c>
      <c r="S4" s="50" t="s">
        <v>48</v>
      </c>
      <c r="T4" s="50" t="s">
        <v>49</v>
      </c>
      <c r="U4" s="50" t="s">
        <v>50</v>
      </c>
      <c r="V4" s="50" t="s">
        <v>51</v>
      </c>
      <c r="W4" s="50" t="s">
        <v>52</v>
      </c>
      <c r="X4" s="50" t="s">
        <v>53</v>
      </c>
      <c r="Y4" s="50" t="s">
        <v>54</v>
      </c>
      <c r="Z4" s="50" t="s">
        <v>55</v>
      </c>
      <c r="AA4" s="50" t="s">
        <v>56</v>
      </c>
      <c r="AB4" s="50" t="s">
        <v>57</v>
      </c>
      <c r="AC4" s="50" t="s">
        <v>58</v>
      </c>
      <c r="AD4" s="50" t="s">
        <v>59</v>
      </c>
      <c r="AE4" s="50" t="s">
        <v>60</v>
      </c>
      <c r="AF4" s="50" t="s">
        <v>61</v>
      </c>
      <c r="AG4" s="50" t="s">
        <v>62</v>
      </c>
      <c r="AH4" s="51" t="s">
        <v>63</v>
      </c>
      <c r="AI4" s="41" t="s">
        <v>82</v>
      </c>
      <c r="AJ4" s="79" t="s">
        <v>83</v>
      </c>
      <c r="AK4" s="80" t="s">
        <v>90</v>
      </c>
      <c r="AL4" s="79" t="s">
        <v>89</v>
      </c>
      <c r="AM4" s="81" t="s">
        <v>119</v>
      </c>
      <c r="AN4" s="82" t="s">
        <v>84</v>
      </c>
      <c r="AO4" s="80" t="s">
        <v>85</v>
      </c>
      <c r="AP4" s="83" t="s">
        <v>86</v>
      </c>
      <c r="AQ4" s="20"/>
      <c r="AR4" s="40" t="s">
        <v>92</v>
      </c>
      <c r="AS4" s="40" t="s">
        <v>93</v>
      </c>
    </row>
    <row r="5" spans="1:46" ht="15.75" thickBot="1" x14ac:dyDescent="0.3">
      <c r="A5" s="9">
        <v>1</v>
      </c>
      <c r="B5" s="14" t="s">
        <v>10</v>
      </c>
      <c r="C5" s="8" t="s">
        <v>22</v>
      </c>
      <c r="D5" s="77" t="s">
        <v>71</v>
      </c>
      <c r="E5" s="77" t="s">
        <v>2</v>
      </c>
      <c r="F5" s="77" t="s">
        <v>2</v>
      </c>
      <c r="G5" s="77" t="s">
        <v>2</v>
      </c>
      <c r="H5" s="77" t="s">
        <v>2</v>
      </c>
      <c r="I5" s="77" t="s">
        <v>2</v>
      </c>
      <c r="J5" s="77" t="s">
        <v>2</v>
      </c>
      <c r="K5" s="77" t="s">
        <v>71</v>
      </c>
      <c r="L5" s="77" t="s">
        <v>2</v>
      </c>
      <c r="M5" s="77" t="s">
        <v>2</v>
      </c>
      <c r="N5" s="77" t="s">
        <v>2</v>
      </c>
      <c r="O5" s="77" t="s">
        <v>2</v>
      </c>
      <c r="P5" s="77" t="s">
        <v>2</v>
      </c>
      <c r="Q5" s="77" t="s">
        <v>2</v>
      </c>
      <c r="R5" s="77" t="s">
        <v>71</v>
      </c>
      <c r="S5" s="77" t="s">
        <v>2</v>
      </c>
      <c r="T5" s="77" t="s">
        <v>2</v>
      </c>
      <c r="U5" s="77" t="s">
        <v>2</v>
      </c>
      <c r="V5" s="77" t="s">
        <v>2</v>
      </c>
      <c r="W5" s="77" t="s">
        <v>2</v>
      </c>
      <c r="X5" s="77" t="s">
        <v>2</v>
      </c>
      <c r="Y5" s="77" t="s">
        <v>71</v>
      </c>
      <c r="Z5" s="77" t="s">
        <v>2</v>
      </c>
      <c r="AA5" s="77" t="s">
        <v>2</v>
      </c>
      <c r="AB5" s="77" t="s">
        <v>2</v>
      </c>
      <c r="AC5" s="77" t="s">
        <v>2</v>
      </c>
      <c r="AD5" s="77" t="s">
        <v>2</v>
      </c>
      <c r="AE5" s="77" t="s">
        <v>2</v>
      </c>
      <c r="AF5" s="77" t="s">
        <v>71</v>
      </c>
      <c r="AG5" s="77" t="s">
        <v>2</v>
      </c>
      <c r="AH5" s="77" t="s">
        <v>2</v>
      </c>
      <c r="AI5" s="19"/>
      <c r="AJ5" s="21">
        <f>+Table1[[#This Row],[Total]]-Table1[[#This Row],[W/O]]-Table1[[#This Row],[Abs]]-Table1[[#This Row],[L (Leaves)]]-Table1[[#This Row],[Half day/2]]</f>
        <v>26</v>
      </c>
      <c r="AK5" s="26">
        <f>+COUNTIF(Table1[[#This Row],[01-05-2025]:[31-05-2025]],"Half day")/2</f>
        <v>0</v>
      </c>
      <c r="AL5" s="24">
        <f>+COUNTIF(Table1[[#This Row],[01-05-2025]:[31-05-2025]],"OT")</f>
        <v>0</v>
      </c>
      <c r="AM5" s="21">
        <f>+COUNTIF(Table1[[#This Row],[01-05-2025]:[31-05-2025]],"L")</f>
        <v>0</v>
      </c>
      <c r="AN5" s="21">
        <f>+COUNTIF(Table1[[#This Row],[01-05-2025]:[31-05-2025]],"Abs")</f>
        <v>0</v>
      </c>
      <c r="AO5" s="21">
        <f>+COUNTIF(Table1[[#This Row],[01-05-2025]:[31-05-2025]],"Off")</f>
        <v>5</v>
      </c>
      <c r="AP5" s="16">
        <f>+COUNTA(Table1[[#This Row],[01-05-2025]:[31-05-2025]])</f>
        <v>31</v>
      </c>
      <c r="AQ5" s="20"/>
      <c r="AR5" s="25">
        <f>+Table1[[#This Row],[Present]]+Table1[[#This Row],[W/O]]+Table1[[#This Row],[OT]]</f>
        <v>31</v>
      </c>
      <c r="AS5" s="86">
        <f>+AR5*$AS$2</f>
        <v>18600</v>
      </c>
    </row>
    <row r="6" spans="1:46" ht="15.75" thickBot="1" x14ac:dyDescent="0.3">
      <c r="A6" s="4">
        <v>2</v>
      </c>
      <c r="B6" s="1" t="s">
        <v>11</v>
      </c>
      <c r="C6" s="5" t="s">
        <v>24</v>
      </c>
      <c r="D6" s="78" t="s">
        <v>2</v>
      </c>
      <c r="E6" s="78" t="s">
        <v>71</v>
      </c>
      <c r="F6" s="78" t="s">
        <v>2</v>
      </c>
      <c r="G6" s="78" t="s">
        <v>2</v>
      </c>
      <c r="H6" s="78" t="s">
        <v>2</v>
      </c>
      <c r="I6" s="78" t="s">
        <v>2</v>
      </c>
      <c r="J6" s="78" t="s">
        <v>2</v>
      </c>
      <c r="K6" s="78" t="s">
        <v>2</v>
      </c>
      <c r="L6" s="78" t="s">
        <v>71</v>
      </c>
      <c r="M6" s="78" t="s">
        <v>2</v>
      </c>
      <c r="N6" s="78" t="s">
        <v>2</v>
      </c>
      <c r="O6" s="78" t="s">
        <v>2</v>
      </c>
      <c r="P6" s="78" t="s">
        <v>2</v>
      </c>
      <c r="Q6" s="78" t="s">
        <v>2</v>
      </c>
      <c r="R6" s="78" t="s">
        <v>88</v>
      </c>
      <c r="S6" s="78" t="s">
        <v>71</v>
      </c>
      <c r="T6" s="78" t="s">
        <v>2</v>
      </c>
      <c r="U6" s="78" t="s">
        <v>2</v>
      </c>
      <c r="V6" s="78" t="s">
        <v>2</v>
      </c>
      <c r="W6" s="78" t="s">
        <v>2</v>
      </c>
      <c r="X6" s="78" t="s">
        <v>2</v>
      </c>
      <c r="Y6" s="78" t="s">
        <v>2</v>
      </c>
      <c r="Z6" s="78" t="s">
        <v>71</v>
      </c>
      <c r="AA6" s="78" t="s">
        <v>2</v>
      </c>
      <c r="AB6" s="78" t="s">
        <v>2</v>
      </c>
      <c r="AC6" s="78" t="s">
        <v>2</v>
      </c>
      <c r="AD6" s="78" t="s">
        <v>2</v>
      </c>
      <c r="AE6" s="78" t="s">
        <v>2</v>
      </c>
      <c r="AF6" s="78" t="s">
        <v>89</v>
      </c>
      <c r="AG6" s="78" t="s">
        <v>71</v>
      </c>
      <c r="AH6" s="78" t="s">
        <v>2</v>
      </c>
      <c r="AI6" s="19"/>
      <c r="AJ6" s="21">
        <f>+Table1[[#This Row],[Total]]-Table1[[#This Row],[W/O]]-Table1[[#This Row],[Abs]]-Table1[[#This Row],[L (Leaves)]]-Table1[[#This Row],[Half day/2]]</f>
        <v>25.5</v>
      </c>
      <c r="AK6" s="26">
        <f>+COUNTIF(Table1[[#This Row],[01-05-2025]:[31-05-2025]],"Half day")/2</f>
        <v>0.5</v>
      </c>
      <c r="AL6" s="24">
        <f>+COUNTIF(Table1[[#This Row],[01-05-2025]:[31-05-2025]],"OT")</f>
        <v>1</v>
      </c>
      <c r="AM6" s="21">
        <f>+COUNTIF(Table1[[#This Row],[01-05-2025]:[31-05-2025]],"L")</f>
        <v>0</v>
      </c>
      <c r="AN6" s="21">
        <f>+COUNTIF(Table1[[#This Row],[01-05-2025]:[31-05-2025]],"Abs")</f>
        <v>0</v>
      </c>
      <c r="AO6" s="21">
        <f>+COUNTIF(Table1[[#This Row],[01-05-2025]:[31-05-2025]],"Off")</f>
        <v>5</v>
      </c>
      <c r="AP6" s="16">
        <f>+COUNTA(Table1[[#This Row],[01-05-2025]:[31-05-2025]])</f>
        <v>31</v>
      </c>
      <c r="AQ6" s="20"/>
      <c r="AR6" s="28">
        <f>+Table1[[#This Row],[Present]]+Table1[[#This Row],[W/O]]+Table1[[#This Row],[OT]]</f>
        <v>31.5</v>
      </c>
      <c r="AS6" s="87">
        <f t="shared" ref="AS6:AS15" si="0">+AR6*$AS$2</f>
        <v>18900</v>
      </c>
    </row>
    <row r="7" spans="1:46" ht="15.75" thickBot="1" x14ac:dyDescent="0.3">
      <c r="A7" s="4">
        <v>3</v>
      </c>
      <c r="B7" s="1" t="s">
        <v>12</v>
      </c>
      <c r="C7" s="5" t="s">
        <v>23</v>
      </c>
      <c r="D7" s="78" t="s">
        <v>2</v>
      </c>
      <c r="E7" s="78" t="s">
        <v>2</v>
      </c>
      <c r="F7" s="78" t="s">
        <v>71</v>
      </c>
      <c r="G7" s="78" t="s">
        <v>3</v>
      </c>
      <c r="H7" s="78" t="s">
        <v>5</v>
      </c>
      <c r="I7" s="78" t="s">
        <v>4</v>
      </c>
      <c r="J7" s="78" t="s">
        <v>2</v>
      </c>
      <c r="K7" s="78" t="s">
        <v>2</v>
      </c>
      <c r="L7" s="78" t="s">
        <v>2</v>
      </c>
      <c r="M7" s="78" t="s">
        <v>71</v>
      </c>
      <c r="N7" s="78" t="s">
        <v>2</v>
      </c>
      <c r="O7" s="78" t="s">
        <v>2</v>
      </c>
      <c r="P7" s="78" t="s">
        <v>2</v>
      </c>
      <c r="Q7" s="78" t="s">
        <v>2</v>
      </c>
      <c r="R7" s="78" t="s">
        <v>2</v>
      </c>
      <c r="S7" s="78" t="s">
        <v>2</v>
      </c>
      <c r="T7" s="78" t="s">
        <v>71</v>
      </c>
      <c r="U7" s="78" t="s">
        <v>2</v>
      </c>
      <c r="V7" s="78" t="s">
        <v>2</v>
      </c>
      <c r="W7" s="78" t="s">
        <v>2</v>
      </c>
      <c r="X7" s="78" t="s">
        <v>2</v>
      </c>
      <c r="Y7" s="78" t="s">
        <v>2</v>
      </c>
      <c r="Z7" s="78" t="s">
        <v>2</v>
      </c>
      <c r="AA7" s="78" t="s">
        <v>71</v>
      </c>
      <c r="AB7" s="78" t="s">
        <v>2</v>
      </c>
      <c r="AC7" s="78" t="s">
        <v>2</v>
      </c>
      <c r="AD7" s="78" t="s">
        <v>2</v>
      </c>
      <c r="AE7" s="78" t="s">
        <v>2</v>
      </c>
      <c r="AF7" s="78" t="s">
        <v>2</v>
      </c>
      <c r="AG7" s="78" t="s">
        <v>2</v>
      </c>
      <c r="AH7" s="78" t="s">
        <v>71</v>
      </c>
      <c r="AI7" s="19"/>
      <c r="AJ7" s="21">
        <f>+Table1[[#This Row],[Total]]-Table1[[#This Row],[W/O]]-Table1[[#This Row],[Abs]]-Table1[[#This Row],[L (Leaves)]]-Table1[[#This Row],[Half day/2]]</f>
        <v>26</v>
      </c>
      <c r="AK7" s="26">
        <f>+COUNTIF(Table1[[#This Row],[01-05-2025]:[31-05-2025]],"Half day")/2</f>
        <v>0</v>
      </c>
      <c r="AL7" s="24">
        <f>+COUNTIF(Table1[[#This Row],[01-05-2025]:[31-05-2025]],"OT")</f>
        <v>0</v>
      </c>
      <c r="AM7" s="21">
        <f>+COUNTIF(Table1[[#This Row],[01-05-2025]:[31-05-2025]],"L")</f>
        <v>0</v>
      </c>
      <c r="AN7" s="21">
        <f>+COUNTIF(Table1[[#This Row],[01-05-2025]:[31-05-2025]],"Abs")</f>
        <v>0</v>
      </c>
      <c r="AO7" s="21">
        <f>+COUNTIF(Table1[[#This Row],[01-05-2025]:[31-05-2025]],"Off")</f>
        <v>5</v>
      </c>
      <c r="AP7" s="16">
        <f>+COUNTA(Table1[[#This Row],[01-05-2025]:[31-05-2025]])</f>
        <v>31</v>
      </c>
      <c r="AQ7" s="20"/>
      <c r="AR7" s="28">
        <f>+Table1[[#This Row],[Present]]+Table1[[#This Row],[W/O]]+Table1[[#This Row],[OT]]</f>
        <v>31</v>
      </c>
      <c r="AS7" s="87">
        <f t="shared" si="0"/>
        <v>18600</v>
      </c>
    </row>
    <row r="8" spans="1:46" ht="15.75" thickBot="1" x14ac:dyDescent="0.3">
      <c r="A8" s="4">
        <v>4</v>
      </c>
      <c r="B8" s="1" t="s">
        <v>13</v>
      </c>
      <c r="C8" s="5" t="s">
        <v>25</v>
      </c>
      <c r="D8" s="78" t="s">
        <v>3</v>
      </c>
      <c r="E8" s="78" t="s">
        <v>3</v>
      </c>
      <c r="F8" s="78" t="s">
        <v>3</v>
      </c>
      <c r="G8" s="78" t="s">
        <v>71</v>
      </c>
      <c r="H8" s="78" t="s">
        <v>3</v>
      </c>
      <c r="I8" s="78" t="s">
        <v>3</v>
      </c>
      <c r="J8" s="78" t="s">
        <v>3</v>
      </c>
      <c r="K8" s="78" t="s">
        <v>3</v>
      </c>
      <c r="L8" s="78" t="s">
        <v>3</v>
      </c>
      <c r="M8" s="78" t="s">
        <v>3</v>
      </c>
      <c r="N8" s="78" t="s">
        <v>71</v>
      </c>
      <c r="O8" s="78" t="s">
        <v>3</v>
      </c>
      <c r="P8" s="78" t="s">
        <v>3</v>
      </c>
      <c r="Q8" s="78" t="s">
        <v>3</v>
      </c>
      <c r="R8" s="78" t="s">
        <v>3</v>
      </c>
      <c r="S8" s="78" t="s">
        <v>3</v>
      </c>
      <c r="T8" s="78" t="s">
        <v>3</v>
      </c>
      <c r="U8" s="78" t="s">
        <v>71</v>
      </c>
      <c r="V8" s="78" t="s">
        <v>3</v>
      </c>
      <c r="W8" s="78" t="s">
        <v>3</v>
      </c>
      <c r="X8" s="78" t="s">
        <v>3</v>
      </c>
      <c r="Y8" s="78" t="s">
        <v>84</v>
      </c>
      <c r="Z8" s="78" t="s">
        <v>3</v>
      </c>
      <c r="AA8" s="78" t="s">
        <v>84</v>
      </c>
      <c r="AB8" s="78" t="s">
        <v>71</v>
      </c>
      <c r="AC8" s="78" t="s">
        <v>3</v>
      </c>
      <c r="AD8" s="78" t="s">
        <v>3</v>
      </c>
      <c r="AE8" s="78" t="s">
        <v>3</v>
      </c>
      <c r="AF8" s="78" t="s">
        <v>87</v>
      </c>
      <c r="AG8" s="78" t="s">
        <v>3</v>
      </c>
      <c r="AH8" s="78" t="s">
        <v>3</v>
      </c>
      <c r="AI8" s="19"/>
      <c r="AJ8" s="21">
        <f>+Table1[[#This Row],[Total]]-Table1[[#This Row],[W/O]]-Table1[[#This Row],[Abs]]-Table1[[#This Row],[L (Leaves)]]-Table1[[#This Row],[Half day/2]]</f>
        <v>24</v>
      </c>
      <c r="AK8" s="26">
        <f>+COUNTIF(Table1[[#This Row],[01-05-2025]:[31-05-2025]],"Half day")/2</f>
        <v>0</v>
      </c>
      <c r="AL8" s="24">
        <f>+COUNTIF(Table1[[#This Row],[01-05-2025]:[31-05-2025]],"OT")</f>
        <v>0</v>
      </c>
      <c r="AM8" s="21">
        <f>+COUNTIF(Table1[[#This Row],[01-05-2025]:[31-05-2025]],"L")</f>
        <v>1</v>
      </c>
      <c r="AN8" s="21">
        <f>+COUNTIF(Table1[[#This Row],[01-05-2025]:[31-05-2025]],"Abs")</f>
        <v>2</v>
      </c>
      <c r="AO8" s="21">
        <f>+COUNTIF(Table1[[#This Row],[01-05-2025]:[31-05-2025]],"Off")</f>
        <v>4</v>
      </c>
      <c r="AP8" s="16">
        <f>+COUNTA(Table1[[#This Row],[01-05-2025]:[31-05-2025]])</f>
        <v>31</v>
      </c>
      <c r="AQ8" s="20"/>
      <c r="AR8" s="28">
        <f>+Table1[[#This Row],[Present]]+Table1[[#This Row],[W/O]]+Table1[[#This Row],[OT]]</f>
        <v>28</v>
      </c>
      <c r="AS8" s="87">
        <f t="shared" si="0"/>
        <v>16800</v>
      </c>
      <c r="AT8" s="27"/>
    </row>
    <row r="9" spans="1:46" ht="15.75" thickBot="1" x14ac:dyDescent="0.3">
      <c r="A9" s="4">
        <v>5</v>
      </c>
      <c r="B9" s="1" t="s">
        <v>14</v>
      </c>
      <c r="C9" s="5" t="s">
        <v>26</v>
      </c>
      <c r="D9" s="78" t="s">
        <v>3</v>
      </c>
      <c r="E9" s="78" t="s">
        <v>3</v>
      </c>
      <c r="F9" s="78" t="s">
        <v>3</v>
      </c>
      <c r="G9" s="78" t="s">
        <v>3</v>
      </c>
      <c r="H9" s="78" t="s">
        <v>71</v>
      </c>
      <c r="I9" s="78" t="s">
        <v>3</v>
      </c>
      <c r="J9" s="78" t="s">
        <v>3</v>
      </c>
      <c r="K9" s="78" t="s">
        <v>3</v>
      </c>
      <c r="L9" s="78" t="s">
        <v>3</v>
      </c>
      <c r="M9" s="78" t="s">
        <v>3</v>
      </c>
      <c r="N9" s="78" t="s">
        <v>3</v>
      </c>
      <c r="O9" s="78" t="s">
        <v>71</v>
      </c>
      <c r="P9" s="78" t="s">
        <v>3</v>
      </c>
      <c r="Q9" s="78" t="s">
        <v>3</v>
      </c>
      <c r="R9" s="78" t="s">
        <v>3</v>
      </c>
      <c r="S9" s="78" t="s">
        <v>3</v>
      </c>
      <c r="T9" s="78" t="s">
        <v>3</v>
      </c>
      <c r="U9" s="78" t="s">
        <v>3</v>
      </c>
      <c r="V9" s="78" t="s">
        <v>71</v>
      </c>
      <c r="W9" s="78" t="s">
        <v>3</v>
      </c>
      <c r="X9" s="78" t="s">
        <v>3</v>
      </c>
      <c r="Y9" s="78" t="s">
        <v>3</v>
      </c>
      <c r="Z9" s="78" t="s">
        <v>3</v>
      </c>
      <c r="AA9" s="78" t="s">
        <v>3</v>
      </c>
      <c r="AB9" s="78" t="s">
        <v>3</v>
      </c>
      <c r="AC9" s="78" t="s">
        <v>71</v>
      </c>
      <c r="AD9" s="78" t="s">
        <v>3</v>
      </c>
      <c r="AE9" s="78" t="s">
        <v>87</v>
      </c>
      <c r="AF9" s="78" t="s">
        <v>3</v>
      </c>
      <c r="AG9" s="78" t="s">
        <v>3</v>
      </c>
      <c r="AH9" s="78" t="s">
        <v>3</v>
      </c>
      <c r="AI9" s="19"/>
      <c r="AJ9" s="21">
        <f>+Table1[[#This Row],[Total]]-Table1[[#This Row],[W/O]]-Table1[[#This Row],[Abs]]-Table1[[#This Row],[L (Leaves)]]-Table1[[#This Row],[Half day/2]]</f>
        <v>26</v>
      </c>
      <c r="AK9" s="26">
        <f>+COUNTIF(Table1[[#This Row],[01-05-2025]:[31-05-2025]],"Half day")/2</f>
        <v>0</v>
      </c>
      <c r="AL9" s="24">
        <f>+COUNTIF(Table1[[#This Row],[01-05-2025]:[31-05-2025]],"OT")</f>
        <v>0</v>
      </c>
      <c r="AM9" s="21">
        <f>+COUNTIF(Table1[[#This Row],[01-05-2025]:[31-05-2025]],"L")</f>
        <v>1</v>
      </c>
      <c r="AN9" s="21">
        <f>+COUNTIF(Table1[[#This Row],[01-05-2025]:[31-05-2025]],"Abs")</f>
        <v>0</v>
      </c>
      <c r="AO9" s="21">
        <f>+COUNTIF(Table1[[#This Row],[01-05-2025]:[31-05-2025]],"Off")</f>
        <v>4</v>
      </c>
      <c r="AP9" s="16">
        <f>+COUNTA(Table1[[#This Row],[01-05-2025]:[31-05-2025]])</f>
        <v>31</v>
      </c>
      <c r="AQ9" s="20"/>
      <c r="AR9" s="28">
        <f>+Table1[[#This Row],[Present]]+Table1[[#This Row],[W/O]]+Table1[[#This Row],[OT]]</f>
        <v>30</v>
      </c>
      <c r="AS9" s="87">
        <f t="shared" si="0"/>
        <v>18000</v>
      </c>
    </row>
    <row r="10" spans="1:46" ht="15.75" thickBot="1" x14ac:dyDescent="0.3">
      <c r="A10" s="4">
        <v>6</v>
      </c>
      <c r="B10" s="1" t="s">
        <v>15</v>
      </c>
      <c r="C10" s="5" t="s">
        <v>27</v>
      </c>
      <c r="D10" s="78" t="s">
        <v>4</v>
      </c>
      <c r="E10" s="78" t="s">
        <v>4</v>
      </c>
      <c r="F10" s="78" t="s">
        <v>4</v>
      </c>
      <c r="G10" s="78" t="s">
        <v>4</v>
      </c>
      <c r="H10" s="78" t="s">
        <v>3</v>
      </c>
      <c r="I10" s="78" t="s">
        <v>71</v>
      </c>
      <c r="J10" s="78" t="s">
        <v>4</v>
      </c>
      <c r="K10" s="78" t="s">
        <v>2</v>
      </c>
      <c r="L10" s="78" t="s">
        <v>2</v>
      </c>
      <c r="M10" s="78" t="s">
        <v>4</v>
      </c>
      <c r="N10" s="78" t="s">
        <v>4</v>
      </c>
      <c r="O10" s="78" t="s">
        <v>4</v>
      </c>
      <c r="P10" s="78" t="s">
        <v>71</v>
      </c>
      <c r="Q10" s="78" t="s">
        <v>4</v>
      </c>
      <c r="R10" s="78" t="s">
        <v>4</v>
      </c>
      <c r="S10" s="78" t="s">
        <v>4</v>
      </c>
      <c r="T10" s="78" t="s">
        <v>84</v>
      </c>
      <c r="U10" s="78" t="s">
        <v>4</v>
      </c>
      <c r="V10" s="78" t="s">
        <v>4</v>
      </c>
      <c r="W10" s="78" t="s">
        <v>71</v>
      </c>
      <c r="X10" s="78" t="s">
        <v>4</v>
      </c>
      <c r="Y10" s="78" t="s">
        <v>4</v>
      </c>
      <c r="Z10" s="78" t="s">
        <v>4</v>
      </c>
      <c r="AA10" s="78" t="s">
        <v>4</v>
      </c>
      <c r="AB10" s="78" t="s">
        <v>4</v>
      </c>
      <c r="AC10" s="78" t="s">
        <v>4</v>
      </c>
      <c r="AD10" s="78" t="s">
        <v>71</v>
      </c>
      <c r="AE10" s="78" t="s">
        <v>4</v>
      </c>
      <c r="AF10" s="78" t="s">
        <v>4</v>
      </c>
      <c r="AG10" s="78" t="s">
        <v>4</v>
      </c>
      <c r="AH10" s="78" t="s">
        <v>4</v>
      </c>
      <c r="AI10" s="19"/>
      <c r="AJ10" s="21">
        <f>+Table1[[#This Row],[Total]]-Table1[[#This Row],[W/O]]-Table1[[#This Row],[Abs]]-Table1[[#This Row],[L (Leaves)]]-Table1[[#This Row],[Half day/2]]</f>
        <v>26</v>
      </c>
      <c r="AK10" s="26">
        <f>+COUNTIF(Table1[[#This Row],[01-05-2025]:[31-05-2025]],"Half day")/2</f>
        <v>0</v>
      </c>
      <c r="AL10" s="24">
        <f>+COUNTIF(Table1[[#This Row],[01-05-2025]:[31-05-2025]],"OT")</f>
        <v>0</v>
      </c>
      <c r="AM10" s="21">
        <f>+COUNTIF(Table1[[#This Row],[01-05-2025]:[31-05-2025]],"L")</f>
        <v>0</v>
      </c>
      <c r="AN10" s="21">
        <f>+COUNTIF(Table1[[#This Row],[01-05-2025]:[31-05-2025]],"Abs")</f>
        <v>1</v>
      </c>
      <c r="AO10" s="21">
        <f>+COUNTIF(Table1[[#This Row],[01-05-2025]:[31-05-2025]],"Off")</f>
        <v>4</v>
      </c>
      <c r="AP10" s="16">
        <f>+COUNTA(Table1[[#This Row],[01-05-2025]:[31-05-2025]])</f>
        <v>31</v>
      </c>
      <c r="AQ10" s="20"/>
      <c r="AR10" s="28">
        <f>+Table1[[#This Row],[Present]]+Table1[[#This Row],[W/O]]+Table1[[#This Row],[OT]]</f>
        <v>30</v>
      </c>
      <c r="AS10" s="87">
        <f t="shared" si="0"/>
        <v>18000</v>
      </c>
    </row>
    <row r="11" spans="1:46" ht="15.75" thickBot="1" x14ac:dyDescent="0.3">
      <c r="A11" s="4">
        <v>7</v>
      </c>
      <c r="B11" s="1" t="s">
        <v>16</v>
      </c>
      <c r="C11" s="5" t="s">
        <v>28</v>
      </c>
      <c r="D11" s="78" t="s">
        <v>4</v>
      </c>
      <c r="E11" s="78" t="s">
        <v>4</v>
      </c>
      <c r="F11" s="78" t="s">
        <v>4</v>
      </c>
      <c r="G11" s="78" t="s">
        <v>4</v>
      </c>
      <c r="H11" s="78" t="s">
        <v>4</v>
      </c>
      <c r="I11" s="78" t="s">
        <v>4</v>
      </c>
      <c r="J11" s="78" t="s">
        <v>71</v>
      </c>
      <c r="K11" s="78" t="s">
        <v>4</v>
      </c>
      <c r="L11" s="78" t="s">
        <v>4</v>
      </c>
      <c r="M11" s="78" t="s">
        <v>4</v>
      </c>
      <c r="N11" s="78" t="s">
        <v>4</v>
      </c>
      <c r="O11" s="78" t="s">
        <v>4</v>
      </c>
      <c r="P11" s="78" t="s">
        <v>4</v>
      </c>
      <c r="Q11" s="78" t="s">
        <v>71</v>
      </c>
      <c r="R11" s="78" t="s">
        <v>4</v>
      </c>
      <c r="S11" s="78" t="s">
        <v>88</v>
      </c>
      <c r="T11" s="78" t="s">
        <v>4</v>
      </c>
      <c r="U11" s="78" t="s">
        <v>4</v>
      </c>
      <c r="V11" s="78" t="s">
        <v>88</v>
      </c>
      <c r="W11" s="78" t="s">
        <v>4</v>
      </c>
      <c r="X11" s="78" t="s">
        <v>71</v>
      </c>
      <c r="Y11" s="78" t="s">
        <v>4</v>
      </c>
      <c r="Z11" s="78" t="s">
        <v>4</v>
      </c>
      <c r="AA11" s="78" t="s">
        <v>4</v>
      </c>
      <c r="AB11" s="78" t="s">
        <v>4</v>
      </c>
      <c r="AC11" s="78" t="s">
        <v>4</v>
      </c>
      <c r="AD11" s="78" t="s">
        <v>87</v>
      </c>
      <c r="AE11" s="78" t="s">
        <v>71</v>
      </c>
      <c r="AF11" s="78" t="s">
        <v>4</v>
      </c>
      <c r="AG11" s="78" t="s">
        <v>4</v>
      </c>
      <c r="AH11" s="78" t="s">
        <v>4</v>
      </c>
      <c r="AI11" s="19"/>
      <c r="AJ11" s="21">
        <f>+Table1[[#This Row],[Total]]-Table1[[#This Row],[W/O]]-Table1[[#This Row],[Abs]]-Table1[[#This Row],[L (Leaves)]]-Table1[[#This Row],[Half day/2]]</f>
        <v>25</v>
      </c>
      <c r="AK11" s="26">
        <f>+COUNTIF(Table1[[#This Row],[01-05-2025]:[31-05-2025]],"Half day")/2</f>
        <v>1</v>
      </c>
      <c r="AL11" s="24">
        <f>+COUNTIF(Table1[[#This Row],[01-05-2025]:[31-05-2025]],"OT")</f>
        <v>0</v>
      </c>
      <c r="AM11" s="21">
        <f>+COUNTIF(Table1[[#This Row],[01-05-2025]:[31-05-2025]],"L")</f>
        <v>1</v>
      </c>
      <c r="AN11" s="21">
        <f>+COUNTIF(Table1[[#This Row],[01-05-2025]:[31-05-2025]],"Abs")</f>
        <v>0</v>
      </c>
      <c r="AO11" s="21">
        <f>+COUNTIF(Table1[[#This Row],[01-05-2025]:[31-05-2025]],"Off")</f>
        <v>4</v>
      </c>
      <c r="AP11" s="16">
        <f>+COUNTA(Table1[[#This Row],[01-05-2025]:[31-05-2025]])</f>
        <v>31</v>
      </c>
      <c r="AQ11" s="20"/>
      <c r="AR11" s="28">
        <f>+Table1[[#This Row],[Present]]+Table1[[#This Row],[W/O]]+Table1[[#This Row],[OT]]</f>
        <v>29</v>
      </c>
      <c r="AS11" s="87">
        <f t="shared" si="0"/>
        <v>17400</v>
      </c>
    </row>
    <row r="12" spans="1:46" ht="15.75" thickBot="1" x14ac:dyDescent="0.3">
      <c r="A12" s="4">
        <v>8</v>
      </c>
      <c r="B12" s="1" t="s">
        <v>17</v>
      </c>
      <c r="C12" s="5" t="s">
        <v>29</v>
      </c>
      <c r="D12" s="78" t="s">
        <v>4</v>
      </c>
      <c r="E12" s="78" t="s">
        <v>2</v>
      </c>
      <c r="F12" s="78" t="s">
        <v>4</v>
      </c>
      <c r="G12" s="78" t="s">
        <v>5</v>
      </c>
      <c r="H12" s="78" t="s">
        <v>4</v>
      </c>
      <c r="I12" s="78" t="s">
        <v>71</v>
      </c>
      <c r="J12" s="78" t="s">
        <v>4</v>
      </c>
      <c r="K12" s="78" t="s">
        <v>4</v>
      </c>
      <c r="L12" s="78" t="s">
        <v>4</v>
      </c>
      <c r="M12" s="78" t="s">
        <v>4</v>
      </c>
      <c r="N12" s="78" t="s">
        <v>4</v>
      </c>
      <c r="O12" s="78" t="s">
        <v>4</v>
      </c>
      <c r="P12" s="78" t="s">
        <v>71</v>
      </c>
      <c r="Q12" s="78" t="s">
        <v>4</v>
      </c>
      <c r="R12" s="78" t="s">
        <v>4</v>
      </c>
      <c r="S12" s="78" t="s">
        <v>4</v>
      </c>
      <c r="T12" s="78" t="s">
        <v>4</v>
      </c>
      <c r="U12" s="78" t="s">
        <v>4</v>
      </c>
      <c r="V12" s="78" t="s">
        <v>4</v>
      </c>
      <c r="W12" s="78" t="s">
        <v>71</v>
      </c>
      <c r="X12" s="78" t="s">
        <v>4</v>
      </c>
      <c r="Y12" s="78" t="s">
        <v>84</v>
      </c>
      <c r="Z12" s="78" t="s">
        <v>4</v>
      </c>
      <c r="AA12" s="78" t="s">
        <v>4</v>
      </c>
      <c r="AB12" s="78" t="s">
        <v>4</v>
      </c>
      <c r="AC12" s="78" t="s">
        <v>4</v>
      </c>
      <c r="AD12" s="78" t="s">
        <v>71</v>
      </c>
      <c r="AE12" s="78" t="s">
        <v>4</v>
      </c>
      <c r="AF12" s="78" t="s">
        <v>4</v>
      </c>
      <c r="AG12" s="78" t="s">
        <v>4</v>
      </c>
      <c r="AH12" s="78" t="s">
        <v>4</v>
      </c>
      <c r="AI12" s="19"/>
      <c r="AJ12" s="21">
        <f>+Table1[[#This Row],[Total]]-Table1[[#This Row],[W/O]]-Table1[[#This Row],[Abs]]-Table1[[#This Row],[L (Leaves)]]-Table1[[#This Row],[Half day/2]]</f>
        <v>26</v>
      </c>
      <c r="AK12" s="26">
        <f>+COUNTIF(Table1[[#This Row],[01-05-2025]:[31-05-2025]],"Half day")/2</f>
        <v>0</v>
      </c>
      <c r="AL12" s="24">
        <f>+COUNTIF(Table1[[#This Row],[01-05-2025]:[31-05-2025]],"OT")</f>
        <v>0</v>
      </c>
      <c r="AM12" s="21">
        <f>+COUNTIF(Table1[[#This Row],[01-05-2025]:[31-05-2025]],"L")</f>
        <v>0</v>
      </c>
      <c r="AN12" s="21">
        <f>+COUNTIF(Table1[[#This Row],[01-05-2025]:[31-05-2025]],"Abs")</f>
        <v>1</v>
      </c>
      <c r="AO12" s="21">
        <f>+COUNTIF(Table1[[#This Row],[01-05-2025]:[31-05-2025]],"Off")</f>
        <v>4</v>
      </c>
      <c r="AP12" s="16">
        <f>+COUNTA(Table1[[#This Row],[01-05-2025]:[31-05-2025]])</f>
        <v>31</v>
      </c>
      <c r="AQ12" s="20"/>
      <c r="AR12" s="28">
        <f>+Table1[[#This Row],[Present]]+Table1[[#This Row],[W/O]]+Table1[[#This Row],[OT]]</f>
        <v>30</v>
      </c>
      <c r="AS12" s="87">
        <f t="shared" si="0"/>
        <v>18000</v>
      </c>
    </row>
    <row r="13" spans="1:46" ht="15.75" thickBot="1" x14ac:dyDescent="0.3">
      <c r="A13" s="4">
        <v>9</v>
      </c>
      <c r="B13" s="1" t="s">
        <v>18</v>
      </c>
      <c r="C13" s="5" t="s">
        <v>30</v>
      </c>
      <c r="D13" s="78" t="s">
        <v>5</v>
      </c>
      <c r="E13" s="78" t="s">
        <v>5</v>
      </c>
      <c r="F13" s="78" t="s">
        <v>5</v>
      </c>
      <c r="G13" s="78" t="s">
        <v>5</v>
      </c>
      <c r="H13" s="78" t="s">
        <v>71</v>
      </c>
      <c r="I13" s="78" t="s">
        <v>5</v>
      </c>
      <c r="J13" s="78" t="s">
        <v>5</v>
      </c>
      <c r="K13" s="78" t="s">
        <v>5</v>
      </c>
      <c r="L13" s="78" t="s">
        <v>5</v>
      </c>
      <c r="M13" s="78" t="s">
        <v>5</v>
      </c>
      <c r="N13" s="78" t="s">
        <v>5</v>
      </c>
      <c r="O13" s="78" t="s">
        <v>71</v>
      </c>
      <c r="P13" s="78" t="s">
        <v>5</v>
      </c>
      <c r="Q13" s="78" t="s">
        <v>5</v>
      </c>
      <c r="R13" s="78" t="s">
        <v>5</v>
      </c>
      <c r="S13" s="78" t="s">
        <v>5</v>
      </c>
      <c r="T13" s="78" t="s">
        <v>5</v>
      </c>
      <c r="U13" s="78" t="s">
        <v>5</v>
      </c>
      <c r="V13" s="78" t="s">
        <v>71</v>
      </c>
      <c r="W13" s="78" t="s">
        <v>5</v>
      </c>
      <c r="X13" s="78" t="s">
        <v>5</v>
      </c>
      <c r="Y13" s="78" t="s">
        <v>5</v>
      </c>
      <c r="Z13" s="78" t="s">
        <v>5</v>
      </c>
      <c r="AA13" s="78" t="s">
        <v>5</v>
      </c>
      <c r="AB13" s="78" t="s">
        <v>5</v>
      </c>
      <c r="AC13" s="78" t="s">
        <v>71</v>
      </c>
      <c r="AD13" s="78" t="s">
        <v>5</v>
      </c>
      <c r="AE13" s="78" t="s">
        <v>5</v>
      </c>
      <c r="AF13" s="78" t="s">
        <v>5</v>
      </c>
      <c r="AG13" s="78" t="s">
        <v>5</v>
      </c>
      <c r="AH13" s="78" t="s">
        <v>5</v>
      </c>
      <c r="AI13" s="19"/>
      <c r="AJ13" s="21">
        <f>+Table1[[#This Row],[Total]]-Table1[[#This Row],[W/O]]-Table1[[#This Row],[Abs]]-Table1[[#This Row],[L (Leaves)]]-Table1[[#This Row],[Half day/2]]</f>
        <v>27</v>
      </c>
      <c r="AK13" s="26">
        <f>+COUNTIF(Table1[[#This Row],[01-05-2025]:[31-05-2025]],"Half day")/2</f>
        <v>0</v>
      </c>
      <c r="AL13" s="24">
        <f>+COUNTIF(Table1[[#This Row],[01-05-2025]:[31-05-2025]],"OT")</f>
        <v>0</v>
      </c>
      <c r="AM13" s="21">
        <f>+COUNTIF(Table1[[#This Row],[01-05-2025]:[31-05-2025]],"L")</f>
        <v>0</v>
      </c>
      <c r="AN13" s="21">
        <f>+COUNTIF(Table1[[#This Row],[01-05-2025]:[31-05-2025]],"Abs")</f>
        <v>0</v>
      </c>
      <c r="AO13" s="21">
        <f>+COUNTIF(Table1[[#This Row],[01-05-2025]:[31-05-2025]],"Off")</f>
        <v>4</v>
      </c>
      <c r="AP13" s="16">
        <f>+COUNTA(Table1[[#This Row],[01-05-2025]:[31-05-2025]])</f>
        <v>31</v>
      </c>
      <c r="AQ13" s="20"/>
      <c r="AR13" s="28">
        <f>+Table1[[#This Row],[Present]]+Table1[[#This Row],[W/O]]+Table1[[#This Row],[OT]]</f>
        <v>31</v>
      </c>
      <c r="AS13" s="87">
        <f t="shared" si="0"/>
        <v>18600</v>
      </c>
    </row>
    <row r="14" spans="1:46" ht="15.75" thickBot="1" x14ac:dyDescent="0.3">
      <c r="A14" s="6">
        <v>10</v>
      </c>
      <c r="B14" s="3" t="s">
        <v>19</v>
      </c>
      <c r="C14" s="7" t="s">
        <v>31</v>
      </c>
      <c r="D14" s="78" t="s">
        <v>5</v>
      </c>
      <c r="E14" s="78" t="s">
        <v>5</v>
      </c>
      <c r="F14" s="78" t="s">
        <v>5</v>
      </c>
      <c r="G14" s="78" t="s">
        <v>71</v>
      </c>
      <c r="H14" s="78" t="s">
        <v>5</v>
      </c>
      <c r="I14" s="78" t="s">
        <v>5</v>
      </c>
      <c r="J14" s="78" t="s">
        <v>5</v>
      </c>
      <c r="K14" s="78" t="s">
        <v>5</v>
      </c>
      <c r="L14" s="78" t="s">
        <v>5</v>
      </c>
      <c r="M14" s="78" t="s">
        <v>5</v>
      </c>
      <c r="N14" s="78" t="s">
        <v>71</v>
      </c>
      <c r="O14" s="78" t="s">
        <v>5</v>
      </c>
      <c r="P14" s="78" t="s">
        <v>5</v>
      </c>
      <c r="Q14" s="78" t="s">
        <v>5</v>
      </c>
      <c r="R14" s="78" t="s">
        <v>5</v>
      </c>
      <c r="S14" s="78" t="s">
        <v>5</v>
      </c>
      <c r="T14" s="78" t="s">
        <v>5</v>
      </c>
      <c r="U14" s="78" t="s">
        <v>71</v>
      </c>
      <c r="V14" s="78" t="s">
        <v>5</v>
      </c>
      <c r="W14" s="78" t="s">
        <v>5</v>
      </c>
      <c r="X14" s="78" t="s">
        <v>5</v>
      </c>
      <c r="Y14" s="78" t="s">
        <v>5</v>
      </c>
      <c r="Z14" s="78" t="s">
        <v>5</v>
      </c>
      <c r="AA14" s="78" t="s">
        <v>5</v>
      </c>
      <c r="AB14" s="78" t="s">
        <v>71</v>
      </c>
      <c r="AC14" s="78" t="s">
        <v>5</v>
      </c>
      <c r="AD14" s="78" t="s">
        <v>5</v>
      </c>
      <c r="AE14" s="78" t="s">
        <v>5</v>
      </c>
      <c r="AF14" s="78" t="s">
        <v>5</v>
      </c>
      <c r="AG14" s="78" t="s">
        <v>5</v>
      </c>
      <c r="AH14" s="78" t="s">
        <v>5</v>
      </c>
      <c r="AI14" s="19"/>
      <c r="AJ14" s="21">
        <f>+Table1[[#This Row],[Total]]-Table1[[#This Row],[W/O]]-Table1[[#This Row],[Abs]]-Table1[[#This Row],[L (Leaves)]]-Table1[[#This Row],[Half day/2]]</f>
        <v>27</v>
      </c>
      <c r="AK14" s="26">
        <f>+COUNTIF(Table1[[#This Row],[01-05-2025]:[31-05-2025]],"Half day")/2</f>
        <v>0</v>
      </c>
      <c r="AL14" s="24">
        <f>+COUNTIF(Table1[[#This Row],[01-05-2025]:[31-05-2025]],"OT")</f>
        <v>0</v>
      </c>
      <c r="AM14" s="21">
        <f>+COUNTIF(Table1[[#This Row],[01-05-2025]:[31-05-2025]],"L")</f>
        <v>0</v>
      </c>
      <c r="AN14" s="21">
        <f>+COUNTIF(Table1[[#This Row],[01-05-2025]:[31-05-2025]],"Abs")</f>
        <v>0</v>
      </c>
      <c r="AO14" s="21">
        <f>+COUNTIF(Table1[[#This Row],[01-05-2025]:[31-05-2025]],"Off")</f>
        <v>4</v>
      </c>
      <c r="AP14" s="16">
        <f>+COUNTA(Table1[[#This Row],[01-05-2025]:[31-05-2025]])</f>
        <v>31</v>
      </c>
      <c r="AQ14" s="20"/>
      <c r="AR14" s="29">
        <f>+Table1[[#This Row],[Present]]+Table1[[#This Row],[W/O]]+Table1[[#This Row],[OT]]</f>
        <v>31</v>
      </c>
      <c r="AS14" s="88">
        <f t="shared" si="0"/>
        <v>18600</v>
      </c>
    </row>
    <row r="15" spans="1:46" ht="19.5" thickBo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2"/>
      <c r="AK15" s="22"/>
      <c r="AL15" s="22"/>
      <c r="AM15" s="23"/>
      <c r="AN15" s="23"/>
      <c r="AO15" s="23"/>
      <c r="AP15" s="22"/>
      <c r="AQ15" s="20"/>
      <c r="AR15" s="30">
        <f>SUM(AR5:AR14)</f>
        <v>302.5</v>
      </c>
      <c r="AS15" s="89">
        <f t="shared" si="0"/>
        <v>181500</v>
      </c>
    </row>
    <row r="16" spans="1:46" ht="14.25" customHeight="1" x14ac:dyDescent="0.25">
      <c r="A16" s="20"/>
      <c r="B16" s="20"/>
      <c r="C16" s="94" t="s">
        <v>2</v>
      </c>
      <c r="D16" s="1">
        <f>+COUNTIF(Table1[01-05-2025],"A")</f>
        <v>2</v>
      </c>
      <c r="E16" s="1">
        <f>+COUNTIF(Table1[02-05-2025],"A")</f>
        <v>3</v>
      </c>
      <c r="F16" s="1">
        <f>+COUNTIF(Table1[03-05-2025],"A")</f>
        <v>2</v>
      </c>
      <c r="G16" s="1">
        <f>+COUNTIF(Table1[04-05-2025],"A")</f>
        <v>2</v>
      </c>
      <c r="H16" s="1">
        <f>+COUNTIF(Table1[05-05-2025],"A")</f>
        <v>2</v>
      </c>
      <c r="I16" s="1">
        <f>+COUNTIF(Table1[06-05-2025],"A")</f>
        <v>2</v>
      </c>
      <c r="J16" s="1">
        <f>+COUNTIF(Table1[07-05-2025],"A")</f>
        <v>3</v>
      </c>
      <c r="K16" s="1">
        <f>+COUNTIF(Table1[08-05-2025],"A")</f>
        <v>3</v>
      </c>
      <c r="L16" s="1">
        <f>+COUNTIF(Table1[09-05-2025],"A")</f>
        <v>3</v>
      </c>
      <c r="M16" s="1">
        <f>+COUNTIF(Table1[10-05-2025],"A")</f>
        <v>2</v>
      </c>
      <c r="N16" s="1">
        <f>+COUNTIF(Table1[11-05-2025],"A")</f>
        <v>3</v>
      </c>
      <c r="O16" s="1">
        <f>+COUNTIF(Table1[12-05-2025],"A")</f>
        <v>3</v>
      </c>
      <c r="P16" s="1">
        <f>+COUNTIF(Table1[13-05-2025],"A")</f>
        <v>3</v>
      </c>
      <c r="Q16" s="1">
        <f>+COUNTIF(Table1[14-05-2025],"A")</f>
        <v>3</v>
      </c>
      <c r="R16" s="1">
        <f>+COUNTIF(Table1[15-05-2025],"A")</f>
        <v>1</v>
      </c>
      <c r="S16" s="1">
        <f>+COUNTIF(Table1[16-05-2025],"A")</f>
        <v>2</v>
      </c>
      <c r="T16" s="1">
        <f>+COUNTIF(Table1[17-05-2025],"A")</f>
        <v>2</v>
      </c>
      <c r="U16" s="1">
        <f>+COUNTIF(Table1[18-05-2025],"A")</f>
        <v>3</v>
      </c>
      <c r="V16" s="1">
        <f>+COUNTIF(Table1[19-05-2025],"A")</f>
        <v>3</v>
      </c>
      <c r="W16" s="1">
        <f>+COUNTIF(Table1[20-05-2025],"A")</f>
        <v>3</v>
      </c>
      <c r="X16" s="1">
        <f>+COUNTIF(Table1[21-05-2025],"A")</f>
        <v>3</v>
      </c>
      <c r="Y16" s="1">
        <f>+COUNTIF(Table1[22-05-2025],"A")</f>
        <v>2</v>
      </c>
      <c r="Z16" s="1">
        <f>+COUNTIF(Table1[23-05-2025],"A")</f>
        <v>2</v>
      </c>
      <c r="AA16" s="1">
        <f>+COUNTIF(Table1[24-05-2025],"A")</f>
        <v>2</v>
      </c>
      <c r="AB16" s="1">
        <f>+COUNTIF(Table1[25-05-2025],"A")</f>
        <v>3</v>
      </c>
      <c r="AC16" s="1">
        <f>+COUNTIF(Table1[26-05-2025],"A")</f>
        <v>3</v>
      </c>
      <c r="AD16" s="1">
        <f>+COUNTIF(Table1[27-05-2025],"A")</f>
        <v>3</v>
      </c>
      <c r="AE16" s="1">
        <f>+COUNTIF(Table1[28-05-2025],"A")</f>
        <v>3</v>
      </c>
      <c r="AF16" s="1">
        <f>+COUNTIF(Table1[29-05-2025],"A")</f>
        <v>1</v>
      </c>
      <c r="AG16" s="1">
        <f>+COUNTIF(Table1[30-05-2025],"A")</f>
        <v>2</v>
      </c>
      <c r="AH16" s="1">
        <f>+COUNTIF(Table1[31-05-2025],"A")</f>
        <v>2</v>
      </c>
      <c r="AI16" s="1">
        <f>+COUNTIF(Table1[01-05-2025],"A")</f>
        <v>2</v>
      </c>
      <c r="AJ16" s="93">
        <f>+SUM(Table1[Present])</f>
        <v>258.5</v>
      </c>
      <c r="AK16" s="91">
        <f>+SUM(Table1[Half day/2])</f>
        <v>1.5</v>
      </c>
      <c r="AL16" s="92">
        <f>+SUM(Table1[OT])</f>
        <v>1</v>
      </c>
      <c r="AM16" s="91">
        <f>+SUM(Table1[L (Leaves)])</f>
        <v>3</v>
      </c>
      <c r="AN16" s="91">
        <f>+SUM(Table1[Abs])</f>
        <v>4</v>
      </c>
      <c r="AO16" s="91">
        <f>+SUM(Table1[W/O])</f>
        <v>43</v>
      </c>
      <c r="AP16" s="99">
        <f>+SUM(Table1[Total])</f>
        <v>310</v>
      </c>
      <c r="AQ16" s="20"/>
    </row>
    <row r="17" spans="1:48" ht="14.25" customHeight="1" thickBot="1" x14ac:dyDescent="0.4">
      <c r="A17" s="20"/>
      <c r="B17" s="20"/>
      <c r="C17" s="94" t="s">
        <v>3</v>
      </c>
      <c r="D17" s="1">
        <f>+COUNTIF(Table1[01-05-2025],"B")</f>
        <v>2</v>
      </c>
      <c r="E17" s="1">
        <f>+COUNTIF(Table1[02-05-2025],"B")</f>
        <v>2</v>
      </c>
      <c r="F17" s="1">
        <f>+COUNTIF(Table1[03-05-2025],"B")</f>
        <v>2</v>
      </c>
      <c r="G17" s="1">
        <f>+COUNTIF(Table1[04-05-2025],"B")</f>
        <v>2</v>
      </c>
      <c r="H17" s="1">
        <f>+COUNTIF(Table1[05-05-2025],"B")</f>
        <v>2</v>
      </c>
      <c r="I17" s="1">
        <f>+COUNTIF(Table1[06-05-2025],"B")</f>
        <v>2</v>
      </c>
      <c r="J17" s="1">
        <f>+COUNTIF(Table1[07-05-2025],"B")</f>
        <v>2</v>
      </c>
      <c r="K17" s="1">
        <f>+COUNTIF(Table1[08-05-2025],"B")</f>
        <v>2</v>
      </c>
      <c r="L17" s="1">
        <f>+COUNTIF(Table1[09-05-2025],"B")</f>
        <v>2</v>
      </c>
      <c r="M17" s="1">
        <f>+COUNTIF(Table1[10-05-2025],"B")</f>
        <v>2</v>
      </c>
      <c r="N17" s="1">
        <f>+COUNTIF(Table1[11-05-2025],"B")</f>
        <v>1</v>
      </c>
      <c r="O17" s="1">
        <f>+COUNTIF(Table1[12-05-2025],"B")</f>
        <v>1</v>
      </c>
      <c r="P17" s="1">
        <f>+COUNTIF(Table1[13-05-2025],"B")</f>
        <v>2</v>
      </c>
      <c r="Q17" s="1">
        <f>+COUNTIF(Table1[14-05-2025],"B")</f>
        <v>2</v>
      </c>
      <c r="R17" s="1">
        <f>+COUNTIF(Table1[15-05-2025],"B")</f>
        <v>2</v>
      </c>
      <c r="S17" s="1">
        <f>+COUNTIF(Table1[16-05-2025],"B")</f>
        <v>2</v>
      </c>
      <c r="T17" s="1">
        <f>+COUNTIF(Table1[17-05-2025],"B")</f>
        <v>2</v>
      </c>
      <c r="U17" s="1">
        <f>+COUNTIF(Table1[18-05-2025],"B")</f>
        <v>1</v>
      </c>
      <c r="V17" s="1">
        <f>+COUNTIF(Table1[19-05-2025],"B")</f>
        <v>1</v>
      </c>
      <c r="W17" s="1">
        <f>+COUNTIF(Table1[20-05-2025],"B")</f>
        <v>2</v>
      </c>
      <c r="X17" s="1">
        <f>+COUNTIF(Table1[21-05-2025],"B")</f>
        <v>2</v>
      </c>
      <c r="Y17" s="1">
        <f>+COUNTIF(Table1[22-05-2025],"B")</f>
        <v>1</v>
      </c>
      <c r="Z17" s="1">
        <f>+COUNTIF(Table1[23-05-2025],"B")</f>
        <v>2</v>
      </c>
      <c r="AA17" s="1">
        <f>+COUNTIF(Table1[24-05-2025],"B")</f>
        <v>1</v>
      </c>
      <c r="AB17" s="1">
        <f>+COUNTIF(Table1[25-05-2025],"B")</f>
        <v>1</v>
      </c>
      <c r="AC17" s="1">
        <f>+COUNTIF(Table1[26-05-2025],"B")</f>
        <v>1</v>
      </c>
      <c r="AD17" s="1">
        <f>+COUNTIF(Table1[27-05-2025],"B")</f>
        <v>2</v>
      </c>
      <c r="AE17" s="1">
        <f>+COUNTIF(Table1[28-05-2025],"B")</f>
        <v>1</v>
      </c>
      <c r="AF17" s="1">
        <f>+COUNTIF(Table1[29-05-2025],"B")</f>
        <v>1</v>
      </c>
      <c r="AG17" s="1">
        <f>+COUNTIF(Table1[30-05-2025],"B")</f>
        <v>2</v>
      </c>
      <c r="AH17" s="1">
        <f>+COUNTIF(Table1[31-05-2025],"B")</f>
        <v>2</v>
      </c>
      <c r="AI17" s="1">
        <f>+COUNTIF(Table1[01-05-2025],"B")</f>
        <v>2</v>
      </c>
      <c r="AJ17" s="97">
        <f>AJ16+AO16+AM16+AN16+AK16</f>
        <v>310</v>
      </c>
      <c r="AK17" s="97"/>
      <c r="AL17" s="97"/>
      <c r="AM17" s="97"/>
      <c r="AN17" s="97"/>
      <c r="AO17" s="98"/>
      <c r="AP17" s="100"/>
      <c r="AQ17" s="20"/>
      <c r="AR17" s="31"/>
      <c r="AS17" s="32"/>
      <c r="AT17" s="27"/>
      <c r="AV17" s="10"/>
    </row>
    <row r="18" spans="1:48" ht="14.25" customHeight="1" x14ac:dyDescent="0.25">
      <c r="A18" s="20"/>
      <c r="B18" s="20"/>
      <c r="C18" s="94" t="s">
        <v>4</v>
      </c>
      <c r="D18" s="1">
        <f>+COUNTIF(Table1[01-05-2025],"C")</f>
        <v>3</v>
      </c>
      <c r="E18" s="1">
        <f>+COUNTIF(Table1[02-05-2025],"C")</f>
        <v>2</v>
      </c>
      <c r="F18" s="1">
        <f>+COUNTIF(Table1[03-05-2025],"C")</f>
        <v>3</v>
      </c>
      <c r="G18" s="1">
        <f>+COUNTIF(Table1[04-05-2025],"C")</f>
        <v>2</v>
      </c>
      <c r="H18" s="1">
        <f>+COUNTIF(Table1[05-05-2025],"C")</f>
        <v>2</v>
      </c>
      <c r="I18" s="1">
        <f>+COUNTIF(Table1[06-05-2025],"C")</f>
        <v>2</v>
      </c>
      <c r="J18" s="1">
        <f>+COUNTIF(Table1[07-05-2025],"C")</f>
        <v>2</v>
      </c>
      <c r="K18" s="1">
        <f>+COUNTIF(Table1[08-05-2025],"C")</f>
        <v>2</v>
      </c>
      <c r="L18" s="1">
        <f>+COUNTIF(Table1[09-05-2025],"C")</f>
        <v>2</v>
      </c>
      <c r="M18" s="1">
        <f>+COUNTIF(Table1[10-05-2025],"C")</f>
        <v>3</v>
      </c>
      <c r="N18" s="1">
        <f>+COUNTIF(Table1[11-05-2025],"C")</f>
        <v>3</v>
      </c>
      <c r="O18" s="1">
        <f>+COUNTIF(Table1[12-05-2025],"C")</f>
        <v>3</v>
      </c>
      <c r="P18" s="1">
        <f>+COUNTIF(Table1[13-05-2025],"C")</f>
        <v>1</v>
      </c>
      <c r="Q18" s="1">
        <f>+COUNTIF(Table1[14-05-2025],"C")</f>
        <v>2</v>
      </c>
      <c r="R18" s="1">
        <f>+COUNTIF(Table1[15-05-2025],"C")</f>
        <v>3</v>
      </c>
      <c r="S18" s="1">
        <f>+COUNTIF(Table1[16-05-2025],"C")</f>
        <v>2</v>
      </c>
      <c r="T18" s="1">
        <f>+COUNTIF(Table1[17-05-2025],"C")</f>
        <v>2</v>
      </c>
      <c r="U18" s="1">
        <f>+COUNTIF(Table1[18-05-2025],"C")</f>
        <v>3</v>
      </c>
      <c r="V18" s="1">
        <f>+COUNTIF(Table1[19-05-2025],"C")</f>
        <v>2</v>
      </c>
      <c r="W18" s="1">
        <f>+COUNTIF(Table1[20-05-2025],"C")</f>
        <v>1</v>
      </c>
      <c r="X18" s="1">
        <f>+COUNTIF(Table1[21-05-2025],"C")</f>
        <v>2</v>
      </c>
      <c r="Y18" s="1">
        <f>+COUNTIF(Table1[22-05-2025],"C")</f>
        <v>2</v>
      </c>
      <c r="Z18" s="1">
        <f>+COUNTIF(Table1[23-05-2025],"C")</f>
        <v>3</v>
      </c>
      <c r="AA18" s="1">
        <f>+COUNTIF(Table1[24-05-2025],"C")</f>
        <v>3</v>
      </c>
      <c r="AB18" s="1">
        <f>+COUNTIF(Table1[25-05-2025],"C")</f>
        <v>3</v>
      </c>
      <c r="AC18" s="1">
        <f>+COUNTIF(Table1[26-05-2025],"C")</f>
        <v>3</v>
      </c>
      <c r="AD18" s="1">
        <f>+COUNTIF(Table1[27-05-2025],"C")</f>
        <v>0</v>
      </c>
      <c r="AE18" s="1">
        <f>+COUNTIF(Table1[28-05-2025],"C")</f>
        <v>2</v>
      </c>
      <c r="AF18" s="1">
        <f>+COUNTIF(Table1[29-05-2025],"C")</f>
        <v>3</v>
      </c>
      <c r="AG18" s="1">
        <f>+COUNTIF(Table1[30-05-2025],"C")</f>
        <v>3</v>
      </c>
      <c r="AH18" s="1">
        <f>+COUNTIF(Table1[31-05-2025],"C")</f>
        <v>3</v>
      </c>
      <c r="AI18" s="1">
        <f>+COUNTIF(Table1[01-05-2025],"C")</f>
        <v>3</v>
      </c>
    </row>
    <row r="19" spans="1:48" ht="14.25" customHeight="1" x14ac:dyDescent="0.25">
      <c r="A19" s="20"/>
      <c r="B19" s="20"/>
      <c r="C19" s="94" t="s">
        <v>5</v>
      </c>
      <c r="D19" s="1">
        <f>+COUNTIF(Table1[01-05-2025],"D")</f>
        <v>2</v>
      </c>
      <c r="E19" s="1">
        <f>+COUNTIF(Table1[02-05-2025],"D")</f>
        <v>2</v>
      </c>
      <c r="F19" s="1">
        <f>+COUNTIF(Table1[03-05-2025],"D")</f>
        <v>2</v>
      </c>
      <c r="G19" s="1">
        <f>+COUNTIF(Table1[04-05-2025],"D")</f>
        <v>2</v>
      </c>
      <c r="H19" s="1">
        <f>+COUNTIF(Table1[05-05-2025],"D")</f>
        <v>2</v>
      </c>
      <c r="I19" s="1">
        <f>+COUNTIF(Table1[06-05-2025],"D")</f>
        <v>2</v>
      </c>
      <c r="J19" s="1">
        <f>+COUNTIF(Table1[07-05-2025],"D")</f>
        <v>2</v>
      </c>
      <c r="K19" s="1">
        <f>+COUNTIF(Table1[08-05-2025],"D")</f>
        <v>2</v>
      </c>
      <c r="L19" s="1">
        <f>+COUNTIF(Table1[09-05-2025],"D")</f>
        <v>2</v>
      </c>
      <c r="M19" s="1">
        <f>+COUNTIF(Table1[10-05-2025],"D")</f>
        <v>2</v>
      </c>
      <c r="N19" s="1">
        <f>+COUNTIF(Table1[11-05-2025],"D")</f>
        <v>1</v>
      </c>
      <c r="O19" s="1">
        <f>+COUNTIF(Table1[12-05-2025],"D")</f>
        <v>1</v>
      </c>
      <c r="P19" s="1">
        <f>+COUNTIF(Table1[13-05-2025],"D")</f>
        <v>2</v>
      </c>
      <c r="Q19" s="1">
        <f>+COUNTIF(Table1[14-05-2025],"D")</f>
        <v>2</v>
      </c>
      <c r="R19" s="1">
        <f>+COUNTIF(Table1[15-05-2025],"D")</f>
        <v>2</v>
      </c>
      <c r="S19" s="1">
        <f>+COUNTIF(Table1[16-05-2025],"D")</f>
        <v>2</v>
      </c>
      <c r="T19" s="1">
        <f>+COUNTIF(Table1[17-05-2025],"D")</f>
        <v>2</v>
      </c>
      <c r="U19" s="1">
        <f>+COUNTIF(Table1[18-05-2025],"D")</f>
        <v>1</v>
      </c>
      <c r="V19" s="1">
        <f>+COUNTIF(Table1[19-05-2025],"D")</f>
        <v>1</v>
      </c>
      <c r="W19" s="1">
        <f>+COUNTIF(Table1[20-05-2025],"D")</f>
        <v>2</v>
      </c>
      <c r="X19" s="1">
        <f>+COUNTIF(Table1[21-05-2025],"D")</f>
        <v>2</v>
      </c>
      <c r="Y19" s="1">
        <f>+COUNTIF(Table1[22-05-2025],"D")</f>
        <v>2</v>
      </c>
      <c r="Z19" s="1">
        <f>+COUNTIF(Table1[23-05-2025],"D")</f>
        <v>2</v>
      </c>
      <c r="AA19" s="1">
        <f>+COUNTIF(Table1[24-05-2025],"D")</f>
        <v>2</v>
      </c>
      <c r="AB19" s="1">
        <f>+COUNTIF(Table1[25-05-2025],"D")</f>
        <v>1</v>
      </c>
      <c r="AC19" s="1">
        <f>+COUNTIF(Table1[26-05-2025],"D")</f>
        <v>1</v>
      </c>
      <c r="AD19" s="1">
        <f>+COUNTIF(Table1[27-05-2025],"D")</f>
        <v>2</v>
      </c>
      <c r="AE19" s="1">
        <f>+COUNTIF(Table1[28-05-2025],"D")</f>
        <v>2</v>
      </c>
      <c r="AF19" s="1">
        <f>+COUNTIF(Table1[29-05-2025],"D")</f>
        <v>2</v>
      </c>
      <c r="AG19" s="1">
        <f>+COUNTIF(Table1[30-05-2025],"D")</f>
        <v>2</v>
      </c>
      <c r="AH19" s="1">
        <f>+COUNTIF(Table1[31-05-2025],"D")</f>
        <v>2</v>
      </c>
      <c r="AI19" s="1">
        <f>+COUNTIF(Table1[01-05-2025],"D")</f>
        <v>2</v>
      </c>
    </row>
    <row r="20" spans="1:48" ht="14.25" customHeight="1" x14ac:dyDescent="0.25">
      <c r="A20" s="95"/>
      <c r="B20" s="95"/>
      <c r="C20" s="94" t="s">
        <v>71</v>
      </c>
      <c r="D20" s="1">
        <f>+COUNTIF(Table1[01-05-2025],"Off")</f>
        <v>1</v>
      </c>
      <c r="E20" s="1">
        <f>+COUNTIF(Table1[02-05-2025],"Off")</f>
        <v>1</v>
      </c>
      <c r="F20" s="1">
        <f>+COUNTIF(Table1[03-05-2025],"Off")</f>
        <v>1</v>
      </c>
      <c r="G20" s="1">
        <f>+COUNTIF(Table1[04-05-2025],"Off")</f>
        <v>2</v>
      </c>
      <c r="H20" s="1">
        <f>+COUNTIF(Table1[05-05-2025],"Off")</f>
        <v>2</v>
      </c>
      <c r="I20" s="1">
        <f>+COUNTIF(Table1[06-05-2025],"Off")</f>
        <v>2</v>
      </c>
      <c r="J20" s="1">
        <f>+COUNTIF(Table1[07-05-2025],"Off")</f>
        <v>1</v>
      </c>
      <c r="K20" s="1">
        <f>+COUNTIF(Table1[08-05-2025],"Off")</f>
        <v>1</v>
      </c>
      <c r="L20" s="1">
        <f>+COUNTIF(Table1[09-05-2025],"Off")</f>
        <v>1</v>
      </c>
      <c r="M20" s="1">
        <f>+COUNTIF(Table1[10-05-2025],"Off")</f>
        <v>1</v>
      </c>
      <c r="N20" s="1">
        <f>+COUNTIF(Table1[11-05-2025],"Off")</f>
        <v>2</v>
      </c>
      <c r="O20" s="1">
        <f>+COUNTIF(Table1[12-05-2025],"Off")</f>
        <v>2</v>
      </c>
      <c r="P20" s="1">
        <f>+COUNTIF(Table1[13-05-2025],"Off")</f>
        <v>2</v>
      </c>
      <c r="Q20" s="1">
        <f>+COUNTIF(Table1[14-05-2025],"Off")</f>
        <v>1</v>
      </c>
      <c r="R20" s="1">
        <f>+COUNTIF(Table1[15-05-2025],"Off")</f>
        <v>1</v>
      </c>
      <c r="S20" s="1">
        <f>+COUNTIF(Table1[16-05-2025],"Off")</f>
        <v>1</v>
      </c>
      <c r="T20" s="1">
        <f>+COUNTIF(Table1[17-05-2025],"Off")</f>
        <v>1</v>
      </c>
      <c r="U20" s="1">
        <f>+COUNTIF(Table1[18-05-2025],"Off")</f>
        <v>2</v>
      </c>
      <c r="V20" s="1">
        <f>+COUNTIF(Table1[19-05-2025],"Off")</f>
        <v>2</v>
      </c>
      <c r="W20" s="1">
        <f>+COUNTIF(Table1[20-05-2025],"Off")</f>
        <v>2</v>
      </c>
      <c r="X20" s="1">
        <f>+COUNTIF(Table1[21-05-2025],"Off")</f>
        <v>1</v>
      </c>
      <c r="Y20" s="1">
        <f>+COUNTIF(Table1[22-05-2025],"Off")</f>
        <v>1</v>
      </c>
      <c r="Z20" s="1">
        <f>+COUNTIF(Table1[23-05-2025],"Off")</f>
        <v>1</v>
      </c>
      <c r="AA20" s="1">
        <f>+COUNTIF(Table1[24-05-2025],"Off")</f>
        <v>1</v>
      </c>
      <c r="AB20" s="1">
        <f>+COUNTIF(Table1[25-05-2025],"Off")</f>
        <v>2</v>
      </c>
      <c r="AC20" s="1">
        <f>+COUNTIF(Table1[26-05-2025],"Off")</f>
        <v>2</v>
      </c>
      <c r="AD20" s="1">
        <f>+COUNTIF(Table1[27-05-2025],"Off")</f>
        <v>2</v>
      </c>
      <c r="AE20" s="1">
        <f>+COUNTIF(Table1[28-05-2025],"Off")</f>
        <v>1</v>
      </c>
      <c r="AF20" s="1">
        <f>+COUNTIF(Table1[29-05-2025],"Off")</f>
        <v>1</v>
      </c>
      <c r="AG20" s="1">
        <f>+COUNTIF(Table1[30-05-2025],"Off")</f>
        <v>1</v>
      </c>
      <c r="AH20" s="1">
        <f>+COUNTIF(Table1[31-05-2025],"Off")</f>
        <v>1</v>
      </c>
      <c r="AI20" s="1">
        <f>+COUNTIF(Table1[01-05-2025],"Off")</f>
        <v>1</v>
      </c>
    </row>
    <row r="21" spans="1:48" x14ac:dyDescent="0.25">
      <c r="B21" s="10" t="s">
        <v>72</v>
      </c>
      <c r="C21" s="96" t="s">
        <v>118</v>
      </c>
    </row>
    <row r="22" spans="1:48" x14ac:dyDescent="0.25">
      <c r="B22" s="10" t="s">
        <v>2</v>
      </c>
      <c r="C22" s="11" t="s">
        <v>106</v>
      </c>
    </row>
    <row r="23" spans="1:48" x14ac:dyDescent="0.25">
      <c r="B23" s="10" t="s">
        <v>3</v>
      </c>
      <c r="C23" s="11" t="s">
        <v>107</v>
      </c>
    </row>
    <row r="24" spans="1:48" x14ac:dyDescent="0.25">
      <c r="B24" s="10" t="s">
        <v>4</v>
      </c>
      <c r="C24" s="11" t="s">
        <v>108</v>
      </c>
    </row>
    <row r="25" spans="1:48" x14ac:dyDescent="0.25">
      <c r="B25" s="10" t="s">
        <v>5</v>
      </c>
      <c r="C25" s="11" t="s">
        <v>109</v>
      </c>
    </row>
    <row r="26" spans="1:48" x14ac:dyDescent="0.25">
      <c r="B26" s="10" t="s">
        <v>71</v>
      </c>
      <c r="C26" s="11" t="s">
        <v>81</v>
      </c>
    </row>
    <row r="27" spans="1:48" x14ac:dyDescent="0.25">
      <c r="B27" s="17" t="s">
        <v>88</v>
      </c>
      <c r="C27" s="11" t="s">
        <v>110</v>
      </c>
    </row>
    <row r="28" spans="1:48" x14ac:dyDescent="0.25">
      <c r="B28" s="17" t="s">
        <v>89</v>
      </c>
      <c r="C28" s="11" t="s">
        <v>111</v>
      </c>
    </row>
    <row r="29" spans="1:48" x14ac:dyDescent="0.25">
      <c r="A29" s="10"/>
      <c r="B29" s="17" t="s">
        <v>87</v>
      </c>
      <c r="C29" s="11" t="s">
        <v>112</v>
      </c>
    </row>
    <row r="30" spans="1:48" x14ac:dyDescent="0.25">
      <c r="B30" s="17" t="s">
        <v>84</v>
      </c>
      <c r="C30" s="11" t="s">
        <v>113</v>
      </c>
    </row>
    <row r="31" spans="1:48" x14ac:dyDescent="0.25">
      <c r="B31" s="17" t="s">
        <v>85</v>
      </c>
      <c r="C31" s="11" t="s">
        <v>114</v>
      </c>
    </row>
    <row r="32" spans="1:48" x14ac:dyDescent="0.25">
      <c r="C32" s="11" t="s">
        <v>115</v>
      </c>
    </row>
    <row r="33" spans="2:3" x14ac:dyDescent="0.25">
      <c r="B33" s="10" t="s">
        <v>73</v>
      </c>
      <c r="C33" s="11" t="s">
        <v>116</v>
      </c>
    </row>
    <row r="34" spans="2:3" x14ac:dyDescent="0.25">
      <c r="B34" t="str">
        <f t="shared" ref="B34:B43" si="1">IF(COUNTIF(D5:J5,"Off")=1,"Ok","Not ok")</f>
        <v>Ok</v>
      </c>
    </row>
    <row r="35" spans="2:3" x14ac:dyDescent="0.25">
      <c r="B35" t="str">
        <f t="shared" si="1"/>
        <v>Ok</v>
      </c>
    </row>
    <row r="36" spans="2:3" x14ac:dyDescent="0.25">
      <c r="B36" t="str">
        <f t="shared" si="1"/>
        <v>Ok</v>
      </c>
    </row>
    <row r="37" spans="2:3" x14ac:dyDescent="0.25">
      <c r="B37" t="str">
        <f t="shared" si="1"/>
        <v>Ok</v>
      </c>
    </row>
    <row r="38" spans="2:3" x14ac:dyDescent="0.25">
      <c r="B38" t="str">
        <f t="shared" si="1"/>
        <v>Ok</v>
      </c>
    </row>
    <row r="39" spans="2:3" x14ac:dyDescent="0.25">
      <c r="B39" t="str">
        <f t="shared" si="1"/>
        <v>Ok</v>
      </c>
    </row>
    <row r="40" spans="2:3" x14ac:dyDescent="0.25">
      <c r="B40" t="str">
        <f t="shared" si="1"/>
        <v>Ok</v>
      </c>
    </row>
    <row r="41" spans="2:3" x14ac:dyDescent="0.25">
      <c r="B41" t="str">
        <f t="shared" si="1"/>
        <v>Ok</v>
      </c>
    </row>
    <row r="42" spans="2:3" x14ac:dyDescent="0.25">
      <c r="B42" t="str">
        <f t="shared" si="1"/>
        <v>Ok</v>
      </c>
    </row>
    <row r="43" spans="2:3" x14ac:dyDescent="0.25">
      <c r="B43" t="str">
        <f t="shared" si="1"/>
        <v>Ok</v>
      </c>
    </row>
    <row r="45" spans="2:3" x14ac:dyDescent="0.25">
      <c r="B45" t="s">
        <v>74</v>
      </c>
    </row>
    <row r="46" spans="2:3" x14ac:dyDescent="0.25">
      <c r="B46">
        <f>+COUNTIF(Table1[01-05-2025],"A")</f>
        <v>2</v>
      </c>
      <c r="C46" t="s">
        <v>77</v>
      </c>
    </row>
    <row r="47" spans="2:3" x14ac:dyDescent="0.25">
      <c r="B47">
        <f>+COUNTIF(Table1[01-05-2025],"B")</f>
        <v>2</v>
      </c>
      <c r="C47" t="s">
        <v>78</v>
      </c>
    </row>
    <row r="48" spans="2:3" x14ac:dyDescent="0.25">
      <c r="B48">
        <f>+COUNTIF(Table1[01-05-2025],"C")</f>
        <v>3</v>
      </c>
      <c r="C48" t="s">
        <v>80</v>
      </c>
    </row>
    <row r="49" spans="2:3" x14ac:dyDescent="0.25">
      <c r="B49">
        <f>+COUNTIF(Table1[01-05-2025],"D")</f>
        <v>2</v>
      </c>
      <c r="C49" t="s">
        <v>79</v>
      </c>
    </row>
    <row r="50" spans="2:3" x14ac:dyDescent="0.25">
      <c r="B50">
        <f>+COUNTIF(Table1[01-05-2025],"Off")</f>
        <v>1</v>
      </c>
      <c r="C50" t="s">
        <v>71</v>
      </c>
    </row>
    <row r="52" spans="2:3" x14ac:dyDescent="0.25">
      <c r="B52" s="13" t="s">
        <v>76</v>
      </c>
      <c r="C52" s="10" t="s">
        <v>75</v>
      </c>
    </row>
    <row r="53" spans="2:3" x14ac:dyDescent="0.25">
      <c r="B53" s="11" t="s">
        <v>10</v>
      </c>
      <c r="C53" s="12">
        <f t="shared" ref="C53:C60" si="2">+COUNTIF(D7:J7,"Off")</f>
        <v>1</v>
      </c>
    </row>
    <row r="54" spans="2:3" x14ac:dyDescent="0.25">
      <c r="B54" s="11" t="s">
        <v>11</v>
      </c>
      <c r="C54" s="12">
        <f t="shared" si="2"/>
        <v>1</v>
      </c>
    </row>
    <row r="55" spans="2:3" x14ac:dyDescent="0.25">
      <c r="B55" s="11" t="s">
        <v>12</v>
      </c>
      <c r="C55" s="12">
        <f t="shared" si="2"/>
        <v>1</v>
      </c>
    </row>
    <row r="56" spans="2:3" x14ac:dyDescent="0.25">
      <c r="B56" s="11" t="s">
        <v>13</v>
      </c>
      <c r="C56" s="12">
        <f t="shared" si="2"/>
        <v>1</v>
      </c>
    </row>
    <row r="57" spans="2:3" x14ac:dyDescent="0.25">
      <c r="B57" s="11" t="s">
        <v>14</v>
      </c>
      <c r="C57" s="12">
        <f t="shared" si="2"/>
        <v>1</v>
      </c>
    </row>
    <row r="58" spans="2:3" x14ac:dyDescent="0.25">
      <c r="B58" s="11" t="s">
        <v>15</v>
      </c>
      <c r="C58" s="12">
        <f t="shared" si="2"/>
        <v>1</v>
      </c>
    </row>
    <row r="59" spans="2:3" x14ac:dyDescent="0.25">
      <c r="B59" s="11" t="s">
        <v>16</v>
      </c>
      <c r="C59" s="12">
        <f t="shared" si="2"/>
        <v>1</v>
      </c>
    </row>
    <row r="60" spans="2:3" x14ac:dyDescent="0.25">
      <c r="B60" s="11" t="s">
        <v>17</v>
      </c>
      <c r="C60" s="12">
        <f t="shared" si="2"/>
        <v>1</v>
      </c>
    </row>
    <row r="61" spans="2:3" x14ac:dyDescent="0.25">
      <c r="B61" s="11" t="s">
        <v>18</v>
      </c>
      <c r="C61" s="12">
        <f>+COUNTIF(D16:J16,"Off")</f>
        <v>0</v>
      </c>
    </row>
    <row r="62" spans="2:3" x14ac:dyDescent="0.25">
      <c r="B62" s="11" t="s">
        <v>19</v>
      </c>
      <c r="C62" s="12">
        <f>+COUNTIF(D17:J17,"Off")</f>
        <v>0</v>
      </c>
    </row>
  </sheetData>
  <mergeCells count="4">
    <mergeCell ref="D1:AH1"/>
    <mergeCell ref="AJ17:AO17"/>
    <mergeCell ref="AP16:AP17"/>
    <mergeCell ref="A3:C3"/>
  </mergeCells>
  <phoneticPr fontId="3" type="noConversion"/>
  <conditionalFormatting sqref="D4:AI15">
    <cfRule type="cellIs" dxfId="4" priority="1" operator="equal">
      <formula>"Abs"</formula>
    </cfRule>
  </conditionalFormatting>
  <conditionalFormatting sqref="D5:AI15">
    <cfRule type="cellIs" dxfId="3" priority="2" operator="equal">
      <formula>"off"</formula>
    </cfRule>
  </conditionalFormatting>
  <dataValidations count="2">
    <dataValidation type="list" allowBlank="1" showInputMessage="1" showErrorMessage="1" sqref="D5:AI15" xr:uid="{A8E1A6BF-19F6-4223-B471-8703752B752E}">
      <formula1>$B$22:$B$31</formula1>
    </dataValidation>
    <dataValidation type="list" allowBlank="1" showInputMessage="1" showErrorMessage="1" sqref="S2" xr:uid="{B4C94542-8385-4E15-AD48-865F32ED68E7}">
      <formula1>$C$22:$C$33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704A-A08C-40DB-A3D2-B6EACD2927B2}">
  <dimension ref="A1:I12"/>
  <sheetViews>
    <sheetView workbookViewId="0">
      <selection activeCell="D13" sqref="D13"/>
    </sheetView>
  </sheetViews>
  <sheetFormatPr defaultRowHeight="15" x14ac:dyDescent="0.25"/>
  <cols>
    <col min="1" max="1" width="14.42578125" bestFit="1" customWidth="1"/>
    <col min="2" max="2" width="20.28515625" bestFit="1" customWidth="1"/>
    <col min="3" max="3" width="20.85546875" bestFit="1" customWidth="1"/>
    <col min="4" max="4" width="21.140625" bestFit="1" customWidth="1"/>
    <col min="5" max="5" width="15.5703125" bestFit="1" customWidth="1"/>
    <col min="6" max="6" width="22.42578125" bestFit="1" customWidth="1"/>
    <col min="7" max="7" width="15.140625" bestFit="1" customWidth="1"/>
    <col min="8" max="8" width="15.7109375" bestFit="1" customWidth="1"/>
    <col min="9" max="9" width="21" bestFit="1" customWidth="1"/>
  </cols>
  <sheetData>
    <row r="1" spans="1:9" ht="15.75" thickBot="1" x14ac:dyDescent="0.3">
      <c r="A1" s="62" t="s">
        <v>95</v>
      </c>
      <c r="B1" s="63" t="s">
        <v>96</v>
      </c>
      <c r="C1" s="63" t="s">
        <v>97</v>
      </c>
      <c r="D1" s="63" t="s">
        <v>98</v>
      </c>
      <c r="E1" s="64" t="s">
        <v>99</v>
      </c>
      <c r="F1" s="62" t="s">
        <v>103</v>
      </c>
      <c r="G1" s="63" t="s">
        <v>100</v>
      </c>
      <c r="H1" s="65" t="s">
        <v>101</v>
      </c>
      <c r="I1" s="64" t="s">
        <v>102</v>
      </c>
    </row>
    <row r="2" spans="1:9" x14ac:dyDescent="0.25">
      <c r="A2" s="34" t="s">
        <v>12</v>
      </c>
      <c r="B2" s="34">
        <v>110</v>
      </c>
      <c r="C2" s="34">
        <v>12</v>
      </c>
      <c r="D2" s="34">
        <v>18</v>
      </c>
      <c r="E2" s="38">
        <v>22</v>
      </c>
      <c r="F2" s="55">
        <f t="shared" ref="F2:F11" si="0">SUM(B2:D2)/E2</f>
        <v>6.3636363636363633</v>
      </c>
      <c r="G2" s="58">
        <v>8</v>
      </c>
      <c r="H2" s="35" t="str">
        <f>+IF(F2&lt;G2,"Yes","No")</f>
        <v>Yes</v>
      </c>
      <c r="I2" s="61">
        <f t="shared" ref="I2:I11" si="1">+G2/F2</f>
        <v>1.2571428571428571</v>
      </c>
    </row>
    <row r="3" spans="1:9" x14ac:dyDescent="0.25">
      <c r="A3" s="2" t="s">
        <v>16</v>
      </c>
      <c r="B3" s="2">
        <v>115</v>
      </c>
      <c r="C3" s="2">
        <v>14</v>
      </c>
      <c r="D3" s="2">
        <v>19</v>
      </c>
      <c r="E3" s="33">
        <v>23</v>
      </c>
      <c r="F3" s="56">
        <f t="shared" si="0"/>
        <v>6.4347826086956523</v>
      </c>
      <c r="G3" s="59">
        <v>8</v>
      </c>
      <c r="H3" s="35" t="str">
        <f>+IF(F3&lt;G3,"Yes","No")</f>
        <v>Yes</v>
      </c>
      <c r="I3" s="61">
        <f t="shared" si="1"/>
        <v>1.2432432432432432</v>
      </c>
    </row>
    <row r="4" spans="1:9" x14ac:dyDescent="0.25">
      <c r="A4" s="2" t="s">
        <v>18</v>
      </c>
      <c r="B4" s="2">
        <v>85</v>
      </c>
      <c r="C4" s="2">
        <v>6</v>
      </c>
      <c r="D4" s="2">
        <v>12</v>
      </c>
      <c r="E4" s="33">
        <v>16</v>
      </c>
      <c r="F4" s="56">
        <f t="shared" si="0"/>
        <v>6.4375</v>
      </c>
      <c r="G4" s="59">
        <v>8</v>
      </c>
      <c r="H4" s="35" t="str">
        <f>+IF(F4&lt;G4,"Yes","No")</f>
        <v>Yes</v>
      </c>
      <c r="I4" s="61">
        <f t="shared" si="1"/>
        <v>1.2427184466019416</v>
      </c>
    </row>
    <row r="5" spans="1:9" x14ac:dyDescent="0.25">
      <c r="A5" s="2" t="s">
        <v>17</v>
      </c>
      <c r="B5" s="2">
        <v>130</v>
      </c>
      <c r="C5" s="2">
        <v>11</v>
      </c>
      <c r="D5" s="2">
        <v>20</v>
      </c>
      <c r="E5" s="33">
        <v>25</v>
      </c>
      <c r="F5" s="56">
        <f t="shared" si="0"/>
        <v>6.44</v>
      </c>
      <c r="G5" s="59">
        <v>8</v>
      </c>
      <c r="H5" s="35" t="str">
        <f>+IF(F5&lt;G5,"Yes","No")</f>
        <v>Yes</v>
      </c>
      <c r="I5" s="61">
        <f t="shared" si="1"/>
        <v>1.2422360248447204</v>
      </c>
    </row>
    <row r="6" spans="1:9" x14ac:dyDescent="0.25">
      <c r="A6" s="2" t="s">
        <v>14</v>
      </c>
      <c r="B6" s="2">
        <v>100</v>
      </c>
      <c r="C6" s="2">
        <v>10</v>
      </c>
      <c r="D6" s="2">
        <v>22</v>
      </c>
      <c r="E6" s="33">
        <v>19</v>
      </c>
      <c r="F6" s="56">
        <f t="shared" si="0"/>
        <v>6.9473684210526319</v>
      </c>
      <c r="G6" s="59">
        <v>8</v>
      </c>
      <c r="H6" s="35" t="str">
        <f>+IF(F6&lt;G6,"Yes","No")</f>
        <v>Yes</v>
      </c>
      <c r="I6" s="61">
        <f t="shared" si="1"/>
        <v>1.1515151515151514</v>
      </c>
    </row>
    <row r="7" spans="1:9" x14ac:dyDescent="0.25">
      <c r="A7" s="2" t="s">
        <v>10</v>
      </c>
      <c r="B7" s="2">
        <v>120</v>
      </c>
      <c r="C7" s="2">
        <v>15</v>
      </c>
      <c r="D7" s="2">
        <v>25</v>
      </c>
      <c r="E7" s="33">
        <v>20</v>
      </c>
      <c r="F7" s="56">
        <f t="shared" si="0"/>
        <v>8</v>
      </c>
      <c r="G7" s="59">
        <v>8</v>
      </c>
      <c r="H7" s="35" t="str">
        <f>+IF(F7&lt;=G7,"Yes","No")</f>
        <v>Yes</v>
      </c>
      <c r="I7" s="61">
        <f t="shared" si="1"/>
        <v>1</v>
      </c>
    </row>
    <row r="8" spans="1:9" x14ac:dyDescent="0.25">
      <c r="A8" s="2" t="s">
        <v>15</v>
      </c>
      <c r="B8" s="2">
        <v>100</v>
      </c>
      <c r="C8" s="2">
        <v>15</v>
      </c>
      <c r="D8" s="2">
        <v>19</v>
      </c>
      <c r="E8" s="33">
        <v>16</v>
      </c>
      <c r="F8" s="56">
        <f t="shared" si="0"/>
        <v>8.375</v>
      </c>
      <c r="G8" s="59">
        <v>8</v>
      </c>
      <c r="H8" s="35" t="str">
        <f>+IF(F8&lt;G8,"Yes","No")</f>
        <v>No</v>
      </c>
      <c r="I8" s="61">
        <f t="shared" si="1"/>
        <v>0.95522388059701491</v>
      </c>
    </row>
    <row r="9" spans="1:9" x14ac:dyDescent="0.25">
      <c r="A9" s="2" t="s">
        <v>11</v>
      </c>
      <c r="B9" s="2">
        <v>95</v>
      </c>
      <c r="C9" s="2">
        <v>10</v>
      </c>
      <c r="D9" s="2">
        <v>15</v>
      </c>
      <c r="E9" s="33">
        <v>14</v>
      </c>
      <c r="F9" s="56">
        <f t="shared" si="0"/>
        <v>8.5714285714285712</v>
      </c>
      <c r="G9" s="59">
        <v>8</v>
      </c>
      <c r="H9" s="35" t="str">
        <f>+IF(F9&lt;G9,"Yes","No")</f>
        <v>No</v>
      </c>
      <c r="I9" s="61">
        <f t="shared" si="1"/>
        <v>0.93333333333333335</v>
      </c>
    </row>
    <row r="10" spans="1:9" x14ac:dyDescent="0.25">
      <c r="A10" s="2" t="s">
        <v>13</v>
      </c>
      <c r="B10" s="2">
        <v>105</v>
      </c>
      <c r="C10" s="2">
        <v>8</v>
      </c>
      <c r="D10" s="2">
        <v>20</v>
      </c>
      <c r="E10" s="33">
        <v>15</v>
      </c>
      <c r="F10" s="56">
        <f t="shared" si="0"/>
        <v>8.8666666666666671</v>
      </c>
      <c r="G10" s="59">
        <v>8</v>
      </c>
      <c r="H10" s="35" t="str">
        <f>+IF(F10&lt;G10,"Yes","No")</f>
        <v>No</v>
      </c>
      <c r="I10" s="61">
        <f t="shared" si="1"/>
        <v>0.90225563909774431</v>
      </c>
    </row>
    <row r="11" spans="1:9" ht="15.75" thickBot="1" x14ac:dyDescent="0.3">
      <c r="A11" s="2" t="s">
        <v>19</v>
      </c>
      <c r="B11" s="2">
        <v>92</v>
      </c>
      <c r="C11" s="2">
        <v>20</v>
      </c>
      <c r="D11" s="2">
        <v>5</v>
      </c>
      <c r="E11" s="33">
        <v>13</v>
      </c>
      <c r="F11" s="57">
        <f t="shared" si="0"/>
        <v>9</v>
      </c>
      <c r="G11" s="60">
        <v>8</v>
      </c>
      <c r="H11" s="39" t="str">
        <f>+IF(F11&lt;G11,"Yes","No")</f>
        <v>No</v>
      </c>
      <c r="I11" s="61">
        <f t="shared" si="1"/>
        <v>0.88888888888888884</v>
      </c>
    </row>
    <row r="12" spans="1:9" ht="19.5" thickBot="1" x14ac:dyDescent="0.35">
      <c r="E12" s="36" t="s">
        <v>104</v>
      </c>
      <c r="F12" s="37">
        <f>+AVERAGE(F2:F11)</f>
        <v>7.5436382631479884</v>
      </c>
      <c r="G12" s="53">
        <f>+AVERAGE(G2:G11)</f>
        <v>8</v>
      </c>
      <c r="H12" s="54"/>
      <c r="I12" s="54"/>
    </row>
  </sheetData>
  <conditionalFormatting sqref="F2:F11">
    <cfRule type="cellIs" dxfId="2" priority="3" operator="greaterThan">
      <formula>8</formula>
    </cfRule>
  </conditionalFormatting>
  <conditionalFormatting sqref="H2:H11">
    <cfRule type="cellIs" dxfId="1" priority="4" operator="equal">
      <formula>"Yes"</formula>
    </cfRule>
  </conditionalFormatting>
  <conditionalFormatting sqref="I2:I11">
    <cfRule type="cellIs" dxfId="0" priority="1" operator="greaterThanOrEqual">
      <formula>100%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 schedule</vt:lpstr>
      <vt:lpstr>performance_AHT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prakash Das</dc:creator>
  <cp:lastModifiedBy>Jyoti prakash Das</cp:lastModifiedBy>
  <dcterms:created xsi:type="dcterms:W3CDTF">2015-06-05T18:17:20Z</dcterms:created>
  <dcterms:modified xsi:type="dcterms:W3CDTF">2025-05-28T14:19:37Z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2025-05-21T18:24:34Z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db1c17f5-bfcb-40a4-9c73-d8b2b7d1a40e</vt:lpwstr>
  </property>
  <property fmtid="{D5CDD505-2E9C-101B-9397-08002B2CF9AE}" pid="7" name="MSIP_Label_defa4170-0d19-0005-0004-bc88714345d2_ActionId">
    <vt:lpwstr>432c95c7-1a3a-446f-a35f-fede09cff0ca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